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40" yWindow="2265" windowWidth="21600" windowHeight="11385" tabRatio="600" firstSheet="0" activeTab="0" autoFilterDateGrouping="1"/>
  </bookViews>
  <sheets>
    <sheet name="Sheet1" sheetId="1" state="visible" r:id="rId1"/>
    <sheet name="Transaction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"/>
    <numFmt numFmtId="165" formatCode="#,##0.000"/>
  </numFmts>
  <fonts count="9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family val="2"/>
      <sz val="10"/>
    </font>
    <font>
      <name val="Calibri"/>
      <family val="2"/>
      <color theme="1"/>
      <sz val="11"/>
    </font>
    <font>
      <name val="Arial"/>
      <family val="2"/>
      <b val="1"/>
      <sz val="10"/>
    </font>
  </fonts>
  <fills count="20">
    <fill>
      <patternFill/>
    </fill>
    <fill>
      <patternFill patternType="gray125"/>
    </fill>
    <fill>
      <patternFill patternType="solid">
        <fgColor theme="9" tint="0.7999816888943144"/>
        <bgColor indexed="17"/>
      </patternFill>
    </fill>
    <fill>
      <patternFill patternType="solid">
        <fgColor rgb="FFA3E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CCFF"/>
        <bgColor indexed="17"/>
      </patternFill>
    </fill>
    <fill>
      <patternFill patternType="solid">
        <fgColor theme="7" tint="0.5999938962981048"/>
        <bgColor indexed="17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1" fillId="0" borderId="0"/>
    <xf numFmtId="43" fontId="1" fillId="0" borderId="0"/>
    <xf numFmtId="0" fontId="6" fillId="0" borderId="0"/>
  </cellStyleXfs>
  <cellXfs count="220">
    <xf numFmtId="0" fontId="0" fillId="0" borderId="0" pivotButton="0" quotePrefix="0" xfId="0"/>
    <xf numFmtId="14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164" fontId="4" fillId="2" borderId="2" applyAlignment="1" applyProtection="1" pivotButton="0" quotePrefix="0" xfId="0">
      <alignment horizontal="center" vertical="center" wrapText="1"/>
      <protection locked="0" hidden="0"/>
    </xf>
    <xf numFmtId="164" fontId="4" fillId="2" borderId="1" applyAlignment="1" applyProtection="1" pivotButton="0" quotePrefix="0" xfId="0">
      <alignment horizontal="left" vertical="center" wrapText="1"/>
      <protection locked="0" hidden="0"/>
    </xf>
    <xf numFmtId="0" fontId="4" fillId="3" borderId="1" applyAlignment="1" applyProtection="1" pivotButton="0" quotePrefix="0" xfId="0">
      <alignment horizontal="center" vertical="center" wrapText="1"/>
      <protection locked="0" hidden="0"/>
    </xf>
    <xf numFmtId="164" fontId="4" fillId="4" borderId="1" applyAlignment="1" applyProtection="1" pivotButton="0" quotePrefix="0" xfId="0">
      <alignment horizontal="center" vertical="center" wrapText="1"/>
      <protection locked="0" hidden="0"/>
    </xf>
    <xf numFmtId="164" fontId="4" fillId="5" borderId="3" applyAlignment="1" applyProtection="1" pivotButton="0" quotePrefix="0" xfId="0">
      <alignment horizontal="center" vertical="center" wrapText="1"/>
      <protection locked="0" hidden="0"/>
    </xf>
    <xf numFmtId="164" fontId="4" fillId="6" borderId="1" applyAlignment="1" applyProtection="1" pivotButton="0" quotePrefix="0" xfId="0">
      <alignment horizontal="center" vertical="center" wrapText="1"/>
      <protection locked="0" hidden="0"/>
    </xf>
    <xf numFmtId="164" fontId="4" fillId="7" borderId="1" applyAlignment="1" applyProtection="1" pivotButton="0" quotePrefix="0" xfId="0">
      <alignment horizontal="center" vertical="center" wrapText="1"/>
      <protection locked="0" hidden="0"/>
    </xf>
    <xf numFmtId="164" fontId="4" fillId="4" borderId="4" applyAlignment="1" applyProtection="1" pivotButton="0" quotePrefix="0" xfId="0">
      <alignment horizontal="center" vertical="center" wrapText="1"/>
      <protection locked="0" hidden="0"/>
    </xf>
    <xf numFmtId="43" fontId="4" fillId="8" borderId="4" applyAlignment="1" applyProtection="1" pivotButton="0" quotePrefix="0" xfId="1">
      <alignment horizontal="center" vertical="center" wrapText="1"/>
      <protection locked="0" hidden="0"/>
    </xf>
    <xf numFmtId="43" fontId="4" fillId="9" borderId="4" applyAlignment="1" applyProtection="1" pivotButton="0" quotePrefix="0" xfId="1">
      <alignment horizontal="center" vertical="center" wrapText="1"/>
      <protection locked="0" hidden="0"/>
    </xf>
    <xf numFmtId="0" fontId="3" fillId="1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0" fontId="0" fillId="0" borderId="5" applyAlignment="1" applyProtection="1" pivotButton="0" quotePrefix="0" xfId="0">
      <alignment horizontal="center" vertical="center" wrapText="1"/>
      <protection locked="0" hidden="0"/>
    </xf>
    <xf numFmtId="43" fontId="0" fillId="0" borderId="5" applyAlignment="1" pivotButton="0" quotePrefix="0" xfId="1">
      <alignment horizontal="right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43" fontId="0" fillId="0" borderId="9" applyAlignment="1" pivotButton="0" quotePrefix="0" xfId="0">
      <alignment horizontal="right" vertical="center"/>
    </xf>
    <xf numFmtId="43" fontId="0" fillId="0" borderId="9" applyAlignment="1" pivotButton="0" quotePrefix="0" xfId="1">
      <alignment horizontal="center" vertical="center" wrapText="1"/>
    </xf>
    <xf numFmtId="43" fontId="0" fillId="11" borderId="5" pivotButton="0" quotePrefix="0" xfId="0"/>
    <xf numFmtId="43" fontId="0" fillId="0" borderId="7" applyAlignment="1" pivotButton="0" quotePrefix="0" xfId="0">
      <alignment horizontal="center"/>
    </xf>
    <xf numFmtId="43" fontId="0" fillId="12" borderId="0" pivotButton="0" quotePrefix="0" xfId="0"/>
    <xf numFmtId="43" fontId="0" fillId="0" borderId="12" applyAlignment="1" pivotButton="0" quotePrefix="0" xfId="1">
      <alignment horizontal="center"/>
    </xf>
    <xf numFmtId="43" fontId="0" fillId="0" borderId="10" applyAlignment="1" pivotButton="0" quotePrefix="0" xfId="1">
      <alignment horizontal="center"/>
    </xf>
    <xf numFmtId="43" fontId="0" fillId="13" borderId="10" pivotButton="0" quotePrefix="0" xfId="0"/>
    <xf numFmtId="43" fontId="0" fillId="13" borderId="9" applyAlignment="1" pivotButton="0" quotePrefix="0" xfId="1">
      <alignment horizontal="center" vertical="center" wrapText="1"/>
    </xf>
    <xf numFmtId="43" fontId="0" fillId="0" borderId="5" applyAlignment="1" pivotButton="0" quotePrefix="0" xfId="1">
      <alignment horizontal="center" vertical="center" wrapText="1"/>
    </xf>
    <xf numFmtId="43" fontId="0" fillId="0" borderId="9" applyAlignment="1" pivotButton="0" quotePrefix="0" xfId="0">
      <alignment horizontal="right"/>
    </xf>
    <xf numFmtId="0" fontId="0" fillId="0" borderId="13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left"/>
    </xf>
    <xf numFmtId="43" fontId="0" fillId="0" borderId="10" applyAlignment="1" pivotButton="0" quotePrefix="0" xfId="0">
      <alignment horizontal="right"/>
    </xf>
    <xf numFmtId="43" fontId="0" fillId="0" borderId="5" pivotButton="0" quotePrefix="0" xfId="0"/>
    <xf numFmtId="43" fontId="0" fillId="0" borderId="11" applyAlignment="1" pivotButton="0" quotePrefix="0" xfId="0">
      <alignment horizontal="right"/>
    </xf>
    <xf numFmtId="0" fontId="0" fillId="0" borderId="14" pivotButton="0" quotePrefix="0" xfId="0"/>
    <xf numFmtId="0" fontId="0" fillId="0" borderId="9" pivotButton="0" quotePrefix="0" xfId="0"/>
    <xf numFmtId="0" fontId="0" fillId="14" borderId="0" pivotButton="0" quotePrefix="0" xfId="0"/>
    <xf numFmtId="13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left"/>
    </xf>
    <xf numFmtId="0" fontId="0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/>
    </xf>
    <xf numFmtId="0" fontId="0" fillId="15" borderId="10" applyAlignment="1" pivotButton="0" quotePrefix="0" xfId="0">
      <alignment horizontal="center"/>
    </xf>
    <xf numFmtId="0" fontId="3" fillId="15" borderId="11" applyAlignment="1" pivotButton="0" quotePrefix="0" xfId="0">
      <alignment horizontal="center"/>
    </xf>
    <xf numFmtId="0" fontId="3" fillId="15" borderId="10" applyAlignment="1" pivotButton="0" quotePrefix="0" xfId="0">
      <alignment horizontal="left"/>
    </xf>
    <xf numFmtId="0" fontId="0" fillId="15" borderId="10" applyAlignment="1" applyProtection="1" pivotButton="0" quotePrefix="0" xfId="0">
      <alignment horizontal="center" vertical="center" wrapText="1"/>
      <protection locked="0" hidden="0"/>
    </xf>
    <xf numFmtId="43" fontId="0" fillId="15" borderId="5" applyAlignment="1" pivotButton="0" quotePrefix="0" xfId="0">
      <alignment horizontal="center"/>
    </xf>
    <xf numFmtId="43" fontId="0" fillId="15" borderId="7" applyAlignment="1" pivotButton="0" quotePrefix="0" xfId="0">
      <alignment horizontal="center"/>
    </xf>
    <xf numFmtId="43" fontId="0" fillId="15" borderId="9" applyAlignment="1" pivotButton="0" quotePrefix="0" xfId="0">
      <alignment horizontal="right"/>
    </xf>
    <xf numFmtId="43" fontId="0" fillId="15" borderId="9" applyAlignment="1" pivotButton="0" quotePrefix="0" xfId="1">
      <alignment horizontal="center" vertical="center" wrapText="1"/>
    </xf>
    <xf numFmtId="43" fontId="0" fillId="15" borderId="10" pivotButton="0" quotePrefix="0" xfId="0"/>
    <xf numFmtId="43" fontId="0" fillId="0" borderId="17" pivotButton="0" quotePrefix="0" xfId="0"/>
    <xf numFmtId="0" fontId="0" fillId="0" borderId="10" pivotButton="0" quotePrefix="0" xfId="0"/>
    <xf numFmtId="43" fontId="5" fillId="0" borderId="7" applyAlignment="1" pivotButton="0" quotePrefix="0" xfId="0">
      <alignment horizontal="center"/>
    </xf>
    <xf numFmtId="0" fontId="5" fillId="0" borderId="0" pivotButton="0" quotePrefix="0" xfId="0"/>
    <xf numFmtId="43" fontId="5" fillId="0" borderId="0" pivotButton="0" quotePrefix="0" xfId="0"/>
    <xf numFmtId="0" fontId="0" fillId="0" borderId="11" applyAlignment="1" pivotButton="0" quotePrefix="0" xfId="0">
      <alignment horizontal="left"/>
    </xf>
    <xf numFmtId="13" fontId="0" fillId="0" borderId="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0" applyAlignment="1" pivotButton="0" quotePrefix="0" xfId="0">
      <alignment horizontal="left"/>
    </xf>
    <xf numFmtId="0" fontId="2" fillId="0" borderId="10" applyAlignment="1" applyProtection="1" pivotButton="0" quotePrefix="0" xfId="0">
      <alignment horizontal="center" vertical="center" wrapText="1"/>
      <protection locked="0" hidden="0"/>
    </xf>
    <xf numFmtId="43" fontId="2" fillId="0" borderId="5" applyAlignment="1" pivotButton="0" quotePrefix="0" xfId="0">
      <alignment horizontal="center"/>
    </xf>
    <xf numFmtId="43" fontId="2" fillId="0" borderId="7" applyAlignment="1" pivotButton="0" quotePrefix="0" xfId="0">
      <alignment horizontal="center"/>
    </xf>
    <xf numFmtId="12" fontId="2" fillId="0" borderId="5" applyAlignment="1" pivotButton="0" quotePrefix="0" xfId="0">
      <alignment horizontal="center"/>
    </xf>
    <xf numFmtId="43" fontId="2" fillId="0" borderId="10" applyAlignment="1" pivotButton="0" quotePrefix="0" xfId="0">
      <alignment horizontal="right"/>
    </xf>
    <xf numFmtId="43" fontId="2" fillId="0" borderId="9" applyAlignment="1" pivotButton="0" quotePrefix="0" xfId="1">
      <alignment horizontal="center" vertical="center" wrapText="1"/>
    </xf>
    <xf numFmtId="43" fontId="2" fillId="0" borderId="10" pivotButton="0" quotePrefix="0" xfId="0"/>
    <xf numFmtId="0" fontId="2" fillId="0" borderId="0" pivotButton="0" quotePrefix="0" xfId="0"/>
    <xf numFmtId="3" fontId="0" fillId="0" borderId="0" pivotButton="0" quotePrefix="0" xfId="0"/>
    <xf numFmtId="0" fontId="7" fillId="0" borderId="11" applyAlignment="1" pivotButton="0" quotePrefix="0" xfId="2">
      <alignment horizontal="center" vertical="top"/>
    </xf>
    <xf numFmtId="0" fontId="7" fillId="0" borderId="10" applyAlignment="1" pivotButton="0" quotePrefix="0" xfId="2">
      <alignment horizontal="left" vertical="top"/>
    </xf>
    <xf numFmtId="43" fontId="0" fillId="0" borderId="5" applyAlignment="1" pivotButton="0" quotePrefix="0" xfId="0">
      <alignment horizontal="right"/>
    </xf>
    <xf numFmtId="43" fontId="0" fillId="15" borderId="7" applyAlignment="1" pivotButton="0" quotePrefix="0" xfId="1">
      <alignment horizontal="center"/>
    </xf>
    <xf numFmtId="43" fontId="0" fillId="15" borderId="10" applyAlignment="1" pivotButton="0" quotePrefix="0" xfId="0">
      <alignment horizontal="center"/>
    </xf>
    <xf numFmtId="43" fontId="0" fillId="15" borderId="5" applyAlignment="1" pivotButton="0" quotePrefix="0" xfId="1">
      <alignment horizontal="center" vertical="center" wrapText="1"/>
    </xf>
    <xf numFmtId="0" fontId="0" fillId="0" borderId="17" pivotButton="0" quotePrefix="0" xfId="0"/>
    <xf numFmtId="43" fontId="0" fillId="0" borderId="7" applyAlignment="1" pivotButton="0" quotePrefix="0" xfId="1">
      <alignment horizontal="center"/>
    </xf>
    <xf numFmtId="0" fontId="0" fillId="0" borderId="13" applyAlignment="1" pivotButton="0" quotePrefix="0" xfId="0">
      <alignment horizontal="left"/>
    </xf>
    <xf numFmtId="43" fontId="0" fillId="15" borderId="9" pivotButton="0" quotePrefix="0" xfId="0"/>
    <xf numFmtId="0" fontId="0" fillId="0" borderId="18" applyAlignment="1" pivotButton="0" quotePrefix="0" xfId="0">
      <alignment horizontal="center"/>
    </xf>
    <xf numFmtId="0" fontId="3" fillId="15" borderId="10" applyAlignment="1" applyProtection="1" pivotButton="0" quotePrefix="0" xfId="0">
      <alignment horizontal="center" vertical="center" wrapText="1"/>
      <protection locked="0" hidden="0"/>
    </xf>
    <xf numFmtId="43" fontId="0" fillId="15" borderId="5" applyAlignment="1" pivotButton="0" quotePrefix="0" xfId="1">
      <alignment horizontal="center"/>
    </xf>
    <xf numFmtId="43" fontId="0" fillId="15" borderId="10" applyAlignment="1" pivotButton="0" quotePrefix="0" xfId="0">
      <alignment horizontal="right"/>
    </xf>
    <xf numFmtId="43" fontId="0" fillId="15" borderId="17" applyAlignment="1" pivotButton="0" quotePrefix="0" xfId="0">
      <alignment horizontal="right"/>
    </xf>
    <xf numFmtId="0" fontId="3" fillId="15" borderId="10" applyAlignment="1" pivotButton="0" quotePrefix="0" xfId="0">
      <alignment horizontal="center"/>
    </xf>
    <xf numFmtId="0" fontId="3" fillId="15" borderId="12" applyAlignment="1" pivotButton="0" quotePrefix="0" xfId="0">
      <alignment horizontal="center"/>
    </xf>
    <xf numFmtId="0" fontId="3" fillId="15" borderId="17" pivotButton="0" quotePrefix="0" xfId="0"/>
    <xf numFmtId="0" fontId="3" fillId="15" borderId="10" pivotButton="0" quotePrefix="0" xfId="0"/>
    <xf numFmtId="0" fontId="0" fillId="0" borderId="10" applyAlignment="1" pivotButton="0" quotePrefix="0" xfId="0">
      <alignment horizontal="left" vertical="top"/>
    </xf>
    <xf numFmtId="0" fontId="7" fillId="0" borderId="11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/>
    </xf>
    <xf numFmtId="0" fontId="3" fillId="15" borderId="11" applyAlignment="1" pivotButton="0" quotePrefix="0" xfId="0">
      <alignment horizontal="left"/>
    </xf>
    <xf numFmtId="43" fontId="0" fillId="0" borderId="10" applyAlignment="1" pivotButton="0" quotePrefix="0" xfId="1">
      <alignment horizontal="center" vertical="top"/>
    </xf>
    <xf numFmtId="0" fontId="3" fillId="15" borderId="11" applyAlignment="1" pivotButton="0" quotePrefix="0" xfId="0">
      <alignment horizontal="center" vertical="center"/>
    </xf>
    <xf numFmtId="0" fontId="3" fillId="15" borderId="10" applyAlignment="1" pivotButton="0" quotePrefix="0" xfId="0">
      <alignment horizontal="left" vertical="center"/>
    </xf>
    <xf numFmtId="13" fontId="0" fillId="0" borderId="5" applyAlignment="1" pivotButton="0" quotePrefix="0" xfId="0">
      <alignment horizontal="center"/>
    </xf>
    <xf numFmtId="43" fontId="5" fillId="0" borderId="5" applyAlignment="1" pivotButton="0" quotePrefix="0" xfId="0">
      <alignment horizontal="center"/>
    </xf>
    <xf numFmtId="43" fontId="5" fillId="0" borderId="10" applyAlignment="1" pivotButton="0" quotePrefix="0" xfId="0">
      <alignment horizontal="right"/>
    </xf>
    <xf numFmtId="43" fontId="5" fillId="0" borderId="9" applyAlignment="1" pivotButton="0" quotePrefix="0" xfId="0">
      <alignment horizontal="right"/>
    </xf>
    <xf numFmtId="43" fontId="5" fillId="0" borderId="10" pivotButton="0" quotePrefix="0" xfId="0"/>
    <xf numFmtId="43" fontId="0" fillId="0" borderId="17" applyAlignment="1" pivotButton="0" quotePrefix="0" xfId="0">
      <alignment horizontal="right"/>
    </xf>
    <xf numFmtId="0" fontId="0" fillId="16" borderId="10" applyAlignment="1" pivotButton="0" quotePrefix="0" xfId="0">
      <alignment horizontal="center"/>
    </xf>
    <xf numFmtId="0" fontId="3" fillId="16" borderId="11" applyAlignment="1" pivotButton="0" quotePrefix="0" xfId="0">
      <alignment horizontal="center"/>
    </xf>
    <xf numFmtId="0" fontId="3" fillId="16" borderId="10" applyAlignment="1" pivotButton="0" quotePrefix="0" xfId="0">
      <alignment horizontal="left" vertical="center"/>
    </xf>
    <xf numFmtId="0" fontId="3" fillId="16" borderId="10" applyAlignment="1" applyProtection="1" pivotButton="0" quotePrefix="0" xfId="0">
      <alignment horizontal="center" vertical="center" wrapText="1"/>
      <protection locked="0" hidden="0"/>
    </xf>
    <xf numFmtId="43" fontId="0" fillId="16" borderId="5" applyAlignment="1" pivotButton="0" quotePrefix="0" xfId="0">
      <alignment horizontal="center"/>
    </xf>
    <xf numFmtId="43" fontId="0" fillId="16" borderId="7" applyAlignment="1" pivotButton="0" quotePrefix="0" xfId="0">
      <alignment horizontal="center"/>
    </xf>
    <xf numFmtId="43" fontId="0" fillId="16" borderId="10" applyAlignment="1" pivotButton="0" quotePrefix="0" xfId="0">
      <alignment horizontal="right"/>
    </xf>
    <xf numFmtId="43" fontId="0" fillId="16" borderId="9" applyAlignment="1" pivotButton="0" quotePrefix="0" xfId="0">
      <alignment horizontal="right"/>
    </xf>
    <xf numFmtId="43" fontId="0" fillId="16" borderId="17" applyAlignment="1" pivotButton="0" quotePrefix="0" xfId="0">
      <alignment horizontal="right"/>
    </xf>
    <xf numFmtId="43" fontId="0" fillId="16" borderId="10" pivotButton="0" quotePrefix="0" xfId="0"/>
    <xf numFmtId="0" fontId="0" fillId="12" borderId="0" pivotButton="0" quotePrefix="0" xfId="0"/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5" applyAlignment="1" pivotButton="0" quotePrefix="0" xfId="0">
      <alignment horizontal="left"/>
    </xf>
    <xf numFmtId="0" fontId="0" fillId="17" borderId="10" applyAlignment="1" pivotButton="0" quotePrefix="0" xfId="0">
      <alignment horizontal="center"/>
    </xf>
    <xf numFmtId="0" fontId="3" fillId="17" borderId="11" applyAlignment="1" pivotButton="0" quotePrefix="0" xfId="0">
      <alignment horizontal="center"/>
    </xf>
    <xf numFmtId="0" fontId="3" fillId="17" borderId="10" applyAlignment="1" pivotButton="0" quotePrefix="0" xfId="0">
      <alignment horizontal="left" vertical="center"/>
    </xf>
    <xf numFmtId="0" fontId="3" fillId="17" borderId="10" applyAlignment="1" applyProtection="1" pivotButton="0" quotePrefix="0" xfId="0">
      <alignment horizontal="center" vertical="center" wrapText="1"/>
      <protection locked="0" hidden="0"/>
    </xf>
    <xf numFmtId="43" fontId="0" fillId="17" borderId="5" applyAlignment="1" pivotButton="0" quotePrefix="0" xfId="1">
      <alignment horizontal="center"/>
    </xf>
    <xf numFmtId="43" fontId="0" fillId="17" borderId="7" applyAlignment="1" pivotButton="0" quotePrefix="0" xfId="0">
      <alignment horizontal="center"/>
    </xf>
    <xf numFmtId="43" fontId="0" fillId="17" borderId="5" applyAlignment="1" pivotButton="0" quotePrefix="0" xfId="0">
      <alignment horizontal="center"/>
    </xf>
    <xf numFmtId="43" fontId="0" fillId="17" borderId="10" applyAlignment="1" pivotButton="0" quotePrefix="0" xfId="0">
      <alignment horizontal="right"/>
    </xf>
    <xf numFmtId="43" fontId="0" fillId="17" borderId="17" applyAlignment="1" pivotButton="0" quotePrefix="0" xfId="0">
      <alignment horizontal="right"/>
    </xf>
    <xf numFmtId="43" fontId="0" fillId="17" borderId="9" applyAlignment="1" pivotButton="0" quotePrefix="0" xfId="1">
      <alignment horizontal="center" vertical="center" wrapText="1"/>
    </xf>
    <xf numFmtId="43" fontId="0" fillId="17" borderId="10" pivotButton="0" quotePrefix="0" xfId="0"/>
    <xf numFmtId="0" fontId="3" fillId="15" borderId="5" applyAlignment="1" pivotButton="0" quotePrefix="0" xfId="0">
      <alignment horizontal="left"/>
    </xf>
    <xf numFmtId="0" fontId="0" fillId="0" borderId="12" applyAlignment="1" pivotButton="0" quotePrefix="0" xfId="0">
      <alignment horizontal="center"/>
    </xf>
    <xf numFmtId="0" fontId="3" fillId="17" borderId="10" applyAlignment="1" pivotButton="0" quotePrefix="0" xfId="0">
      <alignment horizontal="center"/>
    </xf>
    <xf numFmtId="0" fontId="3" fillId="17" borderId="11" applyAlignment="1" pivotButton="0" quotePrefix="0" xfId="0">
      <alignment horizontal="left"/>
    </xf>
    <xf numFmtId="43" fontId="0" fillId="17" borderId="9" applyAlignment="1" pivotButton="0" quotePrefix="0" xfId="0">
      <alignment horizontal="right"/>
    </xf>
    <xf numFmtId="43" fontId="0" fillId="0" borderId="10" applyAlignment="1" pivotButton="0" quotePrefix="0" xfId="1">
      <alignment horizontal="center" vertical="center"/>
    </xf>
    <xf numFmtId="0" fontId="0" fillId="0" borderId="12" applyAlignment="1" pivotButton="0" quotePrefix="0" xfId="0">
      <alignment horizontal="center" vertical="center"/>
    </xf>
    <xf numFmtId="43" fontId="0" fillId="0" borderId="9" applyAlignment="1" pivotButton="0" quotePrefix="0" xfId="1">
      <alignment horizontal="center" vertical="center"/>
    </xf>
    <xf numFmtId="43" fontId="0" fillId="0" borderId="10" applyAlignment="1" pivotButton="0" quotePrefix="0" xfId="1">
      <alignment horizontal="center" vertical="center" wrapText="1"/>
    </xf>
    <xf numFmtId="43" fontId="0" fillId="0" borderId="5" applyAlignment="1" pivotButton="0" quotePrefix="0" xfId="1">
      <alignment horizontal="center" vertical="center"/>
    </xf>
    <xf numFmtId="43" fontId="0" fillId="0" borderId="9" applyAlignment="1" pivotButton="0" quotePrefix="0" xfId="0">
      <alignment horizontal="center"/>
    </xf>
    <xf numFmtId="0" fontId="7" fillId="18" borderId="13" applyAlignment="1" pivotButton="0" quotePrefix="0" xfId="0">
      <alignment horizontal="center" vertical="center"/>
    </xf>
    <xf numFmtId="0" fontId="7" fillId="18" borderId="13" applyAlignment="1" pivotButton="0" quotePrefix="0" xfId="0">
      <alignment horizontal="left" vertical="center"/>
    </xf>
    <xf numFmtId="0" fontId="3" fillId="15" borderId="10" applyAlignment="1" pivotButton="0" quotePrefix="0" xfId="0">
      <alignment horizontal="center" vertical="center"/>
    </xf>
    <xf numFmtId="43" fontId="0" fillId="15" borderId="5" applyAlignment="1" pivotButton="0" quotePrefix="0" xfId="0">
      <alignment horizontal="right"/>
    </xf>
    <xf numFmtId="12" fontId="0" fillId="0" borderId="5" applyAlignment="1" pivotButton="0" quotePrefix="0" xfId="0">
      <alignment horizontal="center"/>
    </xf>
    <xf numFmtId="0" fontId="0" fillId="0" borderId="11" applyAlignment="1" pivotButton="0" quotePrefix="0" xfId="0">
      <alignment horizontal="left" vertical="center"/>
    </xf>
    <xf numFmtId="0" fontId="3" fillId="17" borderId="11" applyAlignment="1" pivotButton="0" quotePrefix="0" xfId="0">
      <alignment horizontal="center" vertical="center"/>
    </xf>
    <xf numFmtId="43" fontId="0" fillId="17" borderId="10" applyAlignment="1" pivotButton="0" quotePrefix="0" xfId="1">
      <alignment horizontal="center"/>
    </xf>
    <xf numFmtId="0" fontId="0" fillId="0" borderId="10" applyAlignment="1" pivotButton="0" quotePrefix="0" xfId="0">
      <alignment horizontal="center" vertical="center"/>
    </xf>
    <xf numFmtId="43" fontId="0" fillId="11" borderId="10" pivotButton="0" quotePrefix="0" xfId="0"/>
    <xf numFmtId="43" fontId="0" fillId="0" borderId="10" pivotButton="0" quotePrefix="0" xfId="1"/>
    <xf numFmtId="0" fontId="0" fillId="0" borderId="10" applyAlignment="1" applyProtection="1" pivotButton="0" quotePrefix="0" xfId="0">
      <alignment horizontal="left"/>
      <protection locked="0" hidden="0"/>
    </xf>
    <xf numFmtId="43" fontId="0" fillId="0" borderId="5" applyAlignment="1" pivotButton="0" quotePrefix="0" xfId="1">
      <alignment horizontal="center"/>
    </xf>
    <xf numFmtId="43" fontId="0" fillId="0" borderId="9" pivotButton="0" quotePrefix="0" xfId="1"/>
    <xf numFmtId="3" fontId="0" fillId="0" borderId="10" applyAlignment="1" pivotButton="0" quotePrefix="0" xfId="0">
      <alignment horizontal="right" vertical="top"/>
    </xf>
    <xf numFmtId="0" fontId="3" fillId="15" borderId="10" applyAlignment="1" pivotButton="0" quotePrefix="0" xfId="0">
      <alignment vertical="center"/>
    </xf>
    <xf numFmtId="43" fontId="0" fillId="15" borderId="10" pivotButton="0" quotePrefix="0" xfId="1"/>
    <xf numFmtId="43" fontId="0" fillId="15" borderId="9" pivotButton="0" quotePrefix="0" xfId="1"/>
    <xf numFmtId="0" fontId="0" fillId="0" borderId="5" applyAlignment="1" pivotButton="0" quotePrefix="0" xfId="1">
      <alignment horizontal="center"/>
    </xf>
    <xf numFmtId="43" fontId="0" fillId="12" borderId="10" pivotButton="0" quotePrefix="0" xfId="0"/>
    <xf numFmtId="0" fontId="0" fillId="0" borderId="10" applyAlignment="1" applyProtection="1" pivotButton="0" quotePrefix="0" xfId="0">
      <alignment horizontal="left" vertical="center" wrapText="1"/>
      <protection locked="0" hidden="0"/>
    </xf>
    <xf numFmtId="43" fontId="0" fillId="0" borderId="6" applyAlignment="1" pivotButton="0" quotePrefix="0" xfId="1">
      <alignment horizontal="center"/>
    </xf>
    <xf numFmtId="0" fontId="3" fillId="15" borderId="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7" applyAlignment="1" pivotButton="0" quotePrefix="0" xfId="0">
      <alignment horizontal="center"/>
    </xf>
    <xf numFmtId="0" fontId="8" fillId="15" borderId="13" applyAlignment="1" pivotButton="0" quotePrefix="0" xfId="2">
      <alignment horizontal="center" vertical="center" wrapText="1"/>
    </xf>
    <xf numFmtId="0" fontId="3" fillId="15" borderId="20" applyAlignment="1" pivotButton="0" quotePrefix="0" xfId="0">
      <alignment horizontal="left"/>
    </xf>
    <xf numFmtId="0" fontId="0" fillId="0" borderId="13" applyAlignment="1" pivotButton="0" quotePrefix="0" xfId="0">
      <alignment horizontal="center" vertical="top"/>
    </xf>
    <xf numFmtId="0" fontId="0" fillId="19" borderId="10" applyAlignment="1" pivotButton="0" quotePrefix="0" xfId="0">
      <alignment horizontal="center"/>
    </xf>
    <xf numFmtId="0" fontId="0" fillId="19" borderId="11" applyAlignment="1" pivotButton="0" quotePrefix="0" xfId="0">
      <alignment horizontal="center"/>
    </xf>
    <xf numFmtId="0" fontId="0" fillId="19" borderId="10" applyAlignment="1" pivotButton="0" quotePrefix="0" xfId="0">
      <alignment horizontal="left"/>
    </xf>
    <xf numFmtId="0" fontId="0" fillId="19" borderId="10" applyAlignment="1" applyProtection="1" pivotButton="0" quotePrefix="0" xfId="0">
      <alignment horizontal="center" vertical="center" wrapText="1"/>
      <protection locked="0" hidden="0"/>
    </xf>
    <xf numFmtId="43" fontId="0" fillId="19" borderId="5" applyAlignment="1" pivotButton="0" quotePrefix="0" xfId="0">
      <alignment horizontal="center"/>
    </xf>
    <xf numFmtId="43" fontId="0" fillId="19" borderId="7" applyAlignment="1" pivotButton="0" quotePrefix="0" xfId="0">
      <alignment horizontal="center"/>
    </xf>
    <xf numFmtId="43" fontId="0" fillId="19" borderId="10" applyAlignment="1" pivotButton="0" quotePrefix="0" xfId="0">
      <alignment horizontal="right"/>
    </xf>
    <xf numFmtId="43" fontId="0" fillId="19" borderId="9" applyAlignment="1" pivotButton="0" quotePrefix="0" xfId="0">
      <alignment horizontal="right"/>
    </xf>
    <xf numFmtId="43" fontId="0" fillId="19" borderId="9" applyAlignment="1" pivotButton="0" quotePrefix="0" xfId="1">
      <alignment horizontal="center" vertical="center" wrapText="1"/>
    </xf>
    <xf numFmtId="43" fontId="0" fillId="19" borderId="10" pivotButton="0" quotePrefix="0" xfId="0"/>
    <xf numFmtId="0" fontId="0" fillId="19" borderId="0" pivotButton="0" quotePrefix="0" xfId="0"/>
    <xf numFmtId="0" fontId="0" fillId="0" borderId="17" applyAlignment="1" applyProtection="1" pivotButton="0" quotePrefix="0" xfId="0">
      <alignment horizontal="center" vertical="center" wrapText="1"/>
      <protection locked="0" hidden="0"/>
    </xf>
    <xf numFmtId="0" fontId="0" fillId="0" borderId="12" applyAlignment="1" pivotButton="0" quotePrefix="0" xfId="0">
      <alignment horizontal="left"/>
    </xf>
    <xf numFmtId="0" fontId="5" fillId="0" borderId="10" applyAlignment="1" pivotButton="0" quotePrefix="0" xfId="0">
      <alignment horizontal="center"/>
    </xf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165" fontId="0" fillId="11" borderId="10" applyAlignment="1" pivotButton="0" quotePrefix="0" xfId="0">
      <alignment horizontal="center" vertical="top"/>
    </xf>
    <xf numFmtId="43" fontId="0" fillId="0" borderId="21" pivotButton="0" quotePrefix="0" xfId="1"/>
    <xf numFmtId="0" fontId="0" fillId="17" borderId="0" pivotButton="0" quotePrefix="0" xfId="0"/>
    <xf numFmtId="0" fontId="0" fillId="0" borderId="11" pivotButton="0" quotePrefix="0" xfId="0"/>
    <xf numFmtId="0" fontId="2" fillId="0" borderId="13" applyAlignment="1" pivotButton="0" quotePrefix="0" xfId="0">
      <alignment horizontal="center" vertical="top"/>
    </xf>
    <xf numFmtId="43" fontId="0" fillId="0" borderId="17" applyAlignment="1" pivotButton="0" quotePrefix="0" xfId="1">
      <alignment horizontal="center" vertical="center" wrapText="1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2" applyAlignment="1" pivotButton="0" quotePrefix="0" xfId="0">
      <alignment horizontal="left"/>
    </xf>
    <xf numFmtId="0" fontId="0" fillId="0" borderId="22" applyAlignment="1" applyProtection="1" pivotButton="0" quotePrefix="0" xfId="0">
      <alignment horizontal="center" vertical="center" wrapText="1"/>
      <protection locked="0" hidden="0"/>
    </xf>
    <xf numFmtId="43" fontId="0" fillId="0" borderId="22" applyAlignment="1" pivotButton="0" quotePrefix="0" xfId="1">
      <alignment horizontal="center"/>
    </xf>
    <xf numFmtId="43" fontId="0" fillId="0" borderId="24" applyAlignment="1" pivotButton="0" quotePrefix="0" xfId="0">
      <alignment horizontal="center"/>
    </xf>
    <xf numFmtId="43" fontId="0" fillId="0" borderId="22" applyAlignment="1" pivotButton="0" quotePrefix="0" xfId="0">
      <alignment horizontal="center"/>
    </xf>
    <xf numFmtId="43" fontId="0" fillId="0" borderId="25" applyAlignment="1" pivotButton="0" quotePrefix="0" xfId="0">
      <alignment horizontal="right"/>
    </xf>
    <xf numFmtId="43" fontId="0" fillId="0" borderId="25" applyAlignment="1" pivotButton="0" quotePrefix="0" xfId="1">
      <alignment horizontal="center" vertical="center" wrapText="1"/>
    </xf>
    <xf numFmtId="43" fontId="0" fillId="0" borderId="22" pivotButton="0" quotePrefix="0" xfId="0"/>
    <xf numFmtId="0" fontId="0" fillId="12" borderId="0" applyAlignment="1" pivotButton="0" quotePrefix="0" xfId="0">
      <alignment horizontal="center"/>
    </xf>
    <xf numFmtId="0" fontId="0" fillId="12" borderId="0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left" vertical="center"/>
    </xf>
    <xf numFmtId="0" fontId="0" fillId="0" borderId="10" applyAlignment="1" applyProtection="1" pivotButton="0" quotePrefix="0" xfId="0">
      <alignment horizontal="center" vertical="center" wrapText="1"/>
      <protection locked="0" hidden="0"/>
    </xf>
    <xf numFmtId="43" fontId="0" fillId="0" borderId="5" applyAlignment="1" pivotButton="0" quotePrefix="0" xfId="0">
      <alignment horizontal="center"/>
    </xf>
    <xf numFmtId="43" fontId="0" fillId="0" borderId="12" applyAlignment="1" pivotButton="0" quotePrefix="0" xfId="0">
      <alignment horizontal="center"/>
    </xf>
    <xf numFmtId="43" fontId="0" fillId="0" borderId="10" applyAlignment="1" pivotButton="0" quotePrefix="0" xfId="0">
      <alignment horizontal="center"/>
    </xf>
    <xf numFmtId="43" fontId="0" fillId="0" borderId="5" applyAlignment="1" pivotButton="0" quotePrefix="0" xfId="0">
      <alignment horizontal="right" vertical="center"/>
    </xf>
    <xf numFmtId="43" fontId="0" fillId="0" borderId="9" pivotButton="0" quotePrefix="0" xfId="0"/>
    <xf numFmtId="43" fontId="0" fillId="0" borderId="10" pivotButton="0" quotePrefix="0" xfId="0"/>
    <xf numFmtId="43" fontId="0" fillId="0" borderId="0" pivotButton="0" quotePrefix="0" xfId="0"/>
    <xf numFmtId="0" fontId="0" fillId="0" borderId="0" pivotButton="0" quotePrefix="0" xfId="0"/>
  </cellXfs>
  <cellStyles count="3">
    <cellStyle name="Normal" xfId="0" builtinId="0"/>
    <cellStyle name="Comma" xfId="1" builtinId="3"/>
    <cellStyle name="Normal 3" xfId="2"/>
  </cellStyles>
  <dxfs count="1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9"/>
  <sheetViews>
    <sheetView tabSelected="1" workbookViewId="0">
      <selection activeCell="F4" sqref="F4"/>
    </sheetView>
  </sheetViews>
  <sheetFormatPr baseColWidth="8" defaultRowHeight="14.25"/>
  <cols>
    <col width="7.375" customWidth="1" style="219" min="1" max="1"/>
    <col width="12.5" customWidth="1" style="3" min="2" max="2"/>
    <col width="51" customWidth="1" style="4" min="3" max="3"/>
    <col width="5.875" customWidth="1" style="219" min="4" max="4"/>
    <col width="14.125" customWidth="1" style="3" min="5" max="5"/>
    <col width="14.25" bestFit="1" customWidth="1" style="3" min="6" max="6"/>
    <col width="15.25" customWidth="1" style="3" min="7" max="7"/>
    <col width="12.5" customWidth="1" style="219" min="8" max="8"/>
    <col hidden="1" width="14.25" customWidth="1" style="219" min="9" max="9"/>
    <col width="18.125" customWidth="1" style="219" min="10" max="10"/>
    <col hidden="1" width="11.25" customWidth="1" style="219" min="11" max="11"/>
    <col hidden="1" width="11.125" customWidth="1" style="219" min="12" max="12"/>
    <col width="10.625" bestFit="1" customWidth="1" style="219" min="13" max="15"/>
  </cols>
  <sheetData>
    <row r="1" ht="15" customHeight="1" s="219">
      <c r="A1" t="inlineStr">
        <is>
          <t>Date  :</t>
        </is>
      </c>
      <c r="B1" s="1" t="inlineStr">
        <is>
          <t>10.07.2025</t>
        </is>
      </c>
      <c r="C1" s="2" t="inlineStr">
        <is>
          <t>Plant : URMC</t>
        </is>
      </c>
    </row>
    <row r="2" ht="15.75" customHeight="1" s="219" thickBot="1">
      <c r="E2" s="1" t="n"/>
      <c r="F2" s="1" t="n"/>
      <c r="G2" s="1" t="n"/>
      <c r="H2" s="5" t="n"/>
      <c r="I2" s="5" t="n"/>
      <c r="J2" s="5" t="n"/>
      <c r="K2" s="5" t="n"/>
    </row>
    <row r="3" ht="26.25" customHeight="1" s="219" thickBot="1">
      <c r="A3" s="6" t="inlineStr">
        <is>
          <t>Type</t>
        </is>
      </c>
      <c r="B3" s="7" t="inlineStr">
        <is>
          <t>Material Code</t>
        </is>
      </c>
      <c r="C3" s="8" t="inlineStr">
        <is>
          <t>Material Name</t>
        </is>
      </c>
      <c r="D3" s="9" t="inlineStr">
        <is>
          <t>UOM</t>
        </is>
      </c>
      <c r="E3" s="10" t="inlineStr">
        <is>
          <t>Op.Stock-Warehouse</t>
        </is>
      </c>
      <c r="F3" s="11" t="inlineStr">
        <is>
          <t>Received</t>
        </is>
      </c>
      <c r="G3" s="12" t="inlineStr">
        <is>
          <t>Issued</t>
        </is>
      </c>
      <c r="H3" s="13" t="inlineStr">
        <is>
          <t>Return</t>
        </is>
      </c>
      <c r="I3" s="14" t="n"/>
      <c r="J3" s="15" t="inlineStr">
        <is>
          <t>Useable Material Total Closing Stock</t>
        </is>
      </c>
      <c r="K3" s="16" t="inlineStr">
        <is>
          <t>Production Block</t>
        </is>
      </c>
      <c r="L3" s="17" t="inlineStr">
        <is>
          <t>Rejection</t>
        </is>
      </c>
    </row>
    <row r="4" ht="15" customHeight="1" s="219">
      <c r="A4" s="18" t="inlineStr">
        <is>
          <t>RM</t>
        </is>
      </c>
      <c r="B4" s="19" t="n">
        <v>11067431</v>
      </c>
      <c r="C4" s="20" t="inlineStr">
        <is>
          <t>SALT - FLOW</t>
        </is>
      </c>
      <c r="D4" s="21" t="inlineStr">
        <is>
          <t>KG</t>
        </is>
      </c>
      <c r="E4" s="22">
        <f>1000+3000+1000+2000</f>
        <v/>
      </c>
      <c r="F4" s="23" t="n">
        <v>645</v>
      </c>
      <c r="G4" s="24" t="n">
        <v>5315</v>
      </c>
      <c r="H4" s="215" t="n">
        <v>830</v>
      </c>
      <c r="I4" s="25" t="n"/>
      <c r="J4" s="26">
        <f>+E4+F4-G4+H4</f>
        <v/>
      </c>
      <c r="K4" s="26">
        <f>5000+25*14+3000</f>
        <v/>
      </c>
      <c r="L4" s="27" t="n"/>
      <c r="M4" s="218" t="n"/>
    </row>
    <row r="5" ht="15" customHeight="1" s="219">
      <c r="A5" s="208" t="inlineStr">
        <is>
          <t>RM</t>
        </is>
      </c>
      <c r="B5" s="209" t="n">
        <v>11061702</v>
      </c>
      <c r="C5" s="210" t="inlineStr">
        <is>
          <t>WHITE SUGAR</t>
        </is>
      </c>
      <c r="D5" s="211" t="inlineStr">
        <is>
          <t>KG</t>
        </is>
      </c>
      <c r="E5" s="212">
        <f>250+12*50+15*50+30*50+15*50+15*50+15*50</f>
        <v/>
      </c>
      <c r="F5" s="28" t="n"/>
      <c r="G5" s="212" t="n"/>
      <c r="H5" s="215" t="n"/>
      <c r="I5" s="216" t="n"/>
      <c r="J5" s="26">
        <f>+E5+F5-G5+H5</f>
        <v/>
      </c>
      <c r="K5" s="26">
        <f>0.215+0.81+0.375</f>
        <v/>
      </c>
      <c r="L5" s="217" t="n"/>
      <c r="M5" s="29" t="n"/>
    </row>
    <row r="6" ht="15" customHeight="1" s="219">
      <c r="A6" s="208" t="inlineStr">
        <is>
          <t>RM</t>
        </is>
      </c>
      <c r="B6" s="209" t="n">
        <v>11002301</v>
      </c>
      <c r="C6" s="210" t="inlineStr">
        <is>
          <t>MONOSODIUM GLUTAMATE</t>
        </is>
      </c>
      <c r="D6" s="211" t="inlineStr">
        <is>
          <t>KG</t>
        </is>
      </c>
      <c r="E6" s="212">
        <f>36*25+32*25+1000+32*25+1000+1000</f>
        <v/>
      </c>
      <c r="F6" s="30" t="n"/>
      <c r="G6" s="31" t="n"/>
      <c r="H6" s="215" t="n"/>
      <c r="I6" s="216" t="n"/>
      <c r="J6" s="26">
        <f>+E6+F6-G6+H6</f>
        <v/>
      </c>
      <c r="K6" s="26">
        <f>13*25+25*26+18*25+50+25*2+1226.16</f>
        <v/>
      </c>
      <c r="L6" s="32">
        <f>25+8.6+25*32+18.1+7.1+25*21+25*30+25*30+25*30+25*30+471.91+750</f>
        <v/>
      </c>
      <c r="M6" s="218" t="n"/>
    </row>
    <row r="7" ht="16.5" customHeight="1" s="219">
      <c r="A7" s="208" t="inlineStr">
        <is>
          <t>RM</t>
        </is>
      </c>
      <c r="B7" s="209" t="n">
        <v>67548375</v>
      </c>
      <c r="C7" s="210" t="inlineStr">
        <is>
          <t>ONION POWDER</t>
        </is>
      </c>
      <c r="D7" s="211" t="inlineStr">
        <is>
          <t>KG</t>
        </is>
      </c>
      <c r="E7" s="212">
        <f>20*3+200</f>
        <v/>
      </c>
      <c r="F7" s="28" t="n"/>
      <c r="G7" s="212" t="n"/>
      <c r="H7" s="215" t="n"/>
      <c r="I7" s="216" t="n"/>
      <c r="J7" s="26">
        <f>+E7+F7-G7+H7</f>
        <v/>
      </c>
      <c r="K7" s="26" t="n"/>
      <c r="L7" s="217" t="n"/>
      <c r="N7" s="218" t="n"/>
    </row>
    <row r="8" ht="15" customHeight="1" s="219">
      <c r="A8" s="208" t="inlineStr">
        <is>
          <t>RM</t>
        </is>
      </c>
      <c r="B8" s="209" t="n">
        <v>11067473</v>
      </c>
      <c r="C8" s="210" t="inlineStr">
        <is>
          <t>CITRIC ACID MONOHYDRATE (FOOD GRADE)</t>
        </is>
      </c>
      <c r="D8" s="211" t="inlineStr">
        <is>
          <t>KG</t>
        </is>
      </c>
      <c r="E8" s="212">
        <f>55*25+20*25</f>
        <v/>
      </c>
      <c r="F8" s="213" t="n"/>
      <c r="G8" s="214" t="n"/>
      <c r="H8" s="215" t="n"/>
      <c r="I8" s="216" t="n"/>
      <c r="J8" s="26">
        <f>+E8+F8-G8+H8</f>
        <v/>
      </c>
      <c r="K8" s="26" t="n"/>
      <c r="L8" s="217">
        <f>16*25+40*25+20*25</f>
        <v/>
      </c>
      <c r="M8" s="218" t="n"/>
      <c r="N8" s="218" t="n"/>
    </row>
    <row r="9" ht="15" customHeight="1" s="219">
      <c r="A9" s="208" t="inlineStr">
        <is>
          <t>RM</t>
        </is>
      </c>
      <c r="B9" s="209" t="n">
        <v>11002242</v>
      </c>
      <c r="C9" s="210" t="inlineStr">
        <is>
          <t>SPICE CELERY POWDER</t>
        </is>
      </c>
      <c r="D9" s="211" t="inlineStr">
        <is>
          <t>KG</t>
        </is>
      </c>
      <c r="E9" s="212" t="n">
        <v>50</v>
      </c>
      <c r="F9" s="213" t="n"/>
      <c r="G9" s="214" t="n"/>
      <c r="H9" s="215" t="n"/>
      <c r="I9" s="216" t="n"/>
      <c r="J9" s="26">
        <f>+E9+F9-G9+H9</f>
        <v/>
      </c>
      <c r="K9" s="26">
        <f>21.3+1.07</f>
        <v/>
      </c>
      <c r="L9" s="217" t="n">
        <v>25</v>
      </c>
    </row>
    <row r="10" ht="15" customHeight="1" s="219">
      <c r="A10" s="208" t="inlineStr">
        <is>
          <t>RM</t>
        </is>
      </c>
      <c r="B10" s="209" t="n">
        <v>67550393</v>
      </c>
      <c r="C10" s="210" t="inlineStr">
        <is>
          <t>GARLIC POWDER</t>
        </is>
      </c>
      <c r="D10" s="211" t="inlineStr">
        <is>
          <t>KG</t>
        </is>
      </c>
      <c r="E10" s="212">
        <f>100+4*25</f>
        <v/>
      </c>
      <c r="F10" s="213" t="n"/>
      <c r="G10" s="214" t="n"/>
      <c r="H10" s="215" t="n"/>
      <c r="I10" s="216" t="n"/>
      <c r="J10" s="26">
        <f>+E10+F10-G10+H10</f>
        <v/>
      </c>
      <c r="K10" s="26">
        <f>25*5</f>
        <v/>
      </c>
      <c r="L10" s="217" t="n">
        <v>63.23</v>
      </c>
      <c r="M10" s="218" t="n"/>
      <c r="N10" s="218" t="n"/>
    </row>
    <row r="11" ht="15" customHeight="1" s="219">
      <c r="A11" s="208" t="inlineStr">
        <is>
          <t>RM</t>
        </is>
      </c>
      <c r="B11" s="209" t="n">
        <v>67548417</v>
      </c>
      <c r="C11" s="210" t="inlineStr">
        <is>
          <t>WHITE PEPPER</t>
        </is>
      </c>
      <c r="D11" s="211" t="inlineStr">
        <is>
          <t>KG</t>
        </is>
      </c>
      <c r="E11" s="212">
        <f>15*4+24</f>
        <v/>
      </c>
      <c r="F11" s="30" t="n"/>
      <c r="G11" s="31" t="n"/>
      <c r="H11" s="215" t="n"/>
      <c r="I11" s="216" t="n"/>
      <c r="J11" s="26">
        <f>+E11+F11-G11+H11</f>
        <v/>
      </c>
      <c r="K11" s="26" t="n"/>
      <c r="L11" s="217" t="n"/>
      <c r="M11" s="218" t="n"/>
    </row>
    <row r="12" ht="15" customHeight="1" s="219">
      <c r="A12" s="208" t="inlineStr">
        <is>
          <t>RM</t>
        </is>
      </c>
      <c r="B12" s="209" t="n">
        <v>11002253</v>
      </c>
      <c r="C12" s="210" t="inlineStr">
        <is>
          <t>SPICE TURMERIC POWDER</t>
        </is>
      </c>
      <c r="D12" s="211" t="inlineStr">
        <is>
          <t>KG</t>
        </is>
      </c>
      <c r="E12" s="212">
        <f>15+5*12+11</f>
        <v/>
      </c>
      <c r="F12" s="212" t="n"/>
      <c r="G12" s="214" t="n"/>
      <c r="H12" s="215" t="n"/>
      <c r="I12" s="216" t="n"/>
      <c r="J12" s="26">
        <f>+E12+F12-G12+H12</f>
        <v/>
      </c>
      <c r="K12" s="212">
        <f>12*6+4</f>
        <v/>
      </c>
      <c r="L12" s="217" t="n">
        <v>5.64</v>
      </c>
      <c r="N12" s="218" t="n"/>
    </row>
    <row r="13" ht="15" customHeight="1" s="219">
      <c r="A13" s="208" t="inlineStr">
        <is>
          <t>RM</t>
        </is>
      </c>
      <c r="B13" s="209" t="n">
        <v>11061729</v>
      </c>
      <c r="C13" s="210" t="inlineStr">
        <is>
          <t>I+G SODIUM 5'RIBONUCLEOTID</t>
        </is>
      </c>
      <c r="D13" s="211" t="inlineStr">
        <is>
          <t>KG</t>
        </is>
      </c>
      <c r="E13" s="212">
        <f>74*10+7*10</f>
        <v/>
      </c>
      <c r="F13" s="213" t="n"/>
      <c r="G13" s="214" t="n"/>
      <c r="H13" s="215" t="n"/>
      <c r="I13" s="216" t="n"/>
      <c r="J13" s="26">
        <f>+E13+F13-G13+H13</f>
        <v/>
      </c>
      <c r="K13" s="26" t="n"/>
      <c r="L13" s="217" t="n"/>
    </row>
    <row r="14" ht="15" customHeight="1" s="219">
      <c r="A14" s="208" t="inlineStr">
        <is>
          <t>RM</t>
        </is>
      </c>
      <c r="B14" s="209" t="n">
        <v>11827361</v>
      </c>
      <c r="C14" s="210" t="inlineStr">
        <is>
          <t>DRIED CORN STARCH 5% MOISTURE-SSL</t>
        </is>
      </c>
      <c r="D14" s="211" t="inlineStr">
        <is>
          <t>KG</t>
        </is>
      </c>
      <c r="E14" s="34">
        <f>400*2+800+400+400*4</f>
        <v/>
      </c>
      <c r="F14" s="28" t="n"/>
      <c r="G14" s="212" t="n"/>
      <c r="H14" s="215" t="n"/>
      <c r="I14" s="216" t="n"/>
      <c r="J14" s="26">
        <f>+E14+F14-G14+H14</f>
        <v/>
      </c>
      <c r="K14" s="26">
        <f>11*20+11*20</f>
        <v/>
      </c>
      <c r="L14" s="217" t="n">
        <v>400</v>
      </c>
      <c r="M14" s="218" t="n"/>
      <c r="N14" s="218" t="n"/>
    </row>
    <row r="15" ht="15" customHeight="1" s="219">
      <c r="A15" s="208" t="inlineStr">
        <is>
          <t>RM</t>
        </is>
      </c>
      <c r="B15" s="209" t="n">
        <v>11061758</v>
      </c>
      <c r="C15" s="210" t="inlineStr">
        <is>
          <t>CORN STARCH - IMPORT</t>
        </is>
      </c>
      <c r="D15" s="211" t="inlineStr">
        <is>
          <t>KG</t>
        </is>
      </c>
      <c r="E15" s="212" t="n"/>
      <c r="F15" s="28" t="n"/>
      <c r="G15" s="212" t="n"/>
      <c r="H15" s="215" t="n"/>
      <c r="I15" s="216" t="n"/>
      <c r="J15" s="26">
        <f>+E15+F15-G15+H15</f>
        <v/>
      </c>
      <c r="K15" s="26" t="n"/>
      <c r="L15" s="217" t="n"/>
    </row>
    <row r="16" ht="15" customHeight="1" s="219">
      <c r="A16" s="208" t="inlineStr">
        <is>
          <t>RM</t>
        </is>
      </c>
      <c r="B16" s="209" t="n">
        <v>11067112</v>
      </c>
      <c r="C16" s="210" t="inlineStr">
        <is>
          <t>YEAST EXTR. MICROGRANUL. STANDARD 18% SA</t>
        </is>
      </c>
      <c r="D16" s="211" t="inlineStr">
        <is>
          <t>KG</t>
        </is>
      </c>
      <c r="E16" s="212">
        <f>15*20+15*20+14*20</f>
        <v/>
      </c>
      <c r="F16" s="28" t="n"/>
      <c r="G16" s="212" t="n"/>
      <c r="H16" s="215" t="n"/>
      <c r="I16" s="35" t="n"/>
      <c r="J16" s="26">
        <f>+E16+F16-G16+H16</f>
        <v/>
      </c>
      <c r="K16" s="26" t="n"/>
      <c r="L16" s="217" t="n"/>
      <c r="M16" s="218" t="n"/>
    </row>
    <row r="17" ht="15.75" customHeight="1" s="219">
      <c r="A17" s="208" t="inlineStr">
        <is>
          <t>RM</t>
        </is>
      </c>
      <c r="B17" s="209" t="n">
        <v>67548424</v>
      </c>
      <c r="C17" s="210" t="inlineStr">
        <is>
          <t>SOYA SAUCE POWDER</t>
        </is>
      </c>
      <c r="D17" s="211" t="inlineStr">
        <is>
          <t>KG</t>
        </is>
      </c>
      <c r="E17" s="212">
        <f>100+3*50</f>
        <v/>
      </c>
      <c r="F17" s="28" t="n"/>
      <c r="G17" s="212" t="n"/>
      <c r="H17" s="215" t="n"/>
      <c r="I17" s="35" t="n"/>
      <c r="J17" s="26">
        <f>+E17+F17-G17+H17</f>
        <v/>
      </c>
      <c r="K17" s="26" t="n"/>
      <c r="L17" s="217" t="n"/>
      <c r="M17" s="218" t="n"/>
    </row>
    <row r="18" ht="15" customHeight="1" s="219">
      <c r="A18" s="208" t="inlineStr">
        <is>
          <t>RM</t>
        </is>
      </c>
      <c r="B18" s="209" t="n">
        <v>11061732</v>
      </c>
      <c r="C18" s="210" t="inlineStr">
        <is>
          <t>COOKED CHICKEN POWDER IDF</t>
        </is>
      </c>
      <c r="D18" s="211" t="inlineStr">
        <is>
          <t>KG</t>
        </is>
      </c>
      <c r="E18" s="212" t="n">
        <v>30</v>
      </c>
      <c r="F18" s="28" t="n"/>
      <c r="G18" s="212" t="n"/>
      <c r="H18" s="215" t="n"/>
      <c r="I18" s="35" t="n"/>
      <c r="J18" s="26">
        <f>+E18+F18-G18+H18</f>
        <v/>
      </c>
      <c r="K18" s="26" t="n">
        <v>16.3</v>
      </c>
      <c r="L18" s="217" t="n"/>
      <c r="M18" s="218" t="n"/>
    </row>
    <row r="19" ht="15" customHeight="1" s="219">
      <c r="A19" s="208" t="inlineStr">
        <is>
          <t>RM</t>
        </is>
      </c>
      <c r="B19" s="209" t="n">
        <v>11065981</v>
      </c>
      <c r="C19" s="210" t="inlineStr">
        <is>
          <t>FLAVOUR ULL4064H CHICKEN</t>
        </is>
      </c>
      <c r="D19" s="211" t="inlineStr">
        <is>
          <t>KG</t>
        </is>
      </c>
      <c r="E19" s="212">
        <f>8*25+12*25+8*25</f>
        <v/>
      </c>
      <c r="F19" s="28" t="n"/>
      <c r="G19" s="36" t="n"/>
      <c r="H19" s="25" t="n"/>
      <c r="I19" s="35" t="n"/>
      <c r="J19" s="26">
        <f>+E19+F19-G19+H19</f>
        <v/>
      </c>
      <c r="K19" s="26" t="n"/>
      <c r="L19" s="217" t="n"/>
    </row>
    <row r="20" ht="15" customHeight="1" s="219">
      <c r="A20" s="208" t="inlineStr">
        <is>
          <t>RM</t>
        </is>
      </c>
      <c r="B20" s="209" t="n">
        <v>11066541</v>
      </c>
      <c r="C20" s="210" t="inlineStr">
        <is>
          <t>INFAT 50</t>
        </is>
      </c>
      <c r="D20" s="211" t="inlineStr">
        <is>
          <t>KG</t>
        </is>
      </c>
      <c r="E20" s="212">
        <f>750+11*15+1500*2+39*15</f>
        <v/>
      </c>
      <c r="F20" s="28" t="n"/>
      <c r="G20" s="212" t="n"/>
      <c r="H20" s="215" t="n"/>
      <c r="I20" s="35" t="n"/>
      <c r="J20" s="26">
        <f>+E20+F20-G20+H20</f>
        <v/>
      </c>
      <c r="K20" s="26" t="n"/>
      <c r="L20" s="217" t="n"/>
    </row>
    <row r="21" ht="15" customHeight="1" s="219">
      <c r="A21" s="208" t="inlineStr">
        <is>
          <t>RM</t>
        </is>
      </c>
      <c r="B21" s="209" t="n">
        <v>11068103</v>
      </c>
      <c r="C21" s="210" t="inlineStr">
        <is>
          <t>FRYTOL FAT (KNORR SOFT FAT)</t>
        </is>
      </c>
      <c r="D21" s="211" t="inlineStr">
        <is>
          <t>KG</t>
        </is>
      </c>
      <c r="E21" s="212">
        <f>26*20+1000+1000+1000</f>
        <v/>
      </c>
      <c r="F21" s="28" t="n"/>
      <c r="G21" s="212" t="n"/>
      <c r="H21" s="215" t="n"/>
      <c r="I21" s="35" t="n"/>
      <c r="J21" s="26">
        <f>+E21+F21-G21+H21</f>
        <v/>
      </c>
      <c r="K21" s="26" t="n"/>
      <c r="L21" s="217" t="n"/>
    </row>
    <row r="22" ht="15" customHeight="1" s="219">
      <c r="A22" s="208" t="inlineStr">
        <is>
          <t>RM</t>
        </is>
      </c>
      <c r="B22" s="209" t="n">
        <v>68529522</v>
      </c>
      <c r="C22" s="210" t="inlineStr">
        <is>
          <t>TURMERIC OLEORESIN</t>
        </is>
      </c>
      <c r="D22" s="211" t="inlineStr">
        <is>
          <t>KG</t>
        </is>
      </c>
      <c r="E22" s="212" t="n">
        <v>25</v>
      </c>
      <c r="F22" s="28" t="n"/>
      <c r="G22" s="212" t="n"/>
      <c r="H22" s="215" t="n"/>
      <c r="I22" s="35" t="n"/>
      <c r="J22" s="26">
        <f>+E22+F22-G22+H22</f>
        <v/>
      </c>
      <c r="K22" s="26" t="n"/>
      <c r="L22" s="217" t="n"/>
    </row>
    <row r="23" ht="15" customHeight="1" s="219">
      <c r="A23" s="208" t="inlineStr">
        <is>
          <t>RM</t>
        </is>
      </c>
      <c r="B23" s="37" t="n">
        <v>69781265</v>
      </c>
      <c r="C23" s="38" t="inlineStr">
        <is>
          <t>SPICE OLEORESIN</t>
        </is>
      </c>
      <c r="D23" s="211" t="inlineStr">
        <is>
          <t>KG</t>
        </is>
      </c>
      <c r="E23" s="212" t="n"/>
      <c r="F23" s="28" t="n"/>
      <c r="G23" s="212" t="n"/>
      <c r="H23" s="215" t="n"/>
      <c r="I23" s="35" t="n"/>
      <c r="J23" s="26">
        <f>+E23+F23-G23+H23</f>
        <v/>
      </c>
      <c r="K23" s="26" t="n"/>
      <c r="L23" s="217" t="n"/>
      <c r="M23" s="218" t="n"/>
    </row>
    <row r="24" ht="15" customHeight="1" s="219">
      <c r="A24" s="208" t="inlineStr">
        <is>
          <t>RM</t>
        </is>
      </c>
      <c r="B24" s="37" t="n">
        <v>69781147</v>
      </c>
      <c r="C24" s="38" t="inlineStr">
        <is>
          <t>CURRY SPICE POWDER HL</t>
        </is>
      </c>
      <c r="D24" s="211" t="inlineStr">
        <is>
          <t>KG</t>
        </is>
      </c>
      <c r="E24" s="212" t="n"/>
      <c r="F24" s="28" t="n"/>
      <c r="G24" s="212" t="n"/>
      <c r="H24" s="215" t="n"/>
      <c r="I24" s="35" t="n"/>
      <c r="J24" s="26">
        <f>+E24+F24-G24+H24</f>
        <v/>
      </c>
      <c r="K24" s="26" t="n"/>
      <c r="L24" s="217" t="n"/>
    </row>
    <row r="25">
      <c r="A25" s="208" t="n"/>
      <c r="B25" s="209" t="n"/>
      <c r="C25" s="210" t="n"/>
      <c r="D25" s="211" t="n"/>
      <c r="E25" s="212" t="n"/>
      <c r="F25" s="28" t="n"/>
      <c r="G25" s="214" t="n"/>
      <c r="H25" s="215" t="n"/>
      <c r="I25" s="35" t="n"/>
      <c r="J25" s="26">
        <f>+E25+F25-G25+H25</f>
        <v/>
      </c>
      <c r="K25" s="26" t="n"/>
      <c r="L25" s="217" t="n"/>
      <c r="M25" s="218" t="n"/>
    </row>
    <row r="26">
      <c r="A26" s="208" t="inlineStr">
        <is>
          <t>RM</t>
        </is>
      </c>
      <c r="B26" s="19" t="n">
        <v>11067431</v>
      </c>
      <c r="C26" s="210" t="inlineStr">
        <is>
          <t>SALT (CITY SALT)</t>
        </is>
      </c>
      <c r="D26" s="211" t="inlineStr">
        <is>
          <t>KG</t>
        </is>
      </c>
      <c r="E26" s="212" t="n">
        <v>2000</v>
      </c>
      <c r="F26" s="28" t="n"/>
      <c r="G26" s="214" t="n"/>
      <c r="H26" s="39" t="n"/>
      <c r="I26" s="35" t="n"/>
      <c r="J26" s="26">
        <f>+E26+F26-G26+H26</f>
        <v/>
      </c>
      <c r="K26" s="26" t="n"/>
      <c r="L26" s="217" t="n"/>
      <c r="M26" s="218" t="n"/>
      <c r="O26" s="218" t="n"/>
    </row>
    <row r="27">
      <c r="A27" s="208" t="inlineStr">
        <is>
          <t>RM</t>
        </is>
      </c>
      <c r="B27" s="209" t="n">
        <v>11000448</v>
      </c>
      <c r="C27" s="210" t="inlineStr">
        <is>
          <t>SALT (WELLASSA)</t>
        </is>
      </c>
      <c r="D27" s="211" t="inlineStr">
        <is>
          <t>KG</t>
        </is>
      </c>
      <c r="E27" s="214" t="n"/>
      <c r="F27" s="213" t="n"/>
      <c r="G27" s="214" t="n"/>
      <c r="H27" s="39" t="n"/>
      <c r="I27" s="35" t="n"/>
      <c r="J27" s="26">
        <f>+E27+F27-G27+H27</f>
        <v/>
      </c>
      <c r="K27" s="26" t="n"/>
      <c r="L27" s="40" t="n"/>
      <c r="M27" s="218" t="n"/>
      <c r="N27" s="218" t="n"/>
    </row>
    <row r="28">
      <c r="A28" s="208" t="inlineStr">
        <is>
          <t>RM</t>
        </is>
      </c>
      <c r="B28" s="209" t="n">
        <v>11000448</v>
      </c>
      <c r="C28" s="210" t="inlineStr">
        <is>
          <t>SALT (WIS)</t>
        </is>
      </c>
      <c r="D28" s="211" t="inlineStr">
        <is>
          <t>KG</t>
        </is>
      </c>
      <c r="E28" s="212" t="n"/>
      <c r="F28" s="28" t="n"/>
      <c r="G28" s="212" t="n"/>
      <c r="H28" s="41" t="n"/>
      <c r="I28" s="42" t="n"/>
      <c r="J28" s="26">
        <f>+E28+F28-G28+H28</f>
        <v/>
      </c>
      <c r="K28" s="26" t="n"/>
      <c r="L28" s="217" t="n"/>
      <c r="M28" s="218" t="n"/>
    </row>
    <row r="29">
      <c r="A29" s="208" t="n"/>
      <c r="B29" s="209" t="n">
        <v>11000448</v>
      </c>
      <c r="C29" s="210" t="inlineStr">
        <is>
          <t>SALT (ST ANNE'S)</t>
        </is>
      </c>
      <c r="D29" s="211" t="inlineStr">
        <is>
          <t>KG</t>
        </is>
      </c>
      <c r="E29" s="212" t="n"/>
      <c r="F29" s="28" t="n"/>
      <c r="G29" s="212" t="n"/>
      <c r="H29" s="41" t="n"/>
      <c r="I29" s="43" t="n"/>
      <c r="J29" s="26">
        <f>+E29+F29-G29+H29</f>
        <v/>
      </c>
      <c r="K29" s="33">
        <f>33*25+20*25+23.605*12+23.06+5000+1000+21*25+2000+15000</f>
        <v/>
      </c>
      <c r="L29" s="217" t="n"/>
      <c r="M29" s="218" t="n"/>
      <c r="N29" s="44" t="n"/>
    </row>
    <row r="30" ht="14.25" customHeight="1" s="219">
      <c r="A30" s="208" t="inlineStr">
        <is>
          <t>RM</t>
        </is>
      </c>
      <c r="B30" s="37" t="n">
        <v>11063712</v>
      </c>
      <c r="C30" s="38" t="inlineStr">
        <is>
          <t>DEHYDRATED MALDIVE FISH</t>
        </is>
      </c>
      <c r="D30" s="211" t="inlineStr">
        <is>
          <t>KG</t>
        </is>
      </c>
      <c r="E30" s="212">
        <f>43*7+4+42*7+14</f>
        <v/>
      </c>
      <c r="F30" s="28" t="n"/>
      <c r="G30" s="212" t="n"/>
      <c r="H30" s="39" t="n"/>
      <c r="I30" s="35" t="n"/>
      <c r="J30" s="26">
        <f>+E30+F30-G30+H30</f>
        <v/>
      </c>
      <c r="K30" s="26" t="n"/>
      <c r="L30" s="217" t="n"/>
      <c r="M30" s="218" t="n"/>
      <c r="N30" s="218" t="n"/>
      <c r="O30" s="218" t="n"/>
    </row>
    <row r="31">
      <c r="A31" s="208" t="inlineStr">
        <is>
          <t>RM</t>
        </is>
      </c>
      <c r="B31" s="37" t="n">
        <v>67641184</v>
      </c>
      <c r="C31" s="38" t="inlineStr">
        <is>
          <t>MALDIVE FISH POWDER</t>
        </is>
      </c>
      <c r="D31" s="211" t="inlineStr">
        <is>
          <t>KG</t>
        </is>
      </c>
      <c r="E31" s="212">
        <f>25*7+1+7*15+7*24+9</f>
        <v/>
      </c>
      <c r="F31" s="28" t="n"/>
      <c r="G31" s="212" t="n"/>
      <c r="H31" s="39" t="n"/>
      <c r="I31" s="35" t="n"/>
      <c r="J31" s="26">
        <f>+E31+F31-G31+H31</f>
        <v/>
      </c>
      <c r="K31" s="26" t="n">
        <v>63.23</v>
      </c>
      <c r="L31" s="217">
        <f>7*3</f>
        <v/>
      </c>
      <c r="M31" s="218" t="n"/>
    </row>
    <row r="32">
      <c r="A32" s="208" t="inlineStr">
        <is>
          <t>RM</t>
        </is>
      </c>
      <c r="B32" s="37" t="n">
        <v>11055492</v>
      </c>
      <c r="C32" s="38" t="inlineStr">
        <is>
          <t>SILICA PRECIPITATED</t>
        </is>
      </c>
      <c r="D32" s="211" t="inlineStr">
        <is>
          <t>KG</t>
        </is>
      </c>
      <c r="E32" s="212">
        <f>20+20*2</f>
        <v/>
      </c>
      <c r="F32" s="213" t="n"/>
      <c r="G32" s="214" t="n"/>
      <c r="H32" s="39" t="n"/>
      <c r="I32" s="35" t="n"/>
      <c r="J32" s="26">
        <f>+E32+F32-G32+H32</f>
        <v/>
      </c>
      <c r="K32" s="26" t="n"/>
      <c r="L32" s="217" t="n"/>
      <c r="M32" s="218" t="n"/>
    </row>
    <row r="33">
      <c r="A33" s="208" t="inlineStr">
        <is>
          <t>RM</t>
        </is>
      </c>
      <c r="B33" s="37" t="n">
        <v>67548282</v>
      </c>
      <c r="C33" s="38" t="inlineStr">
        <is>
          <t>PAPRIKA EXTRACT OIL SOLUBLE</t>
        </is>
      </c>
      <c r="D33" s="211" t="inlineStr">
        <is>
          <t>KG</t>
        </is>
      </c>
      <c r="E33" s="212" t="n"/>
      <c r="F33" s="213" t="n"/>
      <c r="G33" s="214" t="n"/>
      <c r="H33" s="39" t="n"/>
      <c r="I33" s="35" t="n"/>
      <c r="J33" s="26">
        <f>+E33+F33-G33+H33</f>
        <v/>
      </c>
      <c r="K33" s="26" t="n"/>
      <c r="L33" s="217" t="n"/>
      <c r="M33" s="218" t="n"/>
    </row>
    <row r="34" ht="15.75" customHeight="1" s="219">
      <c r="A34" s="208" t="inlineStr">
        <is>
          <t>RM</t>
        </is>
      </c>
      <c r="B34" s="37" t="n">
        <v>11058892</v>
      </c>
      <c r="C34" s="38" t="inlineStr">
        <is>
          <t>SPICE ROASTED CHILLI POWDER</t>
        </is>
      </c>
      <c r="D34" s="211" t="inlineStr">
        <is>
          <t>KG</t>
        </is>
      </c>
      <c r="E34" s="212">
        <f>15*3+15*4</f>
        <v/>
      </c>
      <c r="F34" s="28" t="n"/>
      <c r="G34" s="214" t="n"/>
      <c r="H34" s="39" t="n"/>
      <c r="I34" s="35" t="n"/>
      <c r="J34" s="26">
        <f>+E34+F34-G34+H34</f>
        <v/>
      </c>
      <c r="K34" s="26" t="n"/>
      <c r="L34" s="217" t="n"/>
    </row>
    <row r="35">
      <c r="A35" s="208" t="inlineStr">
        <is>
          <t>RM</t>
        </is>
      </c>
      <c r="B35" s="37" t="n">
        <v>11063692</v>
      </c>
      <c r="C35" s="38" t="inlineStr">
        <is>
          <t>SMOKE FLAVOR 508386 TP0599</t>
        </is>
      </c>
      <c r="D35" s="211" t="inlineStr">
        <is>
          <t>KG</t>
        </is>
      </c>
      <c r="E35" s="212" t="n">
        <v>25</v>
      </c>
      <c r="F35" s="213" t="n"/>
      <c r="G35" s="214" t="n"/>
      <c r="H35" s="39" t="n"/>
      <c r="I35" s="35" t="n"/>
      <c r="J35" s="26">
        <f>+E35+F35-G35+H35</f>
        <v/>
      </c>
      <c r="K35" s="26" t="n"/>
      <c r="L35" s="217" t="n"/>
      <c r="M35" s="45" t="n"/>
    </row>
    <row r="36">
      <c r="A36" s="208" t="n"/>
      <c r="B36" s="37" t="n"/>
      <c r="C36" s="38" t="n"/>
      <c r="D36" s="211" t="n"/>
      <c r="E36" s="212" t="n"/>
      <c r="F36" s="213" t="n"/>
      <c r="G36" s="214" t="n"/>
      <c r="H36" s="39" t="n"/>
      <c r="I36" s="35" t="n"/>
      <c r="J36" s="26">
        <f>+E36+F36-G36+H36</f>
        <v/>
      </c>
      <c r="K36" s="26" t="n"/>
      <c r="L36" s="217" t="n"/>
      <c r="M36" s="218" t="n"/>
    </row>
    <row r="37">
      <c r="A37" s="208" t="inlineStr">
        <is>
          <t>RM</t>
        </is>
      </c>
      <c r="B37" s="37" t="n">
        <v>11003072</v>
      </c>
      <c r="C37" s="38" t="inlineStr">
        <is>
          <t>MALTO DEXTRINE</t>
        </is>
      </c>
      <c r="D37" s="211" t="inlineStr">
        <is>
          <t>KG</t>
        </is>
      </c>
      <c r="E37" s="31" t="n">
        <v>1000</v>
      </c>
      <c r="F37" s="213" t="n"/>
      <c r="G37" s="18" t="n"/>
      <c r="H37" s="40" t="n"/>
      <c r="I37" s="216" t="n"/>
      <c r="J37" s="26">
        <f>+E37+F37-G37+H37</f>
        <v/>
      </c>
      <c r="K37" s="26" t="n"/>
      <c r="L37" s="217" t="n"/>
      <c r="M37" s="218" t="n"/>
    </row>
    <row r="38">
      <c r="A38" s="208" t="inlineStr">
        <is>
          <t>RM</t>
        </is>
      </c>
      <c r="B38" s="37" t="n">
        <v>11068106</v>
      </c>
      <c r="C38" s="38" t="inlineStr">
        <is>
          <t>HUL SPICE MIX 790</t>
        </is>
      </c>
      <c r="D38" s="211" t="inlineStr">
        <is>
          <t>KG</t>
        </is>
      </c>
      <c r="E38" s="212" t="n">
        <v>100</v>
      </c>
      <c r="F38" s="213" t="n"/>
      <c r="G38" s="214" t="n"/>
      <c r="H38" s="39" t="n"/>
      <c r="I38" s="35" t="n"/>
      <c r="J38" s="26">
        <f>+E38+F38-G38+H38</f>
        <v/>
      </c>
      <c r="K38" s="26" t="n"/>
      <c r="L38" s="217" t="n"/>
    </row>
    <row r="39">
      <c r="A39" s="208" t="inlineStr">
        <is>
          <t>RM</t>
        </is>
      </c>
      <c r="B39" s="37" t="n">
        <v>11068122</v>
      </c>
      <c r="C39" s="38" t="inlineStr">
        <is>
          <t>ROSE PETAL SD FLAVOR 452746</t>
        </is>
      </c>
      <c r="D39" s="211" t="inlineStr">
        <is>
          <t>KG</t>
        </is>
      </c>
      <c r="E39" s="212" t="n"/>
      <c r="F39" s="213" t="n"/>
      <c r="G39" s="214" t="n"/>
      <c r="H39" s="39" t="n"/>
      <c r="I39" s="35" t="n"/>
      <c r="J39" s="26">
        <f>+E39+F39-G39+H39</f>
        <v/>
      </c>
      <c r="K39" s="26" t="n"/>
      <c r="L39" s="217">
        <f>25+21.29+5.74*2+6.12</f>
        <v/>
      </c>
    </row>
    <row r="40">
      <c r="A40" s="208" t="inlineStr">
        <is>
          <t>RM</t>
        </is>
      </c>
      <c r="B40" s="37" t="n">
        <v>11068110</v>
      </c>
      <c r="C40" s="38" t="inlineStr">
        <is>
          <t>FLAVOUR LEMONGRASS860662 TD0990B FIRMENI</t>
        </is>
      </c>
      <c r="D40" s="211" t="inlineStr">
        <is>
          <t>KG</t>
        </is>
      </c>
      <c r="E40" s="212" t="n"/>
      <c r="F40" s="213" t="n"/>
      <c r="G40" s="214" t="n"/>
      <c r="H40" s="39" t="n"/>
      <c r="I40" s="35" t="n"/>
      <c r="J40" s="26">
        <f>+E40+F40-G40+H40</f>
        <v/>
      </c>
      <c r="K40" s="26" t="n"/>
      <c r="L40" s="217" t="n"/>
    </row>
    <row r="41">
      <c r="A41" s="208" t="n"/>
      <c r="B41" s="209" t="n"/>
      <c r="C41" s="210" t="n"/>
      <c r="D41" s="211" t="n"/>
      <c r="E41" s="212" t="n"/>
      <c r="F41" s="213" t="n"/>
      <c r="G41" s="214" t="n"/>
      <c r="H41" s="39" t="n"/>
      <c r="I41" s="35" t="n"/>
      <c r="J41" s="26">
        <f>+E41+F41-G41+H41</f>
        <v/>
      </c>
      <c r="K41" s="26" t="n"/>
      <c r="L41" s="217" t="n"/>
    </row>
    <row r="42" ht="16.5" customHeight="1" s="219">
      <c r="A42" s="208" t="inlineStr">
        <is>
          <t>RM</t>
        </is>
      </c>
      <c r="B42" s="37" t="n">
        <v>67791483</v>
      </c>
      <c r="C42" s="38" t="inlineStr">
        <is>
          <t>HIGH NUCLEOTIDE YEAST EXTRACT</t>
        </is>
      </c>
      <c r="D42" s="211" t="inlineStr">
        <is>
          <t>KG</t>
        </is>
      </c>
      <c r="E42" s="214" t="n"/>
      <c r="F42" s="213" t="n"/>
      <c r="G42" s="214" t="n"/>
      <c r="H42" s="39" t="n"/>
      <c r="I42" s="35" t="n"/>
      <c r="J42" s="26">
        <f>+E42+F42-G42+H42</f>
        <v/>
      </c>
      <c r="K42" s="26" t="n"/>
      <c r="L42" s="217" t="n"/>
    </row>
    <row r="43">
      <c r="A43" s="208" t="inlineStr">
        <is>
          <t>RM</t>
        </is>
      </c>
      <c r="B43" s="37" t="n">
        <v>11068121</v>
      </c>
      <c r="C43" s="38" t="inlineStr">
        <is>
          <t>HUL SPICE MIX 821E</t>
        </is>
      </c>
      <c r="D43" s="211" t="inlineStr">
        <is>
          <t>KG</t>
        </is>
      </c>
      <c r="E43" s="212" t="n">
        <v>25</v>
      </c>
      <c r="F43" s="28" t="n"/>
      <c r="G43" s="212" t="n"/>
      <c r="H43" s="39" t="n"/>
      <c r="I43" s="35" t="n"/>
      <c r="J43" s="26">
        <f>+E43+F43-G43+H43</f>
        <v/>
      </c>
      <c r="K43" s="26" t="n"/>
      <c r="L43" s="217" t="n"/>
    </row>
    <row r="44" ht="14.25" customHeight="1" s="219">
      <c r="A44" s="208" t="inlineStr">
        <is>
          <t>RM</t>
        </is>
      </c>
      <c r="B44" s="37" t="n">
        <v>11068105</v>
      </c>
      <c r="C44" s="38" t="inlineStr">
        <is>
          <t>OLEORESIN CHILI 4010000026</t>
        </is>
      </c>
      <c r="D44" s="211" t="inlineStr">
        <is>
          <t>KG</t>
        </is>
      </c>
      <c r="E44" s="212" t="n"/>
      <c r="F44" s="28" t="n"/>
      <c r="G44" s="212" t="n"/>
      <c r="H44" s="39" t="n"/>
      <c r="I44" s="35" t="n"/>
      <c r="J44" s="26">
        <f>+E44+F44-G44+H44</f>
        <v/>
      </c>
      <c r="K44" s="26" t="n">
        <v>10.45</v>
      </c>
      <c r="L44" s="217" t="n"/>
    </row>
    <row r="45">
      <c r="A45" s="208" t="inlineStr">
        <is>
          <t>RM</t>
        </is>
      </c>
      <c r="B45" s="37" t="n">
        <v>11068104</v>
      </c>
      <c r="C45" s="38" t="inlineStr">
        <is>
          <t>BLACK PEPPER POWDER 32 MESH</t>
        </is>
      </c>
      <c r="D45" s="211" t="inlineStr">
        <is>
          <t>KG</t>
        </is>
      </c>
      <c r="E45" s="212" t="n">
        <v>11</v>
      </c>
      <c r="F45" s="28" t="n"/>
      <c r="G45" s="212" t="n"/>
      <c r="H45" s="39" t="n"/>
      <c r="I45" s="35" t="n"/>
      <c r="J45" s="26">
        <f>+E45+F45-G45+H45</f>
        <v/>
      </c>
      <c r="K45" s="26" t="n"/>
      <c r="L45" s="217" t="n"/>
    </row>
    <row r="46">
      <c r="A46" s="208" t="n"/>
      <c r="B46" s="46" t="n"/>
      <c r="C46" s="47" t="n"/>
      <c r="D46" s="48" t="n"/>
      <c r="E46" s="212" t="n"/>
      <c r="F46" s="28" t="n"/>
      <c r="G46" s="212" t="n"/>
      <c r="H46" s="39" t="n"/>
      <c r="I46" s="35" t="n"/>
      <c r="J46" s="26">
        <f>+E46+F46-G46+H46</f>
        <v/>
      </c>
      <c r="K46" s="26" t="n"/>
      <c r="L46" s="217" t="n"/>
    </row>
    <row r="47">
      <c r="A47" s="208" t="inlineStr">
        <is>
          <t>RM</t>
        </is>
      </c>
      <c r="B47" s="46" t="n">
        <v>69628041</v>
      </c>
      <c r="C47" s="47" t="inlineStr">
        <is>
          <t>Tapioca Starch E1412 14% moisture (BIND T)</t>
        </is>
      </c>
      <c r="D47" s="48" t="inlineStr">
        <is>
          <t>KG</t>
        </is>
      </c>
      <c r="E47" s="212" t="n">
        <v>25</v>
      </c>
      <c r="F47" s="28" t="n"/>
      <c r="G47" s="212" t="n"/>
      <c r="H47" s="39" t="n"/>
      <c r="I47" s="35" t="n"/>
      <c r="J47" s="26">
        <f>+E47+F47-G47+H47</f>
        <v/>
      </c>
      <c r="K47" s="26" t="n"/>
      <c r="L47" s="217" t="n"/>
    </row>
    <row r="48">
      <c r="A48" s="208" t="inlineStr">
        <is>
          <t>RM</t>
        </is>
      </c>
      <c r="B48" s="46" t="n">
        <v>11057361</v>
      </c>
      <c r="C48" s="47" t="inlineStr">
        <is>
          <t>Sodium bicarbonate,NaHCO3, food grade</t>
        </is>
      </c>
      <c r="D48" s="48" t="inlineStr">
        <is>
          <t>KG</t>
        </is>
      </c>
      <c r="E48" s="212" t="n">
        <v>25</v>
      </c>
      <c r="F48" s="28" t="n"/>
      <c r="G48" s="212" t="n"/>
      <c r="H48" s="39" t="n"/>
      <c r="I48" s="35" t="n"/>
      <c r="J48" s="26">
        <f>+E48+F48-G48+H48</f>
        <v/>
      </c>
      <c r="K48" s="26" t="n"/>
      <c r="L48" s="217" t="n"/>
    </row>
    <row r="49">
      <c r="A49" s="208" t="n"/>
      <c r="B49" s="49" t="n"/>
      <c r="C49" s="50" t="n"/>
      <c r="D49" s="48" t="n"/>
      <c r="E49" s="212" t="n"/>
      <c r="F49" s="28" t="n"/>
      <c r="G49" s="212" t="n"/>
      <c r="H49" s="39" t="n"/>
      <c r="I49" s="35" t="n"/>
      <c r="J49" s="26">
        <f>+E49+F49-G49+H49</f>
        <v/>
      </c>
      <c r="K49" s="26" t="n"/>
      <c r="L49" s="217" t="n"/>
    </row>
    <row r="50" ht="15" customHeight="1" s="219">
      <c r="A50" s="51" t="inlineStr">
        <is>
          <t>FG</t>
        </is>
      </c>
      <c r="B50" s="52" t="n">
        <v>94010257</v>
      </c>
      <c r="C50" s="53" t="inlineStr">
        <is>
          <t>KN CHICK CUBE PC RMC (280gx10G)_0024</t>
        </is>
      </c>
      <c r="D50" s="54" t="n"/>
      <c r="E50" s="55" t="n"/>
      <c r="F50" s="56" t="n"/>
      <c r="G50" s="55" t="n"/>
      <c r="H50" s="55" t="n"/>
      <c r="I50" s="57" t="n"/>
      <c r="J50" s="26">
        <f>+E50+F50-G50+H50</f>
        <v/>
      </c>
      <c r="K50" s="58" t="n"/>
      <c r="L50" s="59" t="n"/>
    </row>
    <row r="51">
      <c r="A51" s="208" t="inlineStr">
        <is>
          <t>PM</t>
        </is>
      </c>
      <c r="B51" s="37" t="n">
        <v>11511490</v>
      </c>
      <c r="C51" s="38" t="inlineStr">
        <is>
          <t>LAMI KNORR CUBE 10G ALU FOIL 8 MIC-ALUMINIUM COIL</t>
        </is>
      </c>
      <c r="D51" s="211" t="inlineStr">
        <is>
          <t>M</t>
        </is>
      </c>
      <c r="E51" s="212">
        <f>50*1000</f>
        <v/>
      </c>
      <c r="F51" s="28" t="n"/>
      <c r="G51" s="212" t="n"/>
      <c r="H51" s="39" t="n"/>
      <c r="I51" s="35" t="n"/>
      <c r="J51" s="26">
        <f>+E51+F51-G51+H51</f>
        <v/>
      </c>
      <c r="K51" s="60">
        <f>4098+2000</f>
        <v/>
      </c>
      <c r="L51" s="217" t="n"/>
    </row>
    <row r="52">
      <c r="A52" s="208" t="inlineStr">
        <is>
          <t>PM</t>
        </is>
      </c>
      <c r="B52" s="37" t="n">
        <v>68441968</v>
      </c>
      <c r="C52" s="38" t="inlineStr">
        <is>
          <t>PLTUB KN CUBES PC PET NEW 280G-BOTTLE</t>
        </is>
      </c>
      <c r="D52" s="211" t="inlineStr">
        <is>
          <t>EA</t>
        </is>
      </c>
      <c r="E52" s="212">
        <f>17*1500+2000</f>
        <v/>
      </c>
      <c r="F52" s="28" t="n"/>
      <c r="G52" s="212" t="n"/>
      <c r="H52" s="39" t="n"/>
      <c r="I52" s="35" t="n"/>
      <c r="J52" s="26">
        <f>+E52+F52-G52+H52</f>
        <v/>
      </c>
      <c r="K52" s="61" t="n">
        <v>8076</v>
      </c>
      <c r="L52" s="217" t="n"/>
    </row>
    <row r="53" customFormat="1" s="63">
      <c r="A53" s="208" t="inlineStr">
        <is>
          <t>PM</t>
        </is>
      </c>
      <c r="B53" s="37" t="n">
        <v>68441966</v>
      </c>
      <c r="C53" s="38" t="inlineStr">
        <is>
          <t>PLID KN CUBES PC PP 280G -LID</t>
        </is>
      </c>
      <c r="D53" s="211" t="inlineStr">
        <is>
          <t>EA</t>
        </is>
      </c>
      <c r="E53" s="212">
        <f>289+15*300</f>
        <v/>
      </c>
      <c r="F53" s="62" t="n"/>
      <c r="G53" s="212" t="n"/>
      <c r="H53" s="39" t="n"/>
      <c r="I53" s="35" t="n"/>
      <c r="J53" s="26">
        <f>+E53+F53-G53+H53</f>
        <v/>
      </c>
      <c r="K53" s="26" t="n"/>
      <c r="L53" s="217" t="n"/>
      <c r="N53" s="64" t="n"/>
    </row>
    <row r="54" ht="14.25" customHeight="1" s="219">
      <c r="A54" s="208" t="inlineStr">
        <is>
          <t>PM</t>
        </is>
      </c>
      <c r="B54" s="37" t="inlineStr">
        <is>
          <t>64872135</t>
        </is>
      </c>
      <c r="C54" s="65" t="inlineStr">
        <is>
          <t>FLB KN CUBES PC 280G REG2024</t>
        </is>
      </c>
      <c r="D54" s="211" t="inlineStr">
        <is>
          <t>EA</t>
        </is>
      </c>
      <c r="E54" s="212" t="n">
        <v>36000</v>
      </c>
      <c r="F54" s="66" t="n"/>
      <c r="G54" s="212" t="n"/>
      <c r="H54" s="39" t="n"/>
      <c r="I54" s="35" t="n"/>
      <c r="J54" s="26">
        <f>+E54+F54-G54+H54</f>
        <v/>
      </c>
      <c r="K54" s="26" t="n"/>
      <c r="L54" s="61" t="n"/>
      <c r="N54" s="218" t="n"/>
    </row>
    <row r="55" customFormat="1" s="77">
      <c r="A55" s="67" t="inlineStr">
        <is>
          <t>PM</t>
        </is>
      </c>
      <c r="B55" s="68" t="n">
        <v>68441965</v>
      </c>
      <c r="C55" s="69" t="inlineStr">
        <is>
          <t>TAMPER LB KNORR CUBES PC 280G-SMALL STICKER</t>
        </is>
      </c>
      <c r="D55" s="70" t="inlineStr">
        <is>
          <t>EA</t>
        </is>
      </c>
      <c r="E55" s="71">
        <f>60000+2500*8</f>
        <v/>
      </c>
      <c r="F55" s="72" t="n"/>
      <c r="G55" s="73" t="n"/>
      <c r="H55" s="74" t="n"/>
      <c r="I55" s="35" t="n"/>
      <c r="J55" s="26">
        <f>+E55+F55-G55+H55</f>
        <v/>
      </c>
      <c r="K55" s="75" t="n">
        <v>0</v>
      </c>
      <c r="L55" s="76" t="n"/>
    </row>
    <row r="56">
      <c r="A56" s="208" t="inlineStr">
        <is>
          <t>PM</t>
        </is>
      </c>
      <c r="B56" s="37" t="n">
        <v>69713625</v>
      </c>
      <c r="C56" s="38" t="inlineStr">
        <is>
          <t>CLD KN CUBES PC 280G X 24 RMC 2021 NEW ULCL</t>
        </is>
      </c>
      <c r="D56" s="211" t="inlineStr">
        <is>
          <t>EA</t>
        </is>
      </c>
      <c r="E56" s="212" t="n">
        <v>73</v>
      </c>
      <c r="F56" s="66" t="n"/>
      <c r="G56" s="212" t="n"/>
      <c r="H56" s="39" t="n"/>
      <c r="I56" s="35" t="n"/>
      <c r="J56" s="26">
        <f>+E56+F56-G56+H56</f>
        <v/>
      </c>
      <c r="K56" s="26" t="n"/>
      <c r="L56" s="217" t="n"/>
      <c r="M56" s="78" t="n"/>
    </row>
    <row r="57">
      <c r="A57" s="208" t="inlineStr">
        <is>
          <t>PM</t>
        </is>
      </c>
      <c r="B57" s="37" t="n">
        <v>68441969</v>
      </c>
      <c r="C57" s="38" t="inlineStr">
        <is>
          <t>PH PART KNORR CUBES 280G X 24-CLD SEPARATER</t>
        </is>
      </c>
      <c r="D57" s="211" t="inlineStr">
        <is>
          <t>EA</t>
        </is>
      </c>
      <c r="E57" s="212">
        <f>18+1081+120</f>
        <v/>
      </c>
      <c r="F57" s="28" t="n"/>
      <c r="G57" s="212" t="n"/>
      <c r="H57" s="39" t="n"/>
      <c r="I57" s="35" t="n"/>
      <c r="J57" s="26">
        <f>+E57+F57-G57+H57</f>
        <v/>
      </c>
      <c r="K57" s="26" t="n"/>
      <c r="L57" s="217" t="n"/>
    </row>
    <row r="58" ht="16.5" customHeight="1" s="219">
      <c r="A58" s="208" t="inlineStr">
        <is>
          <t>PM</t>
        </is>
      </c>
      <c r="B58" s="37" t="n">
        <v>68441963</v>
      </c>
      <c r="C58" s="38" t="inlineStr">
        <is>
          <t>LAYER SEP KNORR CUBES 280G X 24 -CLD SEPERATOR</t>
        </is>
      </c>
      <c r="D58" s="211" t="inlineStr">
        <is>
          <t>EA</t>
        </is>
      </c>
      <c r="E58" s="212">
        <f>106+1900+100+15*100</f>
        <v/>
      </c>
      <c r="F58" s="28" t="n"/>
      <c r="G58" s="212" t="n"/>
      <c r="H58" s="39" t="n"/>
      <c r="I58" s="35" t="n"/>
      <c r="J58" s="26">
        <f>+E58+F58-G58+H58</f>
        <v/>
      </c>
      <c r="K58" s="26" t="n"/>
      <c r="L58" s="217" t="n"/>
    </row>
    <row r="59">
      <c r="A59" s="208" t="inlineStr">
        <is>
          <t>PM</t>
        </is>
      </c>
      <c r="B59" s="37" t="n">
        <v>11490701</v>
      </c>
      <c r="C59" s="38" t="inlineStr">
        <is>
          <t>POLY /CLEAR 20 W 30 H 3 300G -GAUGE-POLYBAG</t>
        </is>
      </c>
      <c r="D59" s="211" t="inlineStr">
        <is>
          <t>EA</t>
        </is>
      </c>
      <c r="E59" s="212" t="n"/>
      <c r="F59" s="28" t="n"/>
      <c r="G59" s="212" t="n"/>
      <c r="H59" s="39" t="n"/>
      <c r="I59" s="35" t="n"/>
      <c r="J59" s="26">
        <f>+E59+F59-G59+H59</f>
        <v/>
      </c>
      <c r="K59" s="26">
        <f>265+400</f>
        <v/>
      </c>
      <c r="L59" s="217" t="n"/>
    </row>
    <row r="60">
      <c r="A60" s="208" t="inlineStr">
        <is>
          <t>PM</t>
        </is>
      </c>
      <c r="B60" s="37" t="n">
        <v>67998286</v>
      </c>
      <c r="C60" s="38" t="inlineStr">
        <is>
          <t>FLEX USL BOPP TAPE 3 INCH 50M 3P</t>
        </is>
      </c>
      <c r="D60" s="211" t="inlineStr">
        <is>
          <t>M</t>
        </is>
      </c>
      <c r="E60" s="212">
        <f>44*50+2400*2</f>
        <v/>
      </c>
      <c r="F60" s="28" t="n"/>
      <c r="G60" s="212" t="n"/>
      <c r="H60" s="39" t="n"/>
      <c r="I60" s="35" t="n"/>
      <c r="J60" s="26">
        <f>+E60+F60-G60+H60</f>
        <v/>
      </c>
      <c r="K60" s="26" t="n"/>
      <c r="L60" s="217" t="n"/>
    </row>
    <row r="61" ht="15" customHeight="1" s="219">
      <c r="A61" s="208" t="inlineStr">
        <is>
          <t>PM</t>
        </is>
      </c>
      <c r="B61" s="79" t="n">
        <v>67998292</v>
      </c>
      <c r="C61" s="80" t="inlineStr">
        <is>
          <t>FLEX USL BOPP TAPE 3 INCH 1000M 3P</t>
        </is>
      </c>
      <c r="D61" s="211" t="inlineStr">
        <is>
          <t>M</t>
        </is>
      </c>
      <c r="E61" s="212" t="n"/>
      <c r="F61" s="28" t="n"/>
      <c r="G61" s="212" t="n"/>
      <c r="H61" s="39" t="n"/>
      <c r="I61" s="35" t="n"/>
      <c r="J61" s="26">
        <f>+E61+F61-G61+H61</f>
        <v/>
      </c>
      <c r="K61" s="26" t="n"/>
      <c r="L61" s="217" t="n"/>
    </row>
    <row r="62" ht="15" customHeight="1" s="219">
      <c r="A62" s="208" t="n"/>
      <c r="B62" s="79" t="n"/>
      <c r="C62" s="80" t="n"/>
      <c r="D62" s="211" t="n"/>
      <c r="E62" s="212" t="n"/>
      <c r="F62" s="28" t="n"/>
      <c r="G62" s="212" t="n"/>
      <c r="H62" s="81" t="n"/>
      <c r="I62" s="35" t="n"/>
      <c r="J62" s="26">
        <f>+E62+F62-G62+H62</f>
        <v/>
      </c>
      <c r="K62" s="26" t="n"/>
      <c r="L62" s="217" t="n"/>
    </row>
    <row r="63" ht="15" customHeight="1" s="219">
      <c r="A63" s="51" t="inlineStr">
        <is>
          <t>FG</t>
        </is>
      </c>
      <c r="B63" s="52" t="n">
        <v>94012468</v>
      </c>
      <c r="C63" s="53" t="inlineStr">
        <is>
          <t>Handy Pack Chicken Cube 120G X 48</t>
        </is>
      </c>
      <c r="D63" s="54" t="n"/>
      <c r="E63" s="55" t="n"/>
      <c r="F63" s="82" t="n"/>
      <c r="G63" s="83" t="n"/>
      <c r="H63" s="84" t="n"/>
      <c r="I63" s="58" t="n"/>
      <c r="J63" s="26">
        <f>+E63+F63-G63+H63</f>
        <v/>
      </c>
      <c r="K63" s="59" t="n"/>
      <c r="L63" s="59" t="n"/>
    </row>
    <row r="64">
      <c r="A64" s="208" t="inlineStr">
        <is>
          <t>PM</t>
        </is>
      </c>
      <c r="B64" s="37" t="n">
        <v>64344224</v>
      </c>
      <c r="C64" s="38" t="inlineStr">
        <is>
          <t>PLTUB KN CUBES PC PET 102G-120G</t>
        </is>
      </c>
      <c r="D64" s="211" t="inlineStr">
        <is>
          <t>EA</t>
        </is>
      </c>
      <c r="E64" s="212">
        <f>224+14*224+16*224</f>
        <v/>
      </c>
      <c r="F64" s="86" t="n"/>
      <c r="G64" s="214" t="n"/>
      <c r="H64" s="34" t="n"/>
      <c r="I64" s="85" t="n"/>
      <c r="J64" s="26">
        <f>+E64+F64-G64+H64</f>
        <v/>
      </c>
      <c r="K64" s="217" t="n">
        <v>2541</v>
      </c>
      <c r="L64" s="217" t="n"/>
    </row>
    <row r="65">
      <c r="A65" s="208" t="inlineStr">
        <is>
          <t>PM</t>
        </is>
      </c>
      <c r="B65" s="37" t="n">
        <v>64872138</v>
      </c>
      <c r="C65" s="38" t="inlineStr">
        <is>
          <t>LBL KN CHICK CUBES PC 120G REG2024</t>
        </is>
      </c>
      <c r="D65" s="211" t="inlineStr">
        <is>
          <t>EA</t>
        </is>
      </c>
      <c r="E65" s="159" t="n">
        <v>22000</v>
      </c>
      <c r="F65" s="86" t="n"/>
      <c r="G65" s="214" t="n"/>
      <c r="H65" s="34" t="n"/>
      <c r="I65" s="85" t="n"/>
      <c r="J65" s="26">
        <f>+E65+F65-G65+H65</f>
        <v/>
      </c>
      <c r="K65" s="217" t="n"/>
      <c r="L65" s="217" t="n"/>
    </row>
    <row r="66">
      <c r="A66" s="208" t="inlineStr">
        <is>
          <t>PM</t>
        </is>
      </c>
      <c r="B66" s="37" t="n">
        <v>64344223</v>
      </c>
      <c r="C66" s="38" t="inlineStr">
        <is>
          <t>CLD KN CHICK CUBES PC 120G X 48 URMC</t>
        </is>
      </c>
      <c r="D66" s="211" t="inlineStr">
        <is>
          <t>EA</t>
        </is>
      </c>
      <c r="E66" s="212">
        <f>360+360+177</f>
        <v/>
      </c>
      <c r="F66" s="86" t="n"/>
      <c r="G66" s="214" t="n"/>
      <c r="H66" s="34" t="n"/>
      <c r="I66" s="85" t="n"/>
      <c r="J66" s="26">
        <f>+E66+F66-G66+H66</f>
        <v/>
      </c>
      <c r="K66" s="217" t="n"/>
      <c r="L66" s="217" t="n"/>
      <c r="M66" s="218" t="n"/>
    </row>
    <row r="67">
      <c r="A67" s="208" t="inlineStr">
        <is>
          <t>PM</t>
        </is>
      </c>
      <c r="B67" s="37" t="n">
        <v>64344225</v>
      </c>
      <c r="C67" s="38" t="inlineStr">
        <is>
          <t>PHOLE PART KN CUBES PC 102G-120G</t>
        </is>
      </c>
      <c r="D67" s="211" t="inlineStr">
        <is>
          <t>EA</t>
        </is>
      </c>
      <c r="E67" s="212">
        <f>8+20*4+20+20*12+10</f>
        <v/>
      </c>
      <c r="F67" s="86" t="n"/>
      <c r="G67" s="214" t="n"/>
      <c r="H67" s="34" t="n"/>
      <c r="I67" s="85" t="n"/>
      <c r="J67" s="26">
        <f>+E67+F67-G67+H67</f>
        <v/>
      </c>
      <c r="K67" s="217" t="n"/>
      <c r="L67" s="217" t="n"/>
    </row>
    <row r="68">
      <c r="A68" s="208" t="inlineStr">
        <is>
          <t>PM</t>
        </is>
      </c>
      <c r="B68" s="37" t="n">
        <v>64344220</v>
      </c>
      <c r="C68" s="38" t="inlineStr">
        <is>
          <t xml:space="preserve">LASEP KN CUBES PC 102G-120G </t>
        </is>
      </c>
      <c r="D68" s="211" t="inlineStr">
        <is>
          <t>EA</t>
        </is>
      </c>
      <c r="E68" s="212">
        <f>42+49+2+100</f>
        <v/>
      </c>
      <c r="F68" s="86" t="n"/>
      <c r="G68" s="214" t="n"/>
      <c r="H68" s="34" t="n"/>
      <c r="I68" s="85" t="n"/>
      <c r="J68" s="26">
        <f>+E68+F68-G68+H68</f>
        <v/>
      </c>
      <c r="K68" s="217" t="n"/>
      <c r="L68" s="217" t="n"/>
    </row>
    <row r="69">
      <c r="A69" s="208" t="inlineStr">
        <is>
          <t>PM</t>
        </is>
      </c>
      <c r="B69" s="37" t="n">
        <v>64344217</v>
      </c>
      <c r="C69" s="38" t="inlineStr">
        <is>
          <t xml:space="preserve">PLID KN CHICK CUBES PC 120G </t>
        </is>
      </c>
      <c r="D69" s="211" t="inlineStr">
        <is>
          <t>EA</t>
        </is>
      </c>
      <c r="E69" s="212" t="n"/>
      <c r="F69" s="86" t="n"/>
      <c r="G69" s="214" t="n"/>
      <c r="H69" s="34" t="n"/>
      <c r="I69" s="85" t="n"/>
      <c r="J69" s="26">
        <f>+E69+F69-G69+H69</f>
        <v/>
      </c>
      <c r="K69" s="217" t="n">
        <v>680</v>
      </c>
      <c r="L69" s="217" t="n"/>
    </row>
    <row r="70">
      <c r="A70" s="208" t="inlineStr">
        <is>
          <t>PM</t>
        </is>
      </c>
      <c r="B70" s="3" t="n">
        <v>64893688</v>
      </c>
      <c r="C70" s="87" t="inlineStr">
        <is>
          <t>SFG WADED LID KNORR CUBES 96G-120G</t>
        </is>
      </c>
      <c r="D70" s="211" t="inlineStr">
        <is>
          <t>EA</t>
        </is>
      </c>
      <c r="E70" s="212">
        <f>3*228+228*32+2.517/0.0085</f>
        <v/>
      </c>
      <c r="F70" s="86" t="n"/>
      <c r="G70" s="214" t="n"/>
      <c r="H70" s="34" t="n"/>
      <c r="I70" s="85" t="n"/>
      <c r="J70" s="26">
        <f>+E70+F70-G70+H70</f>
        <v/>
      </c>
      <c r="K70" s="217" t="n"/>
      <c r="L70" s="217" t="n"/>
    </row>
    <row r="71" ht="15" customHeight="1" s="219">
      <c r="A71" s="51" t="inlineStr">
        <is>
          <t>FG</t>
        </is>
      </c>
      <c r="B71" s="52" t="n">
        <v>94012905</v>
      </c>
      <c r="C71" s="53" t="inlineStr">
        <is>
          <t>Press Cube</t>
        </is>
      </c>
      <c r="D71" s="54" t="inlineStr">
        <is>
          <t>EA</t>
        </is>
      </c>
      <c r="E71" s="55" t="n"/>
      <c r="F71" s="82" t="n"/>
      <c r="G71" s="55" t="n"/>
      <c r="H71" s="84" t="n"/>
      <c r="I71" s="58" t="n"/>
      <c r="J71" s="26">
        <f>+E71+F71-G71+H71</f>
        <v/>
      </c>
      <c r="K71" s="88" t="n"/>
      <c r="L71" s="59" t="n"/>
    </row>
    <row r="72">
      <c r="A72" s="208" t="inlineStr">
        <is>
          <t>PM</t>
        </is>
      </c>
      <c r="B72" s="89" t="n">
        <v>64781795</v>
      </c>
      <c r="C72" s="38" t="inlineStr">
        <is>
          <t>CLD KN PRESS CUBES PC 96G X 40 URMC</t>
        </is>
      </c>
      <c r="D72" s="211" t="inlineStr">
        <is>
          <t>EA</t>
        </is>
      </c>
      <c r="E72" s="212">
        <f>25*8+19</f>
        <v/>
      </c>
      <c r="F72" s="86" t="n"/>
      <c r="G72" s="212" t="n"/>
      <c r="H72" s="34" t="n"/>
      <c r="I72" s="26" t="n"/>
      <c r="J72" s="26">
        <f>+E72+F72-G72+H72</f>
        <v/>
      </c>
      <c r="K72" s="216" t="n"/>
      <c r="L72" s="217" t="n"/>
    </row>
    <row r="73">
      <c r="A73" s="208" t="inlineStr">
        <is>
          <t>PM</t>
        </is>
      </c>
      <c r="B73" s="89" t="n">
        <v>64781792</v>
      </c>
      <c r="C73" s="38" t="inlineStr">
        <is>
          <t>VER SEPARATOR KN CUBES PC 96G URMC</t>
        </is>
      </c>
      <c r="D73" s="211" t="inlineStr">
        <is>
          <t>EA</t>
        </is>
      </c>
      <c r="E73" s="212" t="n">
        <v>618</v>
      </c>
      <c r="F73" s="86" t="n"/>
      <c r="G73" s="212" t="n"/>
      <c r="H73" s="34" t="n"/>
      <c r="I73" s="26" t="n"/>
      <c r="J73" s="26">
        <f>+E73+F73-G73+H73</f>
        <v/>
      </c>
      <c r="K73" s="216" t="n"/>
      <c r="L73" s="217" t="n"/>
    </row>
    <row r="74">
      <c r="A74" s="208" t="inlineStr">
        <is>
          <t>PM</t>
        </is>
      </c>
      <c r="B74" s="89" t="n">
        <v>64781796</v>
      </c>
      <c r="C74" s="38" t="inlineStr">
        <is>
          <t>LAYER SEP KN CUBES PC 96G URMC</t>
        </is>
      </c>
      <c r="D74" s="211" t="inlineStr">
        <is>
          <t>EA</t>
        </is>
      </c>
      <c r="E74" s="212">
        <f>100+67+13</f>
        <v/>
      </c>
      <c r="F74" s="86" t="n"/>
      <c r="G74" s="212" t="n"/>
      <c r="H74" s="34" t="n"/>
      <c r="I74" s="26" t="n"/>
      <c r="J74" s="26">
        <f>+E74+F74-G74+H74</f>
        <v/>
      </c>
      <c r="K74" s="216" t="n"/>
      <c r="L74" s="217" t="n"/>
    </row>
    <row r="75">
      <c r="A75" s="208" t="inlineStr">
        <is>
          <t>PM</t>
        </is>
      </c>
      <c r="B75" s="89" t="n">
        <v>64781794</v>
      </c>
      <c r="C75" s="38" t="inlineStr">
        <is>
          <t>PLTUB KN PRESS CUBES PC PET 96G</t>
        </is>
      </c>
      <c r="D75" s="211" t="inlineStr">
        <is>
          <t>EA</t>
        </is>
      </c>
      <c r="E75" s="212" t="n">
        <v>4690</v>
      </c>
      <c r="F75" s="86" t="n"/>
      <c r="G75" s="212" t="n"/>
      <c r="H75" s="34" t="n"/>
      <c r="I75" s="26" t="n"/>
      <c r="J75" s="26">
        <f>+E75+F75-G75+H75</f>
        <v/>
      </c>
      <c r="K75" s="216" t="n">
        <v>225</v>
      </c>
      <c r="L75" s="217" t="n"/>
    </row>
    <row r="76">
      <c r="A76" s="208" t="inlineStr">
        <is>
          <t>PM</t>
        </is>
      </c>
      <c r="B76" s="89" t="n">
        <v>64781790</v>
      </c>
      <c r="C76" s="38" t="inlineStr">
        <is>
          <t>LBL KN PRESS CUBES PC 96G URMC</t>
        </is>
      </c>
      <c r="D76" s="211" t="inlineStr">
        <is>
          <t>EA</t>
        </is>
      </c>
      <c r="E76" s="212" t="n">
        <v>15966</v>
      </c>
      <c r="F76" s="86" t="n"/>
      <c r="G76" s="212" t="n"/>
      <c r="H76" s="34" t="n"/>
      <c r="I76" s="26" t="n"/>
      <c r="J76" s="26">
        <f>+E76+F76-G76+H76</f>
        <v/>
      </c>
      <c r="K76" s="216" t="n"/>
      <c r="L76" s="217" t="n"/>
    </row>
    <row r="77" ht="15" customHeight="1" s="219">
      <c r="A77" s="208" t="n"/>
      <c r="B77" s="79" t="n"/>
      <c r="C77" s="80" t="n"/>
      <c r="D77" s="211" t="n"/>
      <c r="E77" s="212" t="n"/>
      <c r="F77" s="86" t="n"/>
      <c r="G77" s="212" t="n"/>
      <c r="H77" s="34" t="n"/>
      <c r="I77" s="26" t="n"/>
      <c r="J77" s="26">
        <f>+E77+F77-G77+H77</f>
        <v/>
      </c>
      <c r="K77" s="216" t="n"/>
      <c r="L77" s="217" t="n"/>
    </row>
    <row r="78" ht="15" customHeight="1" s="219">
      <c r="A78" s="51" t="inlineStr">
        <is>
          <t>FG</t>
        </is>
      </c>
      <c r="B78" s="52" t="n">
        <v>94012262</v>
      </c>
      <c r="C78" s="53" t="inlineStr">
        <is>
          <t>Veg Curry cube (PC)</t>
        </is>
      </c>
      <c r="D78" s="90" t="n"/>
      <c r="E78" s="91" t="n"/>
      <c r="F78" s="56" t="n"/>
      <c r="G78" s="55" t="n"/>
      <c r="H78" s="92" t="n"/>
      <c r="I78" s="93" t="n"/>
      <c r="J78" s="26">
        <f>+E78+F78-G78+H78</f>
        <v/>
      </c>
      <c r="K78" s="58" t="n"/>
      <c r="L78" s="59" t="n"/>
    </row>
    <row r="79">
      <c r="A79" s="208" t="inlineStr">
        <is>
          <t>PM</t>
        </is>
      </c>
      <c r="B79" s="37" t="n">
        <v>68590192</v>
      </c>
      <c r="C79" s="38" t="inlineStr">
        <is>
          <t>PLTUB KN CUBES PC PET NEW 280G</t>
        </is>
      </c>
      <c r="D79" s="211" t="inlineStr">
        <is>
          <t>EA</t>
        </is>
      </c>
      <c r="E79" s="214" t="n">
        <v>4610</v>
      </c>
      <c r="F79" s="28" t="n"/>
      <c r="G79" s="212" t="n"/>
      <c r="H79" s="212" t="n"/>
      <c r="I79" s="35" t="n"/>
      <c r="J79" s="26">
        <f>+E79+F79-G79+H79</f>
        <v/>
      </c>
      <c r="K79" s="26" t="n">
        <v>67</v>
      </c>
      <c r="L79" s="26" t="n"/>
    </row>
    <row r="80">
      <c r="A80" s="208" t="inlineStr">
        <is>
          <t>PM</t>
        </is>
      </c>
      <c r="B80" s="37" t="n">
        <v>62752759</v>
      </c>
      <c r="C80" s="38" t="inlineStr">
        <is>
          <t>FLB KN VEG CUBES PC 238G NEW ULCL</t>
        </is>
      </c>
      <c r="D80" s="211" t="inlineStr">
        <is>
          <t>EA</t>
        </is>
      </c>
      <c r="E80" s="159">
        <f>5676+1000+750+443</f>
        <v/>
      </c>
      <c r="F80" s="28" t="n"/>
      <c r="G80" s="212" t="n"/>
      <c r="H80" s="39" t="n"/>
      <c r="I80" s="35" t="n"/>
      <c r="J80" s="26">
        <f>+E80+F80-G80+H80</f>
        <v/>
      </c>
      <c r="K80" s="26" t="n"/>
      <c r="L80" s="217" t="n"/>
    </row>
    <row r="81">
      <c r="A81" s="208" t="inlineStr">
        <is>
          <t>PM</t>
        </is>
      </c>
      <c r="B81" s="37" t="n">
        <v>62760450</v>
      </c>
      <c r="C81" s="38" t="inlineStr">
        <is>
          <t>TAMPER LB KNORR CURRY CUBES PC 238G</t>
        </is>
      </c>
      <c r="D81" s="211" t="inlineStr">
        <is>
          <t>EA</t>
        </is>
      </c>
      <c r="E81" s="159" t="n">
        <v>9285</v>
      </c>
      <c r="F81" s="28" t="n"/>
      <c r="G81" s="212" t="n"/>
      <c r="H81" s="39" t="n"/>
      <c r="I81" s="35" t="n"/>
      <c r="J81" s="26">
        <f>+E81+F81-G81+H81</f>
        <v/>
      </c>
      <c r="K81" s="26" t="n"/>
      <c r="L81" s="217" t="n"/>
    </row>
    <row r="82">
      <c r="A82" s="208" t="inlineStr">
        <is>
          <t>PM</t>
        </is>
      </c>
      <c r="B82" s="37" t="n">
        <v>62752762</v>
      </c>
      <c r="C82" s="38" t="inlineStr">
        <is>
          <t>CLD KN VEG CUBES PC 238G X 24 NEW ULCL</t>
        </is>
      </c>
      <c r="D82" s="211" t="inlineStr">
        <is>
          <t>EA</t>
        </is>
      </c>
      <c r="E82" s="159" t="n">
        <v>160</v>
      </c>
      <c r="F82" s="28" t="n"/>
      <c r="G82" s="212" t="n"/>
      <c r="H82" s="39" t="n"/>
      <c r="I82" s="35" t="n"/>
      <c r="J82" s="26">
        <f>+E82+F82-G82+H82</f>
        <v/>
      </c>
      <c r="K82" s="26" t="n"/>
      <c r="L82" s="217" t="n"/>
    </row>
    <row r="83">
      <c r="A83" s="208" t="inlineStr">
        <is>
          <t>PM</t>
        </is>
      </c>
      <c r="B83" s="37" t="n">
        <v>62752761</v>
      </c>
      <c r="C83" s="38" t="inlineStr">
        <is>
          <t>PLID KN VEG CUBES PC 238G</t>
        </is>
      </c>
      <c r="D83" s="211" t="inlineStr">
        <is>
          <t>EA</t>
        </is>
      </c>
      <c r="E83" s="159">
        <f>3548+160</f>
        <v/>
      </c>
      <c r="F83" s="28" t="n"/>
      <c r="G83" s="212" t="n"/>
      <c r="H83" s="39" t="n"/>
      <c r="I83" s="35" t="n"/>
      <c r="J83" s="26">
        <f>+E83+F83-G83+H83</f>
        <v/>
      </c>
      <c r="K83" s="26">
        <f>7+4</f>
        <v/>
      </c>
      <c r="L83" s="217" t="n"/>
    </row>
    <row r="84" ht="15" customHeight="1" s="219">
      <c r="A84" s="208" t="n"/>
      <c r="B84" s="79" t="n"/>
      <c r="C84" s="80" t="n"/>
      <c r="D84" s="211" t="n"/>
      <c r="E84" s="212" t="n"/>
      <c r="F84" s="28" t="n"/>
      <c r="G84" s="212" t="n"/>
      <c r="H84" s="39" t="n"/>
      <c r="I84" s="35" t="n"/>
      <c r="J84" s="26">
        <f>+E84+F84-G84+H84</f>
        <v/>
      </c>
      <c r="K84" s="26" t="n"/>
      <c r="L84" s="217" t="n"/>
    </row>
    <row r="85" ht="15" customHeight="1" s="219">
      <c r="A85" s="52" t="n"/>
      <c r="B85" s="52" t="n">
        <v>94012791</v>
      </c>
      <c r="C85" s="53" t="inlineStr">
        <is>
          <t>Knorr Seasoning Handy Pack MT x 120g</t>
        </is>
      </c>
      <c r="D85" s="94" t="n"/>
      <c r="E85" s="94" t="n"/>
      <c r="F85" s="95" t="n"/>
      <c r="G85" s="94" t="n"/>
      <c r="H85" s="94" t="n"/>
      <c r="I85" s="96" t="n"/>
      <c r="J85" s="26">
        <f>+E85+F85-G85+H85</f>
        <v/>
      </c>
      <c r="K85" s="97" t="n"/>
      <c r="L85" s="94" t="n"/>
    </row>
    <row r="86" ht="15" customHeight="1" s="219">
      <c r="A86" s="208" t="inlineStr">
        <is>
          <t>PM</t>
        </is>
      </c>
      <c r="B86" s="37" t="n">
        <v>64411783</v>
      </c>
      <c r="C86" s="98" t="inlineStr">
        <is>
          <t>CLD KN CHICK CUBES PC 120G X 24 MT URMC</t>
        </is>
      </c>
      <c r="D86" s="211" t="inlineStr">
        <is>
          <t>EA</t>
        </is>
      </c>
      <c r="E86" s="212" t="n"/>
      <c r="F86" s="28" t="n"/>
      <c r="G86" s="212" t="n"/>
      <c r="H86" s="39" t="n"/>
      <c r="I86" s="35" t="n"/>
      <c r="J86" s="26">
        <f>+E86+F86-G86+H86</f>
        <v/>
      </c>
      <c r="K86" s="26" t="n"/>
      <c r="L86" s="217" t="n"/>
    </row>
    <row r="87" ht="15" customHeight="1" s="219">
      <c r="A87" s="208" t="inlineStr">
        <is>
          <t>PM</t>
        </is>
      </c>
      <c r="B87" s="37" t="n">
        <v>64411784</v>
      </c>
      <c r="C87" s="98" t="inlineStr">
        <is>
          <t>PHOLE PART KN CUBES PC 120G X 24 MT</t>
        </is>
      </c>
      <c r="D87" s="211" t="inlineStr">
        <is>
          <t>EA</t>
        </is>
      </c>
      <c r="E87" s="212" t="n">
        <v>180</v>
      </c>
      <c r="F87" s="28" t="n"/>
      <c r="G87" s="212" t="n"/>
      <c r="H87" s="39" t="n"/>
      <c r="I87" s="35" t="n"/>
      <c r="J87" s="26">
        <f>+E87+F87-G87+H87</f>
        <v/>
      </c>
      <c r="K87" s="26" t="n">
        <v>160</v>
      </c>
      <c r="L87" s="217" t="n"/>
    </row>
    <row r="88" ht="15" customHeight="1" s="219">
      <c r="A88" s="208" t="inlineStr">
        <is>
          <t>PM</t>
        </is>
      </c>
      <c r="B88" s="37" t="n">
        <v>64411785</v>
      </c>
      <c r="C88" s="98" t="inlineStr">
        <is>
          <t>LASEP KN CUBES PC 120G X 24 MT</t>
        </is>
      </c>
      <c r="D88" s="211" t="inlineStr">
        <is>
          <t>EA</t>
        </is>
      </c>
      <c r="E88" s="212" t="n">
        <v>68</v>
      </c>
      <c r="F88" s="28" t="n"/>
      <c r="G88" s="212" t="n"/>
      <c r="H88" s="39" t="n"/>
      <c r="I88" s="35" t="n"/>
      <c r="J88" s="26">
        <f>+E88+F88-G88+H88</f>
        <v/>
      </c>
      <c r="K88" s="26" t="n"/>
      <c r="L88" s="217" t="n"/>
    </row>
    <row r="89" ht="15" customHeight="1" s="219">
      <c r="A89" s="208" t="n"/>
      <c r="B89" s="37" t="n"/>
      <c r="C89" s="98" t="n"/>
      <c r="D89" s="211" t="n"/>
      <c r="E89" s="212" t="n"/>
      <c r="F89" s="28" t="n"/>
      <c r="G89" s="212" t="n"/>
      <c r="H89" s="39" t="n"/>
      <c r="I89" s="35" t="n"/>
      <c r="J89" s="26">
        <f>+E89+F89-G89+H89</f>
        <v/>
      </c>
      <c r="K89" s="26" t="n"/>
      <c r="L89" s="217" t="n"/>
    </row>
    <row r="90" ht="15" customHeight="1" s="219">
      <c r="A90" s="51" t="inlineStr">
        <is>
          <t>FG</t>
        </is>
      </c>
      <c r="B90" s="52" t="n">
        <v>94010254</v>
      </c>
      <c r="C90" s="53" t="inlineStr">
        <is>
          <t>CHICK CUBES VD RMC (2 x 10G)</t>
        </is>
      </c>
      <c r="D90" s="90" t="n"/>
      <c r="E90" s="55" t="n"/>
      <c r="F90" s="56" t="n"/>
      <c r="G90" s="55" t="n"/>
      <c r="H90" s="92" t="n"/>
      <c r="I90" s="57" t="n"/>
      <c r="J90" s="26">
        <f>+E90+F90-G90+H90</f>
        <v/>
      </c>
      <c r="K90" s="58" t="n"/>
      <c r="L90" s="59" t="n"/>
    </row>
    <row r="91" ht="15.75" customHeight="1" s="219">
      <c r="A91" s="208" t="inlineStr">
        <is>
          <t>PM</t>
        </is>
      </c>
      <c r="B91" s="99" t="n">
        <v>69713618</v>
      </c>
      <c r="C91" s="38" t="inlineStr">
        <is>
          <t>CART KN CUBE SHELL BOX 20G RMC 2022 NEW ULCL</t>
        </is>
      </c>
      <c r="D91" s="211" t="inlineStr">
        <is>
          <t>EA</t>
        </is>
      </c>
      <c r="E91" s="212" t="n"/>
      <c r="F91" s="28" t="n"/>
      <c r="G91" s="212" t="n"/>
      <c r="H91" s="81" t="n"/>
      <c r="I91" s="35" t="n"/>
      <c r="J91" s="26">
        <f>+E91+F91-G91+H91</f>
        <v/>
      </c>
      <c r="K91" s="26">
        <f>38*2400</f>
        <v/>
      </c>
      <c r="L91" s="217" t="n"/>
    </row>
    <row r="92" ht="15.75" customHeight="1" s="219">
      <c r="A92" s="208" t="inlineStr">
        <is>
          <t>PM</t>
        </is>
      </c>
      <c r="B92" s="36" t="n">
        <v>64872143</v>
      </c>
      <c r="C92" s="87" t="inlineStr">
        <is>
          <t>CART KN CUBE SHELL BOX 20G REG2024</t>
        </is>
      </c>
      <c r="D92" s="211" t="inlineStr">
        <is>
          <t>EA</t>
        </is>
      </c>
      <c r="E92" s="212" t="n">
        <v>2400</v>
      </c>
      <c r="F92" s="28" t="n"/>
      <c r="G92" s="212" t="n"/>
      <c r="H92" s="81" t="n"/>
      <c r="I92" s="35" t="n"/>
      <c r="J92" s="26">
        <f>+E92+F92-G92+H92</f>
        <v/>
      </c>
      <c r="K92" s="26" t="n"/>
      <c r="L92" s="217" t="n"/>
    </row>
    <row r="93">
      <c r="A93" s="208" t="inlineStr">
        <is>
          <t>PM</t>
        </is>
      </c>
      <c r="B93" s="37" t="n">
        <v>11490700</v>
      </c>
      <c r="C93" s="38" t="inlineStr">
        <is>
          <t>GUM/CHEMIFIX (W)- 4KG</t>
        </is>
      </c>
      <c r="D93" s="211" t="inlineStr">
        <is>
          <t>EA</t>
        </is>
      </c>
      <c r="E93" s="212" t="n"/>
      <c r="F93" s="28" t="n"/>
      <c r="G93" s="212" t="n"/>
      <c r="H93" s="81" t="n"/>
      <c r="I93" s="35" t="n"/>
      <c r="J93" s="26">
        <f>+E93+F93-G93+H93</f>
        <v/>
      </c>
      <c r="K93" s="26" t="n"/>
      <c r="L93" s="217" t="n"/>
    </row>
    <row r="94">
      <c r="A94" s="208" t="inlineStr">
        <is>
          <t>PM</t>
        </is>
      </c>
      <c r="B94" s="37" t="n">
        <v>11490699</v>
      </c>
      <c r="C94" s="38" t="inlineStr">
        <is>
          <t>BOPP OVER WRAP FOR SHELL BOX - 30MICRONS</t>
        </is>
      </c>
      <c r="D94" s="211" t="inlineStr">
        <is>
          <t>M</t>
        </is>
      </c>
      <c r="E94" s="212" t="n">
        <v>11000</v>
      </c>
      <c r="F94" s="28" t="n"/>
      <c r="G94" s="212" t="n"/>
      <c r="H94" s="81" t="n"/>
      <c r="I94" s="35" t="n"/>
      <c r="J94" s="26">
        <f>+E94+F94-G94+H94</f>
        <v/>
      </c>
      <c r="K94" s="26">
        <f>4665+4000</f>
        <v/>
      </c>
      <c r="L94" s="217" t="n"/>
    </row>
    <row r="95" ht="15" customHeight="1" s="219">
      <c r="A95" s="208" t="inlineStr">
        <is>
          <t>PM</t>
        </is>
      </c>
      <c r="B95" s="99" t="n">
        <v>69713627</v>
      </c>
      <c r="C95" s="38" t="inlineStr">
        <is>
          <t>CART KN CUBE VD 20GX15 RMC 2022 NEW ULCL</t>
        </is>
      </c>
      <c r="D95" s="211" t="inlineStr">
        <is>
          <t>EA</t>
        </is>
      </c>
      <c r="E95" s="212" t="n">
        <v>9000</v>
      </c>
      <c r="F95" s="28" t="n"/>
      <c r="G95" s="212" t="n"/>
      <c r="H95" s="81" t="n"/>
      <c r="I95" s="35" t="n"/>
      <c r="J95" s="26">
        <f>+E95+F95-G95+H95</f>
        <v/>
      </c>
      <c r="K95" s="26">
        <f>155+68</f>
        <v/>
      </c>
      <c r="L95" s="217" t="n"/>
    </row>
    <row r="96" ht="15" customHeight="1" s="219">
      <c r="A96" s="208" t="inlineStr">
        <is>
          <t>PM</t>
        </is>
      </c>
      <c r="B96" s="100" t="n">
        <v>64872144</v>
      </c>
      <c r="C96" s="87" t="inlineStr">
        <is>
          <t>CART KN CUBE VD 20GX15 REG2024</t>
        </is>
      </c>
      <c r="D96" s="211" t="inlineStr">
        <is>
          <t>EA</t>
        </is>
      </c>
      <c r="E96" s="212">
        <f>600*28</f>
        <v/>
      </c>
      <c r="F96" s="28" t="n"/>
      <c r="G96" s="212" t="n"/>
      <c r="H96" s="81" t="n"/>
      <c r="I96" s="35" t="n"/>
      <c r="J96" s="26">
        <f>+E96+F96-G96+H96</f>
        <v/>
      </c>
      <c r="K96" s="26">
        <f>54+17+10</f>
        <v/>
      </c>
      <c r="L96" s="217" t="n"/>
    </row>
    <row r="97">
      <c r="A97" s="208" t="inlineStr">
        <is>
          <t>PM</t>
        </is>
      </c>
      <c r="B97" s="101" t="n">
        <v>69713617</v>
      </c>
      <c r="C97" s="38" t="inlineStr">
        <is>
          <t>CLD KN CUBES VD 20G X 360 NEW ULCL</t>
        </is>
      </c>
      <c r="D97" s="211" t="inlineStr">
        <is>
          <t>EA</t>
        </is>
      </c>
      <c r="E97" s="212" t="n">
        <v>50</v>
      </c>
      <c r="F97" s="28" t="n"/>
      <c r="G97" s="212" t="n"/>
      <c r="H97" s="81" t="n"/>
      <c r="I97" s="35" t="n"/>
      <c r="J97" s="26">
        <f>+E97+F97-G97+H97</f>
        <v/>
      </c>
      <c r="K97" s="26" t="n">
        <v>4</v>
      </c>
      <c r="L97" s="217" t="n"/>
    </row>
    <row r="98" ht="15" customHeight="1" s="219">
      <c r="A98" s="52" t="inlineStr">
        <is>
          <t>FG</t>
        </is>
      </c>
      <c r="B98" s="52" t="n">
        <v>94010256</v>
      </c>
      <c r="C98" s="102" t="inlineStr">
        <is>
          <t>Knorr Chicken Single Cube 10G (Strand)</t>
        </is>
      </c>
      <c r="D98" s="52" t="n"/>
      <c r="E98" s="52" t="n"/>
      <c r="F98" s="52" t="n"/>
      <c r="G98" s="52" t="n"/>
      <c r="H98" s="52" t="n"/>
      <c r="I98" s="52" t="n"/>
      <c r="J98" s="26">
        <f>+E98+F98-G98+H98</f>
        <v/>
      </c>
      <c r="K98" s="52" t="n"/>
      <c r="L98" s="52" t="n"/>
    </row>
    <row r="99">
      <c r="A99" s="208" t="inlineStr">
        <is>
          <t>PM</t>
        </is>
      </c>
      <c r="B99" s="209" t="n">
        <v>68744068</v>
      </c>
      <c r="C99" s="210" t="inlineStr">
        <is>
          <t>CLD KN CHICK CUBES 10G X 576 RMC</t>
        </is>
      </c>
      <c r="D99" s="211" t="inlineStr">
        <is>
          <t>EA</t>
        </is>
      </c>
      <c r="E99" s="212">
        <f>9*25+20</f>
        <v/>
      </c>
      <c r="F99" s="28" t="n"/>
      <c r="G99" s="212" t="n"/>
      <c r="H99" s="39" t="n"/>
      <c r="I99" s="35" t="n"/>
      <c r="J99" s="26">
        <f>+E99+F99-G99+H99</f>
        <v/>
      </c>
      <c r="K99" s="26" t="n"/>
      <c r="L99" s="217" t="n"/>
    </row>
    <row r="100">
      <c r="A100" s="208" t="inlineStr">
        <is>
          <t>PM</t>
        </is>
      </c>
      <c r="B100" s="209" t="n">
        <v>68880148</v>
      </c>
      <c r="C100" s="210" t="inlineStr">
        <is>
          <t>LAMI KNORR CUBES 10G FLOW WRAP RMC 2022</t>
        </is>
      </c>
      <c r="D100" s="211" t="inlineStr">
        <is>
          <t>EA</t>
        </is>
      </c>
      <c r="E100" s="212">
        <f>2*13333+1599</f>
        <v/>
      </c>
      <c r="F100" s="28" t="n"/>
      <c r="G100" s="212" t="n"/>
      <c r="H100" s="39" t="n"/>
      <c r="I100" s="35" t="n"/>
      <c r="J100" s="26">
        <f>+E100+F100-G100+H100</f>
        <v/>
      </c>
      <c r="K100" s="26" t="n"/>
      <c r="L100" s="217">
        <f>13333+165</f>
        <v/>
      </c>
    </row>
    <row r="101">
      <c r="A101" s="208" t="n"/>
      <c r="B101" s="209" t="n"/>
      <c r="C101" s="210" t="n"/>
      <c r="D101" s="211" t="n"/>
      <c r="E101" s="212" t="n"/>
      <c r="F101" s="28" t="n"/>
      <c r="G101" s="212" t="n"/>
      <c r="H101" s="39" t="n"/>
      <c r="I101" s="35" t="n"/>
      <c r="J101" s="26">
        <f>+E101+F101-G101+H101</f>
        <v/>
      </c>
      <c r="K101" s="26" t="n"/>
      <c r="L101" s="217" t="n"/>
    </row>
    <row r="102" ht="15" customHeight="1" s="219">
      <c r="A102" s="51" t="inlineStr">
        <is>
          <t>FG</t>
        </is>
      </c>
      <c r="B102" s="52" t="n">
        <v>94010255</v>
      </c>
      <c r="C102" s="102" t="inlineStr">
        <is>
          <t>CHICK CUBES P/P RMC 60GM_0096</t>
        </is>
      </c>
      <c r="D102" s="90" t="n"/>
      <c r="E102" s="55" t="n"/>
      <c r="F102" s="56" t="n"/>
      <c r="G102" s="55" t="n"/>
      <c r="H102" s="92" t="n"/>
      <c r="I102" s="57" t="n"/>
      <c r="J102" s="26">
        <f>+E102+F102-G102+H102</f>
        <v/>
      </c>
      <c r="K102" s="58" t="n"/>
      <c r="L102" s="59" t="n"/>
    </row>
    <row r="103">
      <c r="A103" s="208" t="inlineStr">
        <is>
          <t>PM</t>
        </is>
      </c>
      <c r="B103" s="209" t="n">
        <v>67567207</v>
      </c>
      <c r="C103" s="210" t="inlineStr">
        <is>
          <t>FLEX BOPP OVERWRAPPER 60G 30MIC</t>
        </is>
      </c>
      <c r="D103" s="211" t="inlineStr">
        <is>
          <t>M</t>
        </is>
      </c>
      <c r="E103" s="212">
        <f>7000+2000+2101</f>
        <v/>
      </c>
      <c r="F103" s="28" t="n"/>
      <c r="G103" s="212" t="n"/>
      <c r="H103" s="39" t="n"/>
      <c r="I103" s="35" t="n"/>
      <c r="J103" s="26">
        <f>+E103+F103-G103+H103</f>
        <v/>
      </c>
      <c r="K103" s="26">
        <f>2751+2000*2+1438</f>
        <v/>
      </c>
      <c r="L103" s="217" t="n"/>
    </row>
    <row r="104">
      <c r="A104" s="208" t="inlineStr">
        <is>
          <t>PM</t>
        </is>
      </c>
      <c r="B104" s="209" t="n">
        <v>69713619</v>
      </c>
      <c r="C104" s="210" t="inlineStr">
        <is>
          <t>CART KN CUBES P/P 60G RMC 2022</t>
        </is>
      </c>
      <c r="D104" s="211" t="inlineStr">
        <is>
          <t>EA</t>
        </is>
      </c>
      <c r="E104" s="212" t="n">
        <v>0</v>
      </c>
      <c r="F104" s="213" t="n"/>
      <c r="G104" s="214" t="n"/>
      <c r="H104" s="39" t="n"/>
      <c r="I104" s="35" t="n"/>
      <c r="J104" s="26">
        <f>+E104+F104-G104+H104</f>
        <v/>
      </c>
      <c r="K104" s="26" t="n">
        <v>4422</v>
      </c>
      <c r="L104" s="217" t="n"/>
    </row>
    <row r="105">
      <c r="A105" s="208" t="inlineStr">
        <is>
          <t>PM</t>
        </is>
      </c>
      <c r="B105" s="209" t="n">
        <v>64872137</v>
      </c>
      <c r="C105" s="210" t="inlineStr">
        <is>
          <t>CART KN CUBES P/P 60G REG2024</t>
        </is>
      </c>
      <c r="D105" s="211" t="inlineStr">
        <is>
          <t>EA</t>
        </is>
      </c>
      <c r="E105" s="212" t="n">
        <v>1600</v>
      </c>
      <c r="F105" s="28" t="n"/>
      <c r="G105" s="212" t="n"/>
      <c r="H105" s="39" t="n"/>
      <c r="I105" s="35" t="n"/>
      <c r="J105" s="26">
        <f>+E105+F105-G105+H105</f>
        <v/>
      </c>
      <c r="K105" s="26">
        <f>56+309</f>
        <v/>
      </c>
      <c r="L105" s="217" t="n"/>
    </row>
    <row r="106">
      <c r="A106" s="208" t="inlineStr">
        <is>
          <t>PM</t>
        </is>
      </c>
      <c r="B106" s="209" t="n">
        <v>68784034</v>
      </c>
      <c r="C106" s="210" t="inlineStr">
        <is>
          <t xml:space="preserve">LAYSEP KN PANTRY PACK 60g x 96 </t>
        </is>
      </c>
      <c r="D106" s="211" t="inlineStr">
        <is>
          <t>EA</t>
        </is>
      </c>
      <c r="E106" s="103">
        <f>20*100+100</f>
        <v/>
      </c>
      <c r="F106" s="28" t="n"/>
      <c r="G106" s="212" t="n"/>
      <c r="H106" s="39" t="n"/>
      <c r="I106" s="35" t="n"/>
      <c r="J106" s="26">
        <f>+E106+F106-G106+H106</f>
        <v/>
      </c>
      <c r="K106" s="26" t="n"/>
      <c r="L106" s="217" t="n"/>
    </row>
    <row r="107">
      <c r="A107" s="208" t="inlineStr">
        <is>
          <t>PM</t>
        </is>
      </c>
      <c r="B107" s="209" t="n">
        <v>68784036</v>
      </c>
      <c r="C107" s="210" t="inlineStr">
        <is>
          <t>PAD PART KN PANTRY PACK 60g x 96</t>
        </is>
      </c>
      <c r="D107" s="211" t="inlineStr">
        <is>
          <t>EA</t>
        </is>
      </c>
      <c r="E107" s="212">
        <f>82+1240</f>
        <v/>
      </c>
      <c r="F107" s="28" t="n"/>
      <c r="G107" s="212" t="n"/>
      <c r="H107" s="39" t="n"/>
      <c r="I107" s="35" t="n"/>
      <c r="J107" s="26">
        <f>+E107+F107-G107+H107</f>
        <v/>
      </c>
      <c r="K107" s="26" t="n"/>
      <c r="L107" s="217" t="n"/>
    </row>
    <row r="108">
      <c r="A108" s="208" t="inlineStr">
        <is>
          <t>PM</t>
        </is>
      </c>
      <c r="B108" s="209" t="n">
        <v>69713623</v>
      </c>
      <c r="C108" s="210" t="inlineStr">
        <is>
          <t>CLD KN CUBE P/P 60g x 96 NEW ULCL</t>
        </is>
      </c>
      <c r="D108" s="211" t="inlineStr">
        <is>
          <t>EA</t>
        </is>
      </c>
      <c r="E108" s="212">
        <f>148+538+61</f>
        <v/>
      </c>
      <c r="F108" s="28" t="n"/>
      <c r="G108" s="212" t="n"/>
      <c r="H108" s="39" t="n"/>
      <c r="I108" s="35" t="n"/>
      <c r="J108" s="26">
        <f>+E108+F108-G108+H108</f>
        <v/>
      </c>
      <c r="K108" s="26" t="n"/>
      <c r="L108" s="217" t="n"/>
    </row>
    <row r="109" ht="15" customHeight="1" s="219">
      <c r="A109" s="51" t="inlineStr">
        <is>
          <t>FG</t>
        </is>
      </c>
      <c r="B109" s="104" t="n">
        <v>94010565</v>
      </c>
      <c r="C109" s="105" t="inlineStr">
        <is>
          <t>CHICK CUBES P/P RMC 60GM_0096 - EXPORT</t>
        </is>
      </c>
      <c r="D109" s="90" t="n"/>
      <c r="E109" s="55" t="n"/>
      <c r="F109" s="56" t="n"/>
      <c r="G109" s="55" t="n"/>
      <c r="H109" s="92" t="n"/>
      <c r="I109" s="57" t="n"/>
      <c r="J109" s="26">
        <f>+E109+F109-G109+H109</f>
        <v/>
      </c>
      <c r="K109" s="58" t="n"/>
      <c r="L109" s="59" t="n"/>
    </row>
    <row r="110">
      <c r="A110" s="208" t="inlineStr">
        <is>
          <t>PM</t>
        </is>
      </c>
      <c r="B110" s="209" t="n">
        <v>68386279</v>
      </c>
      <c r="C110" s="210" t="inlineStr">
        <is>
          <t>FLEX BOPP OVERWRAPPER 60G 30MIC (Export)</t>
        </is>
      </c>
      <c r="D110" s="211" t="inlineStr">
        <is>
          <t>M</t>
        </is>
      </c>
      <c r="E110" s="214">
        <f>6049+2850*2+1805</f>
        <v/>
      </c>
      <c r="F110" s="28" t="n"/>
      <c r="G110" s="212" t="n"/>
      <c r="H110" s="39" t="n"/>
      <c r="I110" s="35" t="n"/>
      <c r="J110" s="26">
        <f>+E110+F110-G110+H110</f>
        <v/>
      </c>
      <c r="K110" s="26" t="n">
        <v>574</v>
      </c>
      <c r="L110" s="217" t="n"/>
    </row>
    <row r="111">
      <c r="A111" s="208" t="inlineStr">
        <is>
          <t>PM</t>
        </is>
      </c>
      <c r="B111" s="209" t="n">
        <v>68501610</v>
      </c>
      <c r="C111" s="210" t="inlineStr">
        <is>
          <t>LAYSEP KN PANTRY PACK 60g x 96  (Export)</t>
        </is>
      </c>
      <c r="D111" s="211" t="inlineStr">
        <is>
          <t>EA</t>
        </is>
      </c>
      <c r="E111" s="212">
        <f>10*100+159</f>
        <v/>
      </c>
      <c r="F111" s="28" t="n"/>
      <c r="G111" s="106" t="n"/>
      <c r="H111" s="39" t="n"/>
      <c r="I111" s="35" t="n"/>
      <c r="J111" s="26">
        <f>+E111+F111-G111+H111</f>
        <v/>
      </c>
      <c r="K111" s="26" t="n"/>
      <c r="L111" s="217" t="n"/>
    </row>
    <row r="112">
      <c r="A112" s="208" t="inlineStr">
        <is>
          <t>PM</t>
        </is>
      </c>
      <c r="B112" s="209" t="n">
        <v>68794566</v>
      </c>
      <c r="C112" s="210" t="inlineStr">
        <is>
          <t>CLD KN CUBE P/P 60g x 96 RMC 2021 (Export)</t>
        </is>
      </c>
      <c r="D112" s="211" t="inlineStr">
        <is>
          <t>EA</t>
        </is>
      </c>
      <c r="E112" s="212">
        <f>26+25*4</f>
        <v/>
      </c>
      <c r="F112" s="28" t="n"/>
      <c r="G112" s="212" t="n"/>
      <c r="H112" s="39" t="n"/>
      <c r="I112" s="35" t="n"/>
      <c r="J112" s="26">
        <f>+E112+F112-G112+H112</f>
        <v/>
      </c>
      <c r="K112" s="26" t="n"/>
      <c r="L112" s="217" t="n"/>
    </row>
    <row r="113">
      <c r="A113" s="208" t="inlineStr">
        <is>
          <t>PM</t>
        </is>
      </c>
      <c r="B113" s="37" t="n">
        <v>68939930</v>
      </c>
      <c r="C113" s="38" t="inlineStr">
        <is>
          <t>CART KN CUBES 60G EXPORT RMC 2022 V2</t>
        </is>
      </c>
      <c r="D113" s="211" t="inlineStr">
        <is>
          <t>EA</t>
        </is>
      </c>
      <c r="E113" s="212">
        <f>5*1800+294</f>
        <v/>
      </c>
      <c r="F113" s="28" t="n"/>
      <c r="G113" s="212" t="n"/>
      <c r="H113" s="39" t="n"/>
      <c r="I113" s="35" t="n"/>
      <c r="J113" s="26">
        <f>+E113+F113-G113+H113</f>
        <v/>
      </c>
      <c r="K113" s="26" t="n">
        <v>320</v>
      </c>
      <c r="L113" s="217" t="n"/>
    </row>
    <row r="114" ht="15" customHeight="1" s="219">
      <c r="A114" s="51" t="inlineStr">
        <is>
          <t>FG</t>
        </is>
      </c>
      <c r="B114" s="52" t="inlineStr">
        <is>
          <t xml:space="preserve">94010258  </t>
        </is>
      </c>
      <c r="C114" s="105" t="inlineStr">
        <is>
          <t>Knorr Single Cube 280g (Carton)</t>
        </is>
      </c>
      <c r="D114" s="90" t="n"/>
      <c r="E114" s="55" t="n"/>
      <c r="F114" s="56" t="n"/>
      <c r="G114" s="55" t="n"/>
      <c r="H114" s="92" t="n"/>
      <c r="I114" s="57" t="n"/>
      <c r="J114" s="26">
        <f>+E114+F114-G114+H114</f>
        <v/>
      </c>
      <c r="K114" s="58" t="n"/>
      <c r="L114" s="59" t="n"/>
    </row>
    <row r="115">
      <c r="A115" s="208" t="inlineStr">
        <is>
          <t>PM</t>
        </is>
      </c>
      <c r="B115" s="37" t="n">
        <v>68471141</v>
      </c>
      <c r="C115" s="38" t="inlineStr">
        <is>
          <t>CRPART REV KN CUBES 10G X 28 X 24</t>
        </is>
      </c>
      <c r="D115" s="211" t="inlineStr">
        <is>
          <t>EA</t>
        </is>
      </c>
      <c r="E115" s="212" t="n">
        <v>917</v>
      </c>
      <c r="F115" s="28" t="n"/>
      <c r="G115" s="212" t="n"/>
      <c r="H115" s="39" t="n"/>
      <c r="I115" s="35" t="n"/>
      <c r="J115" s="26">
        <f>+E115+F115-G115+H115</f>
        <v/>
      </c>
      <c r="K115" s="26" t="n"/>
      <c r="L115" s="217" t="n"/>
    </row>
    <row r="116" customFormat="1" s="63">
      <c r="A116" s="208" t="inlineStr">
        <is>
          <t>PM</t>
        </is>
      </c>
      <c r="B116" s="37" t="n">
        <v>68471138</v>
      </c>
      <c r="C116" s="38" t="inlineStr">
        <is>
          <t>PADPART REV KN CUBES 10G X 28 X 24</t>
        </is>
      </c>
      <c r="D116" s="211" t="inlineStr">
        <is>
          <t>EA</t>
        </is>
      </c>
      <c r="E116" s="212" t="n">
        <v>100</v>
      </c>
      <c r="F116" s="62" t="n"/>
      <c r="G116" s="107" t="n"/>
      <c r="H116" s="108" t="n"/>
      <c r="I116" s="109" t="n"/>
      <c r="J116" s="26">
        <f>+E116+F116-G116+H116</f>
        <v/>
      </c>
      <c r="K116" s="26" t="n"/>
      <c r="L116" s="110" t="n"/>
    </row>
    <row r="117" customFormat="1" s="63">
      <c r="A117" s="208" t="inlineStr">
        <is>
          <t>PM</t>
        </is>
      </c>
      <c r="B117" s="37" t="n">
        <v>68737941</v>
      </c>
      <c r="C117" s="38" t="inlineStr">
        <is>
          <t>CLD KN CUBES 280G X 24 RMC 2021</t>
        </is>
      </c>
      <c r="D117" s="211" t="inlineStr">
        <is>
          <t>EA</t>
        </is>
      </c>
      <c r="E117" s="212" t="n">
        <v>54</v>
      </c>
      <c r="F117" s="62" t="n"/>
      <c r="G117" s="107" t="n"/>
      <c r="H117" s="108" t="n"/>
      <c r="I117" s="109" t="n"/>
      <c r="J117" s="26">
        <f>+E117+F117-G117+H117</f>
        <v/>
      </c>
      <c r="K117" s="26" t="n"/>
      <c r="L117" s="110" t="n"/>
    </row>
    <row r="118">
      <c r="A118" s="208" t="inlineStr">
        <is>
          <t>PM</t>
        </is>
      </c>
      <c r="B118" s="37" t="n">
        <v>68737939</v>
      </c>
      <c r="C118" s="38" t="inlineStr">
        <is>
          <t>CART KN CUBES 10G X 28 RMC 2021</t>
        </is>
      </c>
      <c r="D118" s="211" t="inlineStr">
        <is>
          <t>EA</t>
        </is>
      </c>
      <c r="E118" s="212" t="n">
        <v>10000</v>
      </c>
      <c r="F118" s="28" t="n"/>
      <c r="G118" s="212" t="n"/>
      <c r="H118" s="39" t="n"/>
      <c r="I118" s="35" t="n"/>
      <c r="J118" s="26">
        <f>+E118+F118-G118+H118</f>
        <v/>
      </c>
      <c r="K118" s="26" t="n"/>
      <c r="L118" s="217" t="n"/>
    </row>
    <row r="119">
      <c r="A119" s="208" t="inlineStr">
        <is>
          <t>PM</t>
        </is>
      </c>
      <c r="B119" s="37" t="n">
        <v>68471139</v>
      </c>
      <c r="C119" s="38" t="inlineStr">
        <is>
          <t>TAMPER LB ARARAT KN CUBES 10G X 28</t>
        </is>
      </c>
      <c r="D119" s="211" t="inlineStr">
        <is>
          <t>EA</t>
        </is>
      </c>
      <c r="E119" s="212" t="n">
        <v>67666</v>
      </c>
      <c r="F119" s="28" t="n"/>
      <c r="G119" s="212" t="n"/>
      <c r="H119" s="39" t="n"/>
      <c r="I119" s="35" t="n"/>
      <c r="J119" s="26">
        <f>+E119+F119-G119+H119</f>
        <v/>
      </c>
      <c r="K119" s="26" t="n"/>
      <c r="L119" s="217" t="n"/>
    </row>
    <row r="120">
      <c r="A120" s="208" t="inlineStr">
        <is>
          <t>PM</t>
        </is>
      </c>
      <c r="B120" s="37" t="n">
        <v>68695611</v>
      </c>
      <c r="C120" s="38" t="inlineStr">
        <is>
          <t>TAMPER LB ARARAT KN CUBES 10G X 28</t>
        </is>
      </c>
      <c r="D120" s="211" t="inlineStr">
        <is>
          <t>EA</t>
        </is>
      </c>
      <c r="E120" s="212">
        <f>6*5000+5000</f>
        <v/>
      </c>
      <c r="F120" s="28" t="n"/>
      <c r="G120" s="212" t="n"/>
      <c r="H120" s="39" t="n"/>
      <c r="I120" s="35" t="n"/>
      <c r="J120" s="26">
        <f>+E120+F120-G120+H120</f>
        <v/>
      </c>
      <c r="K120" s="26" t="n"/>
      <c r="L120" s="217">
        <f>5000*12</f>
        <v/>
      </c>
    </row>
    <row r="121">
      <c r="A121" s="208" t="n"/>
      <c r="B121" s="37" t="n"/>
      <c r="C121" s="38" t="n"/>
      <c r="D121" s="211" t="n"/>
      <c r="E121" s="212" t="n"/>
      <c r="F121" s="28" t="n"/>
      <c r="G121" s="212" t="n"/>
      <c r="H121" s="39" t="n"/>
      <c r="I121" s="111" t="n"/>
      <c r="J121" s="26">
        <f>+E121+F121-G121+H121</f>
        <v/>
      </c>
      <c r="K121" s="26" t="n"/>
      <c r="L121" s="217" t="n"/>
    </row>
    <row r="122" ht="15" customFormat="1" customHeight="1" s="122">
      <c r="A122" s="112" t="inlineStr">
        <is>
          <t>FG</t>
        </is>
      </c>
      <c r="B122" s="113" t="n">
        <v>94010325</v>
      </c>
      <c r="C122" s="114" t="inlineStr">
        <is>
          <t>KN CHICK CUBE CARTON (10g x 15)</t>
        </is>
      </c>
      <c r="D122" s="115" t="n"/>
      <c r="E122" s="116" t="n"/>
      <c r="F122" s="117" t="n"/>
      <c r="G122" s="116" t="n"/>
      <c r="H122" s="118" t="n"/>
      <c r="I122" s="119" t="n"/>
      <c r="J122" s="26">
        <f>+E122+F122-G122+H122</f>
        <v/>
      </c>
      <c r="K122" s="120" t="n"/>
      <c r="L122" s="121" t="n"/>
    </row>
    <row r="123">
      <c r="A123" s="208" t="inlineStr">
        <is>
          <t>PM</t>
        </is>
      </c>
      <c r="B123" s="37" t="n">
        <v>69663057</v>
      </c>
      <c r="C123" s="123" t="inlineStr">
        <is>
          <t>CART KN CUBES 10G X 15 RMC 2022</t>
        </is>
      </c>
      <c r="D123" s="211" t="inlineStr">
        <is>
          <t>EA</t>
        </is>
      </c>
      <c r="E123" s="212">
        <f>6*200+13*200+90+75</f>
        <v/>
      </c>
      <c r="F123" s="28" t="n"/>
      <c r="G123" s="212" t="n"/>
      <c r="H123" s="39" t="n"/>
      <c r="I123" s="35" t="n"/>
      <c r="J123" s="26">
        <f>+E123+F123-G123+H123</f>
        <v/>
      </c>
      <c r="K123" s="26" t="n">
        <v>554</v>
      </c>
      <c r="L123" s="217">
        <f>672+810+6387+2260</f>
        <v/>
      </c>
    </row>
    <row r="124">
      <c r="A124" s="208" t="inlineStr">
        <is>
          <t>PM</t>
        </is>
      </c>
      <c r="B124" s="37" t="n">
        <v>69663059</v>
      </c>
      <c r="C124" s="38" t="inlineStr">
        <is>
          <t xml:space="preserve">CRPART KNORR CUBES 150G X 24 </t>
        </is>
      </c>
      <c r="D124" s="211" t="inlineStr">
        <is>
          <t>EA</t>
        </is>
      </c>
      <c r="E124" s="212">
        <f>18*25+14*25+5</f>
        <v/>
      </c>
      <c r="F124" s="28" t="n"/>
      <c r="G124" s="212" t="n"/>
      <c r="H124" s="39" t="n"/>
      <c r="I124" s="35" t="n"/>
      <c r="J124" s="26">
        <f>+E124+F124-G124+H124</f>
        <v/>
      </c>
      <c r="K124" s="26" t="n"/>
      <c r="L124" s="217" t="n"/>
    </row>
    <row r="125">
      <c r="A125" s="208" t="inlineStr">
        <is>
          <t>PM</t>
        </is>
      </c>
      <c r="B125" s="37" t="n">
        <v>69663058</v>
      </c>
      <c r="C125" s="38" t="inlineStr">
        <is>
          <t xml:space="preserve">PART KNORR CUBES 150G X 24 </t>
        </is>
      </c>
      <c r="D125" s="211" t="inlineStr">
        <is>
          <t>EA</t>
        </is>
      </c>
      <c r="E125" s="212">
        <f>600+62+32</f>
        <v/>
      </c>
      <c r="F125" s="28" t="n"/>
      <c r="G125" s="212" t="n"/>
      <c r="H125" s="39" t="n"/>
      <c r="I125" s="35" t="n"/>
      <c r="J125" s="26">
        <f>+E125+F125-G125+H125</f>
        <v/>
      </c>
      <c r="K125" s="26" t="n"/>
      <c r="L125" s="217" t="n"/>
    </row>
    <row r="126">
      <c r="A126" s="208" t="inlineStr">
        <is>
          <t>PM</t>
        </is>
      </c>
      <c r="B126" s="37" t="n">
        <v>69663055</v>
      </c>
      <c r="C126" s="38" t="inlineStr">
        <is>
          <t>CLD KN CUBES 150G X 24 RMC 2022</t>
        </is>
      </c>
      <c r="D126" s="211" t="inlineStr">
        <is>
          <t>EA</t>
        </is>
      </c>
      <c r="E126" s="212" t="n">
        <v>29</v>
      </c>
      <c r="F126" s="28" t="n"/>
      <c r="G126" s="212" t="n"/>
      <c r="H126" s="39" t="n"/>
      <c r="I126" s="35" t="n"/>
      <c r="J126" s="26">
        <f>+E126+F126-G126+H126</f>
        <v/>
      </c>
      <c r="K126" s="26" t="n"/>
      <c r="L126" s="217" t="n"/>
    </row>
    <row r="127">
      <c r="A127" s="208" t="n"/>
      <c r="B127" s="37" t="n"/>
      <c r="C127" s="124" t="n"/>
      <c r="D127" s="211" t="n"/>
      <c r="E127" s="212" t="n"/>
      <c r="F127" s="28" t="n"/>
      <c r="G127" s="212" t="n"/>
      <c r="H127" s="39" t="n"/>
      <c r="I127" s="111" t="n"/>
      <c r="J127" s="26">
        <f>+E127+F127-G127+H127</f>
        <v/>
      </c>
      <c r="K127" s="26" t="n"/>
      <c r="L127" s="217" t="n"/>
    </row>
    <row r="128" ht="15" customFormat="1" customHeight="1" s="122">
      <c r="A128" s="125" t="inlineStr">
        <is>
          <t>FG</t>
        </is>
      </c>
      <c r="B128" s="126" t="n">
        <v>94011735</v>
      </c>
      <c r="C128" s="127" t="inlineStr">
        <is>
          <t>KNORR VEG CURRY CUBE 20G</t>
        </is>
      </c>
      <c r="D128" s="128" t="n"/>
      <c r="E128" s="129" t="n"/>
      <c r="F128" s="130" t="n"/>
      <c r="G128" s="131" t="n"/>
      <c r="H128" s="132" t="n"/>
      <c r="I128" s="133" t="n"/>
      <c r="J128" s="26">
        <f>+E128+F128-G128+H128</f>
        <v/>
      </c>
      <c r="K128" s="134" t="n"/>
      <c r="L128" s="135" t="n"/>
    </row>
    <row r="129" customFormat="1" s="122">
      <c r="A129" s="208" t="inlineStr">
        <is>
          <t>PM</t>
        </is>
      </c>
      <c r="B129" s="37" t="n">
        <v>62720910</v>
      </c>
      <c r="C129" s="38" t="inlineStr">
        <is>
          <t>CART KN CUBE VD 17GX15 NEW ULCL</t>
        </is>
      </c>
      <c r="D129" s="211" t="inlineStr">
        <is>
          <t>EA</t>
        </is>
      </c>
      <c r="E129" s="159">
        <f>600+119</f>
        <v/>
      </c>
      <c r="F129" s="28" t="n"/>
      <c r="G129" s="212" t="n"/>
      <c r="H129" s="39" t="n"/>
      <c r="I129" s="111" t="n"/>
      <c r="J129" s="26">
        <f>+E129+F129-G129+H129</f>
        <v/>
      </c>
      <c r="K129" s="26" t="n">
        <v>6</v>
      </c>
      <c r="L129" s="217" t="n"/>
    </row>
    <row r="130">
      <c r="A130" s="208" t="inlineStr">
        <is>
          <t>PM</t>
        </is>
      </c>
      <c r="B130" s="37" t="n">
        <v>69713624</v>
      </c>
      <c r="C130" s="38" t="inlineStr">
        <is>
          <t>CLD KN CUBE VD 17GX15 NEW ULCL</t>
        </is>
      </c>
      <c r="D130" s="211" t="inlineStr">
        <is>
          <t>EA</t>
        </is>
      </c>
      <c r="E130" s="159">
        <f>23*25+14</f>
        <v/>
      </c>
      <c r="F130" s="28" t="n"/>
      <c r="G130" s="212" t="n"/>
      <c r="H130" s="39" t="n"/>
      <c r="I130" s="111" t="n"/>
      <c r="J130" s="26">
        <f>+E130+F130-G130+H130</f>
        <v/>
      </c>
      <c r="K130" s="26" t="n"/>
      <c r="L130" s="217" t="n"/>
    </row>
    <row r="131">
      <c r="A131" s="208" t="inlineStr">
        <is>
          <t>PM</t>
        </is>
      </c>
      <c r="B131" s="37" t="n">
        <v>69780142</v>
      </c>
      <c r="C131" s="38" t="inlineStr">
        <is>
          <t xml:space="preserve">LAMI KN CUBE 8.5G WRAPPER </t>
        </is>
      </c>
      <c r="D131" s="211" t="inlineStr">
        <is>
          <t>EA</t>
        </is>
      </c>
      <c r="E131" s="214">
        <f>43*1000+1202</f>
        <v/>
      </c>
      <c r="F131" s="28" t="n"/>
      <c r="G131" s="212" t="n"/>
      <c r="H131" s="39" t="n"/>
      <c r="I131" s="111" t="n"/>
      <c r="J131" s="26">
        <f>+E131+F131-G131+H131</f>
        <v/>
      </c>
      <c r="K131" s="26" t="n"/>
      <c r="L131" s="217" t="n"/>
    </row>
    <row r="132">
      <c r="A132" s="208" t="inlineStr">
        <is>
          <t>PM</t>
        </is>
      </c>
      <c r="B132" s="37" t="n">
        <v>69713621</v>
      </c>
      <c r="C132" s="38" t="inlineStr">
        <is>
          <t>CART KN VEG CUBE SHELL BOX 17G NEW ULCL</t>
        </is>
      </c>
      <c r="D132" s="211" t="inlineStr">
        <is>
          <t>EA</t>
        </is>
      </c>
      <c r="E132" s="159">
        <f>7*2400+3786</f>
        <v/>
      </c>
      <c r="F132" s="28" t="n"/>
      <c r="G132" s="212" t="n"/>
      <c r="H132" s="39" t="n"/>
      <c r="I132" s="111" t="n"/>
      <c r="J132" s="26">
        <f>+E132+F132-G132+H132</f>
        <v/>
      </c>
      <c r="K132" s="26">
        <f>1770+2400</f>
        <v/>
      </c>
      <c r="L132" s="217" t="n"/>
    </row>
    <row r="133">
      <c r="A133" s="208" t="inlineStr">
        <is>
          <t>PM</t>
        </is>
      </c>
      <c r="B133" s="37" t="n">
        <v>69788556</v>
      </c>
      <c r="C133" s="38" t="inlineStr">
        <is>
          <t>FLEX BOPP OVERWRAPPER 17G 30MIC</t>
        </is>
      </c>
      <c r="D133" s="211" t="inlineStr">
        <is>
          <t>EA</t>
        </is>
      </c>
      <c r="E133" s="159">
        <f>3966+5000</f>
        <v/>
      </c>
      <c r="F133" s="28" t="n"/>
      <c r="G133" s="212" t="n"/>
      <c r="H133" s="39" t="n"/>
      <c r="I133" s="111" t="n"/>
      <c r="J133" s="26">
        <f>+E133+F133-G133+H133</f>
        <v/>
      </c>
      <c r="K133" s="26" t="n">
        <v>1423.24324324324</v>
      </c>
      <c r="L133" s="217" t="n"/>
    </row>
    <row r="134">
      <c r="A134" s="208" t="n"/>
      <c r="B134" s="37" t="n"/>
      <c r="C134" s="124" t="n"/>
      <c r="D134" s="211" t="n"/>
      <c r="E134" s="212" t="n"/>
      <c r="F134" s="28" t="n"/>
      <c r="G134" s="212" t="n"/>
      <c r="H134" s="39" t="n"/>
      <c r="I134" s="35" t="n"/>
      <c r="J134" s="26">
        <f>+E134+F134-G134+H134</f>
        <v/>
      </c>
      <c r="K134" s="26" t="n"/>
      <c r="L134" s="217" t="n"/>
    </row>
    <row r="135" ht="15" customHeight="1" s="219">
      <c r="A135" s="94" t="inlineStr">
        <is>
          <t>FG</t>
        </is>
      </c>
      <c r="B135" s="52" t="n">
        <v>94011438</v>
      </c>
      <c r="C135" s="136" t="inlineStr">
        <is>
          <t xml:space="preserve">KN CSP Pouch 500g </t>
        </is>
      </c>
      <c r="D135" s="90" t="n"/>
      <c r="E135" s="55" t="n"/>
      <c r="F135" s="56" t="n"/>
      <c r="G135" s="55" t="n"/>
      <c r="H135" s="92" t="n"/>
      <c r="I135" s="57" t="n"/>
      <c r="J135" s="26">
        <f>+E135+F135-G135+H135</f>
        <v/>
      </c>
      <c r="K135" s="58" t="n"/>
      <c r="L135" s="59" t="n"/>
    </row>
    <row r="136">
      <c r="A136" s="208" t="inlineStr">
        <is>
          <t>PM</t>
        </is>
      </c>
      <c r="B136" s="137" t="n">
        <v>64852690</v>
      </c>
      <c r="C136" s="38" t="inlineStr">
        <is>
          <t xml:space="preserve">LAMI POUCH KN UFS CSP 500G </t>
        </is>
      </c>
      <c r="D136" s="21" t="inlineStr">
        <is>
          <t>EA</t>
        </is>
      </c>
      <c r="E136" s="212">
        <f>249+3500+1400</f>
        <v/>
      </c>
      <c r="F136" s="28" t="n"/>
      <c r="G136" s="212" t="n"/>
      <c r="H136" s="40" t="n"/>
      <c r="I136" s="216" t="n"/>
      <c r="J136" s="26">
        <f>+E136+F136-G136+H136</f>
        <v/>
      </c>
      <c r="K136" s="26" t="n"/>
      <c r="L136" s="217" t="n"/>
    </row>
    <row r="137">
      <c r="A137" s="208" t="inlineStr">
        <is>
          <t>PM</t>
        </is>
      </c>
      <c r="B137" s="37" t="n">
        <v>69672874</v>
      </c>
      <c r="C137" s="124" t="inlineStr">
        <is>
          <t xml:space="preserve">CRPART KN UFS CSP 500G POUCH X 24 </t>
        </is>
      </c>
      <c r="D137" s="211" t="inlineStr">
        <is>
          <t>EA</t>
        </is>
      </c>
      <c r="E137" s="212">
        <f>11+25*10+40</f>
        <v/>
      </c>
      <c r="F137" s="28" t="n"/>
      <c r="G137" s="212" t="n"/>
      <c r="H137" s="40" t="n"/>
      <c r="I137" s="216" t="n"/>
      <c r="J137" s="26">
        <f>+E137+F137-G137+H137</f>
        <v/>
      </c>
      <c r="K137" s="26" t="n"/>
      <c r="L137" s="217" t="n"/>
    </row>
    <row r="138">
      <c r="A138" s="208" t="inlineStr">
        <is>
          <t>PM</t>
        </is>
      </c>
      <c r="B138" s="37" t="n">
        <v>69672875</v>
      </c>
      <c r="C138" s="124" t="inlineStr">
        <is>
          <t>LASEP KN UFS CSP 500G POUCH X 24</t>
        </is>
      </c>
      <c r="D138" s="211" t="inlineStr">
        <is>
          <t>EA</t>
        </is>
      </c>
      <c r="E138" s="212">
        <f>100+200</f>
        <v/>
      </c>
      <c r="F138" s="28" t="n"/>
      <c r="G138" s="212" t="n"/>
      <c r="H138" s="40" t="n"/>
      <c r="I138" s="216" t="n"/>
      <c r="J138" s="26">
        <f>+E138+F138-G138+H138</f>
        <v/>
      </c>
      <c r="K138" s="26" t="n"/>
      <c r="L138" s="217" t="n"/>
    </row>
    <row r="139">
      <c r="A139" s="208" t="inlineStr">
        <is>
          <t>PM</t>
        </is>
      </c>
      <c r="B139" s="137" t="n">
        <v>69779314</v>
      </c>
      <c r="C139" s="38" t="inlineStr">
        <is>
          <t>CLD KN UFS CSP 500G POUCH PACK  NEW ULCL</t>
        </is>
      </c>
      <c r="D139" s="211" t="inlineStr">
        <is>
          <t>EA</t>
        </is>
      </c>
      <c r="E139" s="214" t="n">
        <v>86</v>
      </c>
      <c r="F139" s="28" t="n"/>
      <c r="G139" s="212" t="n"/>
      <c r="H139" s="40" t="n"/>
      <c r="I139" s="216" t="n"/>
      <c r="J139" s="26">
        <f>+E139+F139-G139+H139</f>
        <v/>
      </c>
      <c r="K139" s="26" t="n"/>
      <c r="L139" s="217" t="n"/>
    </row>
    <row r="140">
      <c r="A140" s="208" t="n"/>
      <c r="B140" s="137" t="n"/>
      <c r="C140" s="38" t="n"/>
      <c r="D140" s="211" t="n"/>
      <c r="E140" s="212" t="n"/>
      <c r="F140" s="28" t="n"/>
      <c r="G140" s="212" t="n"/>
      <c r="H140" s="40" t="n"/>
      <c r="I140" s="216" t="n"/>
      <c r="J140" s="26">
        <f>+E140+F140-G140+H140</f>
        <v/>
      </c>
      <c r="K140" s="26" t="n"/>
      <c r="L140" s="217" t="n"/>
    </row>
    <row r="141" ht="15" customFormat="1" customHeight="1" s="122">
      <c r="A141" s="138" t="inlineStr">
        <is>
          <t>FG</t>
        </is>
      </c>
      <c r="B141" s="126" t="n">
        <v>94013777</v>
      </c>
      <c r="C141" s="139" t="inlineStr">
        <is>
          <t>Knor Chick Flavd Ssoning Powder500gx24FS</t>
        </is>
      </c>
      <c r="D141" s="128" t="n"/>
      <c r="E141" s="131" t="n"/>
      <c r="F141" s="130" t="n"/>
      <c r="G141" s="131" t="n"/>
      <c r="H141" s="132" t="n"/>
      <c r="I141" s="140" t="n"/>
      <c r="J141" s="26">
        <f>+E141+F141-G141+H141</f>
        <v/>
      </c>
      <c r="K141" s="134" t="n"/>
      <c r="L141" s="135" t="n"/>
    </row>
    <row r="142">
      <c r="A142" s="208" t="inlineStr">
        <is>
          <t>PM</t>
        </is>
      </c>
      <c r="B142" s="36" t="n">
        <v>64852691</v>
      </c>
      <c r="C142" s="87" t="inlineStr">
        <is>
          <t>CLD KN CSP 500G X 24 REG2024</t>
        </is>
      </c>
      <c r="D142" s="211" t="inlineStr">
        <is>
          <t>EA</t>
        </is>
      </c>
      <c r="E142" s="212" t="n">
        <v>300</v>
      </c>
      <c r="F142" s="28" t="n"/>
      <c r="G142" s="212" t="n"/>
      <c r="H142" s="40" t="n"/>
      <c r="I142" s="216" t="n"/>
      <c r="J142" s="26">
        <f>+E142+F142-G142+H142</f>
        <v/>
      </c>
      <c r="K142" s="26" t="n"/>
      <c r="L142" s="217" t="n"/>
    </row>
    <row r="143">
      <c r="A143" s="208" t="inlineStr">
        <is>
          <t>PM</t>
        </is>
      </c>
      <c r="B143" s="36" t="n">
        <v>64874799</v>
      </c>
      <c r="C143" s="87" t="inlineStr">
        <is>
          <t>SFG LBTUB CSP 500G X 24 REG2024</t>
        </is>
      </c>
      <c r="D143" s="211" t="inlineStr">
        <is>
          <t>EA</t>
        </is>
      </c>
      <c r="E143" s="212" t="n">
        <v>56</v>
      </c>
      <c r="F143" s="28" t="n"/>
      <c r="G143" s="212" t="n"/>
      <c r="H143" s="40" t="n"/>
      <c r="I143" s="40" t="n"/>
      <c r="J143" s="26">
        <f>+E143+F143-G143+H143</f>
        <v/>
      </c>
      <c r="K143" s="26" t="n"/>
      <c r="L143" s="217" t="n"/>
    </row>
    <row r="144">
      <c r="A144" s="208" t="n"/>
      <c r="B144" s="137" t="n"/>
      <c r="C144" s="38" t="n"/>
      <c r="D144" s="211" t="n"/>
      <c r="E144" s="212" t="n"/>
      <c r="F144" s="28" t="n"/>
      <c r="G144" s="212" t="n"/>
      <c r="H144" s="40" t="n"/>
      <c r="I144" s="216" t="n"/>
      <c r="J144" s="26">
        <f>+E144+F144-G144+H144</f>
        <v/>
      </c>
      <c r="K144" s="26" t="n"/>
      <c r="L144" s="217" t="n"/>
    </row>
    <row r="145" ht="15" customHeight="1" s="219">
      <c r="A145" s="51" t="inlineStr">
        <is>
          <t>FG</t>
        </is>
      </c>
      <c r="B145" s="52" t="n">
        <v>94010488</v>
      </c>
      <c r="C145" s="53" t="inlineStr">
        <is>
          <t>MARMITE SMALL 50G</t>
        </is>
      </c>
      <c r="D145" s="90" t="n"/>
      <c r="E145" s="55" t="n"/>
      <c r="F145" s="56" t="n"/>
      <c r="G145" s="55" t="n"/>
      <c r="H145" s="92" t="n"/>
      <c r="I145" s="93" t="n"/>
      <c r="J145" s="26">
        <f>+E145+F145-G145+H145</f>
        <v/>
      </c>
      <c r="K145" s="58" t="n"/>
      <c r="L145" s="59" t="n"/>
    </row>
    <row r="146" customFormat="1" s="63">
      <c r="A146" s="208" t="inlineStr">
        <is>
          <t>PM</t>
        </is>
      </c>
      <c r="B146" s="209" t="n">
        <v>11061724</v>
      </c>
      <c r="C146" s="210" t="inlineStr">
        <is>
          <t xml:space="preserve">MARMITE BULK </t>
        </is>
      </c>
      <c r="D146" s="211" t="inlineStr">
        <is>
          <t>KG</t>
        </is>
      </c>
      <c r="E146" s="141">
        <f>3*840</f>
        <v/>
      </c>
      <c r="F146" s="142" t="n"/>
      <c r="G146" s="141" t="n"/>
      <c r="H146" s="143" t="n"/>
      <c r="I146" s="143" t="n"/>
      <c r="J146" s="26">
        <f>+E146+F146-G146+H146</f>
        <v/>
      </c>
      <c r="K146" s="26">
        <f>840*4+9*35</f>
        <v/>
      </c>
      <c r="L146" s="144">
        <f>182.48+6*35</f>
        <v/>
      </c>
    </row>
    <row r="147">
      <c r="A147" s="208" t="inlineStr">
        <is>
          <t>PM</t>
        </is>
      </c>
      <c r="B147" s="37" t="n">
        <v>68762505</v>
      </c>
      <c r="C147" s="38" t="inlineStr">
        <is>
          <t xml:space="preserve">BOTTLE GLASS MARMITE 50G TAMPER 2021 </t>
        </is>
      </c>
      <c r="D147" s="211" t="inlineStr">
        <is>
          <t>EA</t>
        </is>
      </c>
      <c r="E147" s="214">
        <f>6272*3+2*6272</f>
        <v/>
      </c>
      <c r="F147" s="28" t="n"/>
      <c r="G147" s="212" t="n"/>
      <c r="H147" s="145" t="n"/>
      <c r="I147" s="143" t="n"/>
      <c r="J147" s="26">
        <f>+E147+F147-G147+H147</f>
        <v/>
      </c>
      <c r="K147" s="144">
        <f>6272+1929+6272+2856+6272*3</f>
        <v/>
      </c>
      <c r="L147" s="110" t="n">
        <v>5488</v>
      </c>
    </row>
    <row r="148">
      <c r="A148" s="208" t="inlineStr">
        <is>
          <t>PM</t>
        </is>
      </c>
      <c r="B148" s="37" t="n">
        <v>68762504</v>
      </c>
      <c r="C148" s="38" t="inlineStr">
        <is>
          <t>PLID MARMITE 50G TAMPER 2021</t>
        </is>
      </c>
      <c r="D148" s="211" t="inlineStr">
        <is>
          <t>EA</t>
        </is>
      </c>
      <c r="E148" s="214">
        <f>500+0.72/0.0059+17*500+500*12+100</f>
        <v/>
      </c>
      <c r="F148" s="28" t="n"/>
      <c r="G148" s="212" t="n"/>
      <c r="H148" s="145" t="n"/>
      <c r="I148" s="143" t="n"/>
      <c r="J148" s="26">
        <f>+E148+F148-G148+H148</f>
        <v/>
      </c>
      <c r="K148" s="144" t="n"/>
      <c r="L148" s="146" t="n"/>
    </row>
    <row r="149" ht="15.75" customHeight="1" s="219">
      <c r="A149" s="208" t="inlineStr">
        <is>
          <t>PM</t>
        </is>
      </c>
      <c r="B149" s="37" t="n">
        <v>11505718</v>
      </c>
      <c r="C149" s="38" t="inlineStr">
        <is>
          <t xml:space="preserve">FLB MARMITE 55GX60 628/2014/USLL RELAUNCH 2014   </t>
        </is>
      </c>
      <c r="D149" s="211" t="inlineStr">
        <is>
          <t>EA</t>
        </is>
      </c>
      <c r="E149" s="214">
        <f>37186+13750*4+7500</f>
        <v/>
      </c>
      <c r="F149" s="28" t="n"/>
      <c r="G149" s="212" t="n"/>
      <c r="H149" s="145" t="n"/>
      <c r="I149" s="143" t="n"/>
      <c r="J149" s="26">
        <f>+E149+F149-G149+H149</f>
        <v/>
      </c>
      <c r="K149" s="26" t="n"/>
      <c r="L149" s="217" t="n"/>
    </row>
    <row r="150">
      <c r="A150" s="208" t="inlineStr">
        <is>
          <t>PM</t>
        </is>
      </c>
      <c r="B150" s="36" t="n">
        <v>64872146</v>
      </c>
      <c r="C150" s="38" t="inlineStr">
        <is>
          <t>CRT MARMITE 50G URMC 2021 NEW ULCL</t>
        </is>
      </c>
      <c r="D150" s="211" t="inlineStr">
        <is>
          <t>EA</t>
        </is>
      </c>
      <c r="E150" s="103">
        <f>336+263+36000+35000</f>
        <v/>
      </c>
      <c r="F150" s="28" t="n"/>
      <c r="G150" s="212" t="n"/>
      <c r="H150" s="145" t="n"/>
      <c r="I150" s="143" t="n"/>
      <c r="J150" s="26">
        <f>+E150+F150-G150+H150</f>
        <v/>
      </c>
      <c r="K150" s="26" t="n">
        <v>123</v>
      </c>
      <c r="L150" s="217" t="n"/>
    </row>
    <row r="151">
      <c r="A151" s="208" t="inlineStr">
        <is>
          <t>PM</t>
        </is>
      </c>
      <c r="B151" s="37" t="n">
        <v>69713695</v>
      </c>
      <c r="C151" s="38" t="inlineStr">
        <is>
          <t>CLD MARMITE 50G X 60 URMC 2021 NEW ULCL</t>
        </is>
      </c>
      <c r="D151" s="211" t="inlineStr">
        <is>
          <t>EA</t>
        </is>
      </c>
      <c r="E151" s="212" t="n">
        <v>135</v>
      </c>
      <c r="F151" s="28" t="n"/>
      <c r="G151" s="212" t="n"/>
      <c r="H151" s="141" t="n"/>
      <c r="I151" s="143" t="n"/>
      <c r="J151" s="26">
        <f>+E151+F151-G151+H151</f>
        <v/>
      </c>
      <c r="K151" s="26" t="n"/>
      <c r="L151" s="217" t="n"/>
    </row>
    <row r="152" ht="15" customHeight="1" s="219">
      <c r="A152" s="51" t="inlineStr">
        <is>
          <t>FG</t>
        </is>
      </c>
      <c r="B152" s="52" t="n"/>
      <c r="C152" s="53" t="inlineStr">
        <is>
          <t>MARMITE SMALL 50G</t>
        </is>
      </c>
      <c r="D152" s="90" t="n"/>
      <c r="E152" s="55" t="n"/>
      <c r="F152" s="56" t="n"/>
      <c r="G152" s="55" t="n"/>
      <c r="H152" s="92" t="n"/>
      <c r="I152" s="93" t="n"/>
      <c r="J152" s="26">
        <f>+E152+F152-G152+H152</f>
        <v/>
      </c>
      <c r="K152" s="58" t="n"/>
      <c r="L152" s="59" t="n"/>
    </row>
    <row r="153" ht="15" customHeight="1" s="219">
      <c r="A153" s="208" t="inlineStr">
        <is>
          <t>PM</t>
        </is>
      </c>
      <c r="B153" s="147" t="n">
        <v>64928063</v>
      </c>
      <c r="C153" s="148" t="inlineStr">
        <is>
          <t>CLD MARMITE 50G X 60 AVURUDU 2025</t>
        </is>
      </c>
      <c r="D153" s="211" t="inlineStr">
        <is>
          <t>EA</t>
        </is>
      </c>
      <c r="E153" s="212" t="n">
        <v>106</v>
      </c>
      <c r="F153" s="28" t="n"/>
      <c r="G153" s="212" t="n"/>
      <c r="H153" s="145" t="n"/>
      <c r="I153" s="143" t="n"/>
      <c r="J153" s="26">
        <f>+E153+F153-G153+H153</f>
        <v/>
      </c>
      <c r="K153" s="26" t="n"/>
      <c r="L153" s="217" t="n"/>
    </row>
    <row r="154" ht="15" customHeight="1" s="219">
      <c r="A154" s="208" t="inlineStr">
        <is>
          <t>PM</t>
        </is>
      </c>
      <c r="B154" s="147" t="n">
        <v>64928068</v>
      </c>
      <c r="C154" s="148" t="inlineStr">
        <is>
          <t>FLB MARMITE 50G AVURUDU 2025</t>
        </is>
      </c>
      <c r="D154" s="211" t="inlineStr">
        <is>
          <t>EA</t>
        </is>
      </c>
      <c r="E154" s="212" t="n"/>
      <c r="F154" s="28" t="n"/>
      <c r="G154" s="212" t="n"/>
      <c r="H154" s="145" t="n"/>
      <c r="I154" s="143" t="n"/>
      <c r="J154" s="26">
        <f>+E154+F154-G154+H154</f>
        <v/>
      </c>
      <c r="K154" s="26" t="n"/>
      <c r="L154" s="217" t="n"/>
    </row>
    <row r="155" ht="15" customHeight="1" s="219">
      <c r="A155" s="208" t="inlineStr">
        <is>
          <t>PM</t>
        </is>
      </c>
      <c r="B155" s="147" t="n">
        <v>64928060</v>
      </c>
      <c r="C155" s="148" t="inlineStr">
        <is>
          <t>CRT MARMITE 50G AVURUDU 2025</t>
        </is>
      </c>
      <c r="D155" s="211" t="inlineStr">
        <is>
          <t>EA</t>
        </is>
      </c>
      <c r="E155" s="212" t="n">
        <v>500</v>
      </c>
      <c r="F155" s="28" t="n"/>
      <c r="G155" s="212" t="n"/>
      <c r="H155" s="145" t="n"/>
      <c r="I155" s="143" t="n"/>
      <c r="J155" s="26">
        <f>+E155+F155-G155+H155</f>
        <v/>
      </c>
      <c r="K155" s="26" t="n"/>
      <c r="L155" s="217" t="n"/>
    </row>
    <row r="156">
      <c r="A156" s="208" t="n"/>
      <c r="B156" s="37" t="n"/>
      <c r="C156" s="38" t="n"/>
      <c r="D156" s="211" t="n"/>
      <c r="E156" s="212" t="n"/>
      <c r="F156" s="28" t="n"/>
      <c r="G156" s="212" t="n"/>
      <c r="H156" s="145" t="n"/>
      <c r="I156" s="143" t="n"/>
      <c r="J156" s="26">
        <f>+E156+F156-G156+H156</f>
        <v/>
      </c>
      <c r="K156" s="26" t="n"/>
      <c r="L156" s="217" t="n"/>
    </row>
    <row r="157" ht="15" customHeight="1" s="219">
      <c r="A157" s="51" t="inlineStr">
        <is>
          <t>FG</t>
        </is>
      </c>
      <c r="B157" s="149" t="n">
        <v>94010489</v>
      </c>
      <c r="C157" s="105" t="inlineStr">
        <is>
          <t>Marmite Yeast Extract 100g</t>
        </is>
      </c>
      <c r="D157" s="90" t="n"/>
      <c r="E157" s="55" t="n"/>
      <c r="F157" s="56" t="n"/>
      <c r="G157" s="55" t="n"/>
      <c r="H157" s="150" t="n"/>
      <c r="I157" s="57" t="n"/>
      <c r="J157" s="26">
        <f>+E157+F157-G157+H157</f>
        <v/>
      </c>
      <c r="K157" s="58" t="n"/>
      <c r="L157" s="59" t="n"/>
    </row>
    <row r="158">
      <c r="A158" s="208" t="inlineStr">
        <is>
          <t>PM</t>
        </is>
      </c>
      <c r="B158" s="209" t="n">
        <v>69713689</v>
      </c>
      <c r="C158" s="210" t="inlineStr">
        <is>
          <t>CLD MARMITE 100G X 48 URMC 2021 New Ulcl</t>
        </is>
      </c>
      <c r="D158" s="211" t="inlineStr">
        <is>
          <t>EA</t>
        </is>
      </c>
      <c r="E158" s="212">
        <f>21+207</f>
        <v/>
      </c>
      <c r="F158" s="28" t="n"/>
      <c r="G158" s="212" t="n"/>
      <c r="H158" s="39" t="n"/>
      <c r="I158" s="35" t="n"/>
      <c r="J158" s="26">
        <f>+E158+F158-G158+H158</f>
        <v/>
      </c>
      <c r="K158" s="26" t="n"/>
      <c r="L158" s="217" t="n"/>
    </row>
    <row r="159">
      <c r="A159" s="208" t="inlineStr">
        <is>
          <t>PM</t>
        </is>
      </c>
      <c r="B159" s="209" t="n">
        <v>68762503</v>
      </c>
      <c r="C159" s="210" t="inlineStr">
        <is>
          <t>BOTTLE GLASS MARMITE 100G TAMPER 2021</t>
        </is>
      </c>
      <c r="D159" s="211" t="inlineStr">
        <is>
          <t>EA</t>
        </is>
      </c>
      <c r="E159" s="212">
        <f>5*4116</f>
        <v/>
      </c>
      <c r="F159" s="28" t="n"/>
      <c r="G159" s="212" t="n"/>
      <c r="H159" s="39" t="n"/>
      <c r="I159" s="35" t="n"/>
      <c r="J159" s="26">
        <f>+E159+F159-G159+H159</f>
        <v/>
      </c>
      <c r="K159" s="26">
        <f>17071+1026</f>
        <v/>
      </c>
      <c r="L159" s="217">
        <f>2604+4116*3+4116*2+1092</f>
        <v/>
      </c>
    </row>
    <row r="160">
      <c r="A160" s="208" t="inlineStr">
        <is>
          <t>PM</t>
        </is>
      </c>
      <c r="B160" s="209" t="n">
        <v>68762508</v>
      </c>
      <c r="C160" s="210" t="inlineStr">
        <is>
          <t>PLID MARMITE 100G TAMPER 2021</t>
        </is>
      </c>
      <c r="D160" s="211" t="inlineStr">
        <is>
          <t>EA</t>
        </is>
      </c>
      <c r="E160" s="31">
        <f>14*500+2.81/0.0071</f>
        <v/>
      </c>
      <c r="F160" s="28" t="n"/>
      <c r="G160" s="212" t="n"/>
      <c r="H160" s="39" t="n"/>
      <c r="I160" s="35" t="n"/>
      <c r="J160" s="26">
        <f>+E160+F160-G160+H160</f>
        <v/>
      </c>
      <c r="K160" s="26">
        <f>500*9</f>
        <v/>
      </c>
      <c r="L160" s="217" t="n"/>
    </row>
    <row r="161" ht="15.75" customHeight="1" s="219">
      <c r="A161" s="208" t="inlineStr">
        <is>
          <t>PM</t>
        </is>
      </c>
      <c r="B161" s="209" t="n">
        <v>11505712</v>
      </c>
      <c r="C161" s="210" t="inlineStr">
        <is>
          <t>FLB MARMITE 105G RELAUNCH 2014</t>
        </is>
      </c>
      <c r="D161" s="211" t="inlineStr">
        <is>
          <t>EA</t>
        </is>
      </c>
      <c r="E161" s="31">
        <f>8500*5</f>
        <v/>
      </c>
      <c r="F161" s="28" t="n"/>
      <c r="G161" s="151" t="n"/>
      <c r="H161" s="39" t="n"/>
      <c r="I161" s="35" t="n"/>
      <c r="J161" s="26">
        <f>+E161+F161-G161+H161</f>
        <v/>
      </c>
      <c r="K161" s="26" t="n"/>
      <c r="L161" s="217" t="n"/>
    </row>
    <row r="162">
      <c r="A162" s="208" t="inlineStr">
        <is>
          <t>PM</t>
        </is>
      </c>
      <c r="B162" s="36" t="n">
        <v>64872140</v>
      </c>
      <c r="C162" s="210" t="inlineStr">
        <is>
          <t>CRT MARMITE 100G URMC 2021</t>
        </is>
      </c>
      <c r="D162" s="211" t="inlineStr">
        <is>
          <t>EA</t>
        </is>
      </c>
      <c r="E162" s="31" t="n"/>
      <c r="F162" s="28" t="n"/>
      <c r="G162" s="212" t="n"/>
      <c r="H162" s="39" t="n"/>
      <c r="I162" s="35" t="n"/>
      <c r="J162" s="26">
        <f>+E162+F162-G162+H162</f>
        <v/>
      </c>
      <c r="K162" s="26" t="n"/>
      <c r="L162" s="217" t="n"/>
    </row>
    <row r="163" ht="15" customHeight="1" s="219">
      <c r="A163" s="51" t="inlineStr">
        <is>
          <t>FG</t>
        </is>
      </c>
      <c r="B163" s="149" t="n">
        <v>94013627</v>
      </c>
      <c r="C163" s="105" t="inlineStr">
        <is>
          <t>Marmite Yeast Extract 100g</t>
        </is>
      </c>
      <c r="D163" s="90" t="n"/>
      <c r="E163" s="55" t="n"/>
      <c r="F163" s="56" t="n"/>
      <c r="G163" s="55" t="n"/>
      <c r="H163" s="150" t="n"/>
      <c r="I163" s="57" t="n"/>
      <c r="J163" s="26">
        <f>+E163+F163-G163+H163</f>
        <v/>
      </c>
      <c r="K163" s="58" t="n"/>
      <c r="L163" s="59" t="n"/>
    </row>
    <row r="164">
      <c r="A164" s="208" t="inlineStr">
        <is>
          <t>PM</t>
        </is>
      </c>
      <c r="B164" s="209" t="n">
        <v>64928066</v>
      </c>
      <c r="C164" s="152" t="inlineStr">
        <is>
          <t>CLD MARMITE 100G X 48 AVURUDU 2025</t>
        </is>
      </c>
      <c r="D164" s="211" t="inlineStr">
        <is>
          <t>EA</t>
        </is>
      </c>
      <c r="E164" s="31" t="n">
        <v>12</v>
      </c>
      <c r="F164" s="28" t="n"/>
      <c r="G164" s="212" t="n"/>
      <c r="H164" s="39" t="n"/>
      <c r="I164" s="35" t="n"/>
      <c r="J164" s="26">
        <f>+E164+F164-G164+H164</f>
        <v/>
      </c>
      <c r="K164" s="26" t="n"/>
      <c r="L164" s="217" t="n"/>
    </row>
    <row r="165">
      <c r="A165" s="208" t="inlineStr">
        <is>
          <t>PM</t>
        </is>
      </c>
      <c r="B165" s="209" t="n">
        <v>64928061</v>
      </c>
      <c r="C165" s="152" t="inlineStr">
        <is>
          <t>FLB MARMITE 100G AVURUDU 2025</t>
        </is>
      </c>
      <c r="D165" s="211" t="inlineStr">
        <is>
          <t>EA</t>
        </is>
      </c>
      <c r="E165" s="31" t="n">
        <v>12862</v>
      </c>
      <c r="F165" s="28" t="n"/>
      <c r="G165" s="212" t="n"/>
      <c r="H165" s="39" t="n"/>
      <c r="I165" s="35" t="n"/>
      <c r="J165" s="26">
        <f>+E165+F165-G165+H165</f>
        <v/>
      </c>
      <c r="K165" s="26" t="n"/>
      <c r="L165" s="217" t="n"/>
    </row>
    <row r="166">
      <c r="A166" s="208" t="inlineStr">
        <is>
          <t>PM</t>
        </is>
      </c>
      <c r="B166" s="209" t="n">
        <v>64928062</v>
      </c>
      <c r="C166" s="152" t="inlineStr">
        <is>
          <t>CRT MARMITE 100G AVURUDU 2025</t>
        </is>
      </c>
      <c r="D166" s="211" t="inlineStr">
        <is>
          <t>EA</t>
        </is>
      </c>
      <c r="E166" s="31" t="n"/>
      <c r="F166" s="28" t="n"/>
      <c r="G166" s="212" t="n"/>
      <c r="H166" s="39" t="n"/>
      <c r="I166" s="35" t="n"/>
      <c r="J166" s="26">
        <f>+E166+F166-G166+H166</f>
        <v/>
      </c>
      <c r="K166" s="26" t="n"/>
      <c r="L166" s="217" t="n"/>
    </row>
    <row r="167">
      <c r="A167" s="208" t="n"/>
      <c r="B167" s="137" t="n"/>
      <c r="C167" s="210" t="n"/>
      <c r="D167" s="211" t="n"/>
      <c r="E167" s="31" t="n"/>
      <c r="F167" s="28" t="n"/>
      <c r="G167" s="212" t="n"/>
      <c r="H167" s="39" t="n"/>
      <c r="I167" s="35" t="n"/>
      <c r="J167" s="26">
        <f>+E167+F167-G167+H167</f>
        <v/>
      </c>
      <c r="K167" s="26" t="n"/>
      <c r="L167" s="217" t="n"/>
    </row>
    <row r="168" ht="15" customFormat="1" customHeight="1" s="122">
      <c r="A168" s="125" t="inlineStr">
        <is>
          <t>FG</t>
        </is>
      </c>
      <c r="B168" s="153" t="n">
        <v>94010303</v>
      </c>
      <c r="C168" s="127" t="inlineStr">
        <is>
          <t>Marmite Yeast Extract 100g</t>
        </is>
      </c>
      <c r="D168" s="128" t="n"/>
      <c r="E168" s="154" t="n"/>
      <c r="F168" s="130" t="n"/>
      <c r="G168" s="131" t="n"/>
      <c r="H168" s="132" t="n"/>
      <c r="I168" s="140" t="n"/>
      <c r="J168" s="26">
        <f>+E168+F168-G168+H168</f>
        <v/>
      </c>
      <c r="K168" s="134" t="n"/>
      <c r="L168" s="135" t="n"/>
    </row>
    <row r="169">
      <c r="A169" s="208" t="inlineStr">
        <is>
          <t>PM</t>
        </is>
      </c>
      <c r="B169" s="37" t="n">
        <v>69596310</v>
      </c>
      <c r="C169" s="210" t="inlineStr">
        <is>
          <t>CRT MARMITE 100G URMC 2021 OLD DESIGN</t>
        </is>
      </c>
      <c r="D169" s="211" t="inlineStr">
        <is>
          <t>EA</t>
        </is>
      </c>
      <c r="E169" s="155" t="n">
        <v>27819</v>
      </c>
      <c r="F169" s="28" t="n"/>
      <c r="G169" s="212" t="n"/>
      <c r="H169" s="39" t="n"/>
      <c r="I169" s="35" t="n"/>
      <c r="J169" s="26">
        <f>+E169+F169-G169+H169</f>
        <v/>
      </c>
      <c r="K169" s="26" t="n"/>
      <c r="L169" s="217" t="n"/>
    </row>
    <row r="170">
      <c r="A170" s="208" t="inlineStr">
        <is>
          <t>PM</t>
        </is>
      </c>
      <c r="B170" s="37" t="n">
        <v>69596311</v>
      </c>
      <c r="C170" s="210" t="inlineStr">
        <is>
          <t>CLD MARMITE 100G X 48 URMC 2021</t>
        </is>
      </c>
      <c r="D170" s="211" t="inlineStr">
        <is>
          <t>EA</t>
        </is>
      </c>
      <c r="E170" s="155" t="n">
        <v>404</v>
      </c>
      <c r="F170" s="28" t="n"/>
      <c r="G170" s="212" t="n"/>
      <c r="H170" s="39" t="n"/>
      <c r="I170" s="35" t="n"/>
      <c r="J170" s="26">
        <f>+E170+F170-G170+H170</f>
        <v/>
      </c>
      <c r="K170" s="26" t="n"/>
      <c r="L170" s="217" t="n"/>
    </row>
    <row r="171" ht="15" customHeight="1" s="219">
      <c r="A171" s="51" t="inlineStr">
        <is>
          <t>FG</t>
        </is>
      </c>
      <c r="B171" s="104" t="n">
        <v>94010490</v>
      </c>
      <c r="C171" s="105" t="inlineStr">
        <is>
          <t>Marmite Yeast Extract 200g</t>
        </is>
      </c>
      <c r="D171" s="90" t="n"/>
      <c r="E171" s="55" t="n"/>
      <c r="F171" s="56" t="n"/>
      <c r="G171" s="55" t="n"/>
      <c r="H171" s="92" t="n"/>
      <c r="I171" s="57" t="n"/>
      <c r="J171" s="26">
        <f>+E171+F171-G171+H171</f>
        <v/>
      </c>
      <c r="K171" s="58" t="n"/>
      <c r="L171" s="59" t="n"/>
    </row>
    <row r="172">
      <c r="A172" s="208" t="inlineStr">
        <is>
          <t>PM</t>
        </is>
      </c>
      <c r="B172" s="37" t="n">
        <v>69713694</v>
      </c>
      <c r="C172" s="124" t="inlineStr">
        <is>
          <t>CLD MARMITE 200G X 36 URMC 2021 NEW ULCL</t>
        </is>
      </c>
      <c r="D172" s="211" t="inlineStr">
        <is>
          <t>EA</t>
        </is>
      </c>
      <c r="E172" s="212">
        <f>12+61+11</f>
        <v/>
      </c>
      <c r="F172" s="28" t="n"/>
      <c r="G172" s="212" t="n"/>
      <c r="H172" s="39" t="n"/>
      <c r="I172" s="146" t="n"/>
      <c r="J172" s="26">
        <f>+E172+F172-G172+H172</f>
        <v/>
      </c>
      <c r="K172" s="26" t="n">
        <v>3</v>
      </c>
      <c r="L172" s="40" t="n"/>
    </row>
    <row r="173">
      <c r="A173" s="208" t="inlineStr">
        <is>
          <t>PM</t>
        </is>
      </c>
      <c r="B173" s="37" t="n">
        <v>68762507</v>
      </c>
      <c r="C173" s="38" t="inlineStr">
        <is>
          <t>BOTTLE GLASS MARMITE 200G TAMPER 2021</t>
        </is>
      </c>
      <c r="D173" s="211" t="inlineStr">
        <is>
          <t>EA</t>
        </is>
      </c>
      <c r="E173" s="212">
        <f>2688*2</f>
        <v/>
      </c>
      <c r="F173" s="28" t="n"/>
      <c r="G173" s="212" t="n"/>
      <c r="H173" s="214" t="n"/>
      <c r="I173" s="146" t="n"/>
      <c r="J173" s="26">
        <f>+E173+F173-G173+H173</f>
        <v/>
      </c>
      <c r="K173" s="26" t="n">
        <v>10813</v>
      </c>
      <c r="L173" s="156">
        <f>384+1472+928+894+256+2560+2688+192+64</f>
        <v/>
      </c>
    </row>
    <row r="174">
      <c r="A174" s="208" t="inlineStr">
        <is>
          <t>PM</t>
        </is>
      </c>
      <c r="B174" s="37" t="n">
        <v>68762510</v>
      </c>
      <c r="C174" s="38" t="inlineStr">
        <is>
          <t>PLID MARMITE 200G TAMPER 2021</t>
        </is>
      </c>
      <c r="D174" s="211" t="inlineStr">
        <is>
          <t>EA</t>
        </is>
      </c>
      <c r="E174" s="212">
        <f>500*10+100</f>
        <v/>
      </c>
      <c r="F174" s="28" t="n"/>
      <c r="G174" s="212" t="n"/>
      <c r="H174" s="214" t="n"/>
      <c r="I174" s="146" t="n"/>
      <c r="J174" s="26">
        <f>+E174+F174-G174+H174</f>
        <v/>
      </c>
      <c r="K174" s="26">
        <f>10*500+24*500</f>
        <v/>
      </c>
      <c r="L174" s="39" t="n"/>
    </row>
    <row r="175">
      <c r="A175" s="208" t="inlineStr">
        <is>
          <t>PM</t>
        </is>
      </c>
      <c r="B175" s="37" t="n">
        <v>11505714</v>
      </c>
      <c r="C175" s="38" t="inlineStr">
        <is>
          <t>FLB MARMITE 210GX36 RELAUNCH 2014</t>
        </is>
      </c>
      <c r="D175" s="211" t="inlineStr">
        <is>
          <t>EA</t>
        </is>
      </c>
      <c r="E175" s="212">
        <f>5598+4174</f>
        <v/>
      </c>
      <c r="F175" s="28" t="n"/>
      <c r="G175" s="212" t="n"/>
      <c r="H175" s="214" t="n"/>
      <c r="I175" s="146" t="n"/>
      <c r="J175" s="26">
        <f>+E175+F175-G175+H175</f>
        <v/>
      </c>
      <c r="K175" s="26" t="n"/>
      <c r="L175" s="217" t="n"/>
    </row>
    <row r="176">
      <c r="A176" s="208" t="inlineStr">
        <is>
          <t>PM</t>
        </is>
      </c>
      <c r="B176" s="36" t="n">
        <v>64872147</v>
      </c>
      <c r="C176" s="38" t="inlineStr">
        <is>
          <t>CRT MARMITE 200G URMC 2021</t>
        </is>
      </c>
      <c r="D176" s="211" t="inlineStr">
        <is>
          <t>EA</t>
        </is>
      </c>
      <c r="E176" s="212">
        <f>600*13</f>
        <v/>
      </c>
      <c r="F176" s="28" t="n"/>
      <c r="G176" s="212" t="n"/>
      <c r="H176" s="214" t="n"/>
      <c r="I176" s="146" t="n"/>
      <c r="J176" s="26">
        <f>+E176+F176-G176+H176</f>
        <v/>
      </c>
      <c r="K176" s="26" t="n"/>
      <c r="L176" s="217" t="n"/>
    </row>
    <row r="177" ht="15" customFormat="1" customHeight="1" s="122">
      <c r="A177" s="125" t="inlineStr">
        <is>
          <t>FG</t>
        </is>
      </c>
      <c r="B177" s="153" t="n">
        <v>94013628</v>
      </c>
      <c r="C177" s="127" t="inlineStr">
        <is>
          <t>Marmite Yeast Extract 200g</t>
        </is>
      </c>
      <c r="D177" s="128" t="n"/>
      <c r="E177" s="131" t="n"/>
      <c r="F177" s="130" t="n"/>
      <c r="G177" s="131" t="n"/>
      <c r="H177" s="132" t="n"/>
      <c r="I177" s="140" t="n"/>
      <c r="J177" s="26">
        <f>+E177+F177-G177+H177</f>
        <v/>
      </c>
      <c r="K177" s="134" t="n"/>
      <c r="L177" s="135" t="n"/>
    </row>
    <row r="178">
      <c r="A178" s="208" t="inlineStr">
        <is>
          <t>PM</t>
        </is>
      </c>
      <c r="B178" s="137" t="n">
        <v>64928064</v>
      </c>
      <c r="C178" s="87" t="inlineStr">
        <is>
          <t>CLD MARMITE 200G X 36 URMC 2021</t>
        </is>
      </c>
      <c r="D178" s="211" t="inlineStr">
        <is>
          <t>EA</t>
        </is>
      </c>
      <c r="E178" s="212" t="n">
        <v>46</v>
      </c>
      <c r="F178" s="28" t="n"/>
      <c r="G178" s="212" t="n"/>
      <c r="H178" s="214" t="n"/>
      <c r="I178" s="146" t="n"/>
      <c r="J178" s="26">
        <f>+E178+F178-G178+H178</f>
        <v/>
      </c>
      <c r="K178" s="26" t="n"/>
      <c r="L178" s="217" t="n"/>
    </row>
    <row r="179">
      <c r="A179" s="208" t="inlineStr">
        <is>
          <t>PM</t>
        </is>
      </c>
      <c r="B179" s="36" t="n">
        <v>64928067</v>
      </c>
      <c r="C179" s="87" t="inlineStr">
        <is>
          <t>FLB MARMITE 210GX36 RELAUNCH 2014</t>
        </is>
      </c>
      <c r="D179" s="211" t="inlineStr">
        <is>
          <t>EA</t>
        </is>
      </c>
      <c r="E179" s="212">
        <f>5500*2+11861</f>
        <v/>
      </c>
      <c r="F179" s="28" t="n"/>
      <c r="G179" s="212" t="n"/>
      <c r="H179" s="214" t="n"/>
      <c r="I179" s="146" t="n"/>
      <c r="J179" s="26">
        <f>+E179+F179-G179+H179</f>
        <v/>
      </c>
      <c r="K179" s="26" t="n"/>
      <c r="L179" s="217" t="n"/>
    </row>
    <row r="180">
      <c r="A180" s="208" t="inlineStr">
        <is>
          <t>PM</t>
        </is>
      </c>
      <c r="B180" s="137" t="n">
        <v>64928065</v>
      </c>
      <c r="C180" s="87" t="inlineStr">
        <is>
          <t>CRT MARMITE 200G URMC 2021</t>
        </is>
      </c>
      <c r="D180" s="211" t="inlineStr">
        <is>
          <t>EA</t>
        </is>
      </c>
      <c r="E180" s="212">
        <f>600*7+350</f>
        <v/>
      </c>
      <c r="F180" s="28" t="n"/>
      <c r="G180" s="212" t="n"/>
      <c r="H180" s="214" t="n"/>
      <c r="I180" s="146" t="n"/>
      <c r="J180" s="26">
        <f>+E180+F180-G180+H180</f>
        <v/>
      </c>
      <c r="K180" s="26" t="n"/>
      <c r="L180" s="217" t="n"/>
    </row>
    <row r="181" ht="15" customHeight="1" s="219">
      <c r="A181" s="51" t="inlineStr">
        <is>
          <t>FG</t>
        </is>
      </c>
      <c r="B181" s="104" t="n">
        <v>94011180</v>
      </c>
      <c r="C181" s="105" t="inlineStr">
        <is>
          <t>Marmite Batta 20g_0144</t>
        </is>
      </c>
      <c r="D181" s="90" t="n"/>
      <c r="E181" s="55" t="n"/>
      <c r="F181" s="56" t="n"/>
      <c r="G181" s="55" t="n"/>
      <c r="H181" s="92" t="n"/>
      <c r="I181" s="57" t="n"/>
      <c r="J181" s="26">
        <f>+E181+F181-G181+H181</f>
        <v/>
      </c>
      <c r="K181" s="58" t="n"/>
      <c r="L181" s="59" t="n"/>
    </row>
    <row r="182">
      <c r="A182" s="208" t="inlineStr">
        <is>
          <t>PM</t>
        </is>
      </c>
      <c r="B182" s="37" t="n">
        <v>69601422</v>
      </c>
      <c r="C182" s="38" t="inlineStr">
        <is>
          <t>LAMI SPOUT POUCH MARMITE 20G MINI 2022</t>
        </is>
      </c>
      <c r="D182" s="211" t="inlineStr">
        <is>
          <t>EA</t>
        </is>
      </c>
      <c r="E182" s="212" t="n"/>
      <c r="F182" s="28" t="n"/>
      <c r="G182" s="212" t="n"/>
      <c r="H182" s="157" t="n"/>
      <c r="I182" s="160" t="n"/>
      <c r="J182" s="26">
        <f>+E182+F182-G182+H182</f>
        <v/>
      </c>
      <c r="K182" s="26" t="n">
        <v>835</v>
      </c>
      <c r="L182" s="217">
        <f>6*2500+618</f>
        <v/>
      </c>
    </row>
    <row r="183">
      <c r="A183" s="208" t="inlineStr">
        <is>
          <t>PM</t>
        </is>
      </c>
      <c r="B183" s="37" t="n">
        <v>68196482</v>
      </c>
      <c r="C183" s="158" t="inlineStr">
        <is>
          <t>LID SPOUT POUCH MARMITE MINI 20G</t>
        </is>
      </c>
      <c r="D183" s="211" t="inlineStr">
        <is>
          <t>EA</t>
        </is>
      </c>
      <c r="E183" s="212">
        <f>11254+20000</f>
        <v/>
      </c>
      <c r="F183" s="28" t="n"/>
      <c r="G183" s="212" t="n"/>
      <c r="H183" s="157" t="n"/>
      <c r="I183" s="160" t="n"/>
      <c r="J183" s="26">
        <f>+E183+F183-G183+H183</f>
        <v/>
      </c>
      <c r="K183" s="26" t="n"/>
      <c r="L183" s="217" t="n"/>
    </row>
    <row r="184">
      <c r="A184" s="208" t="inlineStr">
        <is>
          <t>PM</t>
        </is>
      </c>
      <c r="B184" s="37" t="n">
        <v>68304164</v>
      </c>
      <c r="C184" s="38" t="inlineStr">
        <is>
          <t xml:space="preserve">CART SR MARMITE MINI REV 20G X 12 </t>
        </is>
      </c>
      <c r="D184" s="211" t="inlineStr">
        <is>
          <t>EA</t>
        </is>
      </c>
      <c r="E184" s="212">
        <f>4*200+214+238</f>
        <v/>
      </c>
      <c r="F184" s="28" t="n"/>
      <c r="G184" s="212" t="n"/>
      <c r="H184" s="157" t="n"/>
      <c r="I184" s="160" t="n"/>
      <c r="J184" s="26">
        <f>+E184+F184-G184+H184</f>
        <v/>
      </c>
      <c r="K184" s="26" t="n"/>
      <c r="L184" s="217" t="n"/>
    </row>
    <row r="185">
      <c r="A185" s="208" t="inlineStr">
        <is>
          <t>PM</t>
        </is>
      </c>
      <c r="B185" s="37" t="n">
        <v>68304165</v>
      </c>
      <c r="C185" s="38" t="inlineStr">
        <is>
          <t>CLD MARMITE MINI REV 20G X 144</t>
        </is>
      </c>
      <c r="D185" s="211" t="inlineStr">
        <is>
          <t>EA</t>
        </is>
      </c>
      <c r="E185" s="212">
        <f>25*5+23</f>
        <v/>
      </c>
      <c r="F185" s="28" t="n"/>
      <c r="G185" s="212" t="n"/>
      <c r="H185" s="157" t="n"/>
      <c r="I185" s="160" t="n"/>
      <c r="J185" s="26">
        <f>+E185+F185-G185+H185</f>
        <v/>
      </c>
      <c r="K185" s="26" t="n"/>
      <c r="L185" s="217" t="n"/>
    </row>
    <row r="186">
      <c r="A186" s="208" t="inlineStr">
        <is>
          <t>PM</t>
        </is>
      </c>
      <c r="B186" s="37" t="n">
        <v>68295361</v>
      </c>
      <c r="C186" s="38" t="inlineStr">
        <is>
          <t>LASEP MARMITE MINI 20G X 144</t>
        </is>
      </c>
      <c r="D186" s="211" t="inlineStr">
        <is>
          <t>EA</t>
        </is>
      </c>
      <c r="E186" s="212">
        <f>91+300+10</f>
        <v/>
      </c>
      <c r="F186" s="28" t="n"/>
      <c r="G186" s="212" t="n"/>
      <c r="H186" s="157" t="n"/>
      <c r="I186" s="160" t="n"/>
      <c r="J186" s="26">
        <f>+E186+F186-G186+H186</f>
        <v/>
      </c>
      <c r="K186" s="26" t="n"/>
      <c r="L186" s="217" t="n"/>
    </row>
    <row r="187">
      <c r="A187" s="208" t="n"/>
      <c r="B187" s="37" t="n"/>
      <c r="C187" s="124" t="n"/>
      <c r="D187" s="211" t="n"/>
      <c r="E187" s="212" t="n"/>
      <c r="F187" s="28" t="n"/>
      <c r="G187" s="212" t="n"/>
      <c r="H187" s="157" t="n"/>
      <c r="I187" s="160" t="n"/>
      <c r="J187" s="26">
        <f>+E187+F187-G187+H187</f>
        <v/>
      </c>
      <c r="K187" s="26" t="n"/>
      <c r="L187" s="217" t="n"/>
    </row>
    <row r="188" ht="15" customHeight="1" s="219">
      <c r="A188" s="51" t="inlineStr">
        <is>
          <t>FG</t>
        </is>
      </c>
      <c r="B188" s="104" t="n">
        <v>94012069</v>
      </c>
      <c r="C188" s="105" t="inlineStr">
        <is>
          <t>Marmite Yeast Extract 200g EXPORT</t>
        </is>
      </c>
      <c r="D188" s="90" t="n"/>
      <c r="E188" s="91" t="n"/>
      <c r="F188" s="82" t="n"/>
      <c r="G188" s="91" t="n"/>
      <c r="H188" s="92" t="n"/>
      <c r="I188" s="57" t="n"/>
      <c r="J188" s="26">
        <f>+E188+F188-G188+H188</f>
        <v/>
      </c>
      <c r="K188" s="58" t="n"/>
      <c r="L188" s="59" t="n"/>
    </row>
    <row r="189">
      <c r="A189" s="208" t="inlineStr">
        <is>
          <t>PM</t>
        </is>
      </c>
      <c r="B189" s="37" t="n">
        <v>69998456</v>
      </c>
      <c r="C189" s="38" t="inlineStr">
        <is>
          <t>CLD MARMITE 200G X 12 NEW ULCL</t>
        </is>
      </c>
      <c r="D189" s="211" t="inlineStr">
        <is>
          <t>EA</t>
        </is>
      </c>
      <c r="E189" s="159" t="n"/>
      <c r="F189" s="86" t="n"/>
      <c r="G189" s="159" t="n"/>
      <c r="H189" s="157" t="n"/>
      <c r="I189" s="160" t="n"/>
      <c r="J189" s="26">
        <f>+E189+F189-G189+H189</f>
        <v/>
      </c>
      <c r="K189" s="26" t="n"/>
      <c r="L189" s="217" t="n"/>
    </row>
    <row r="190">
      <c r="A190" s="208" t="inlineStr">
        <is>
          <t>PM</t>
        </is>
      </c>
      <c r="B190" s="37" t="n">
        <v>64376619</v>
      </c>
      <c r="C190" s="38" t="inlineStr">
        <is>
          <t>CLD MARMITE 200G X 12 NEW ULCL AW 2024</t>
        </is>
      </c>
      <c r="D190" s="211" t="inlineStr">
        <is>
          <t>EA</t>
        </is>
      </c>
      <c r="E190" s="159">
        <f>9*10+220</f>
        <v/>
      </c>
      <c r="F190" s="86" t="n"/>
      <c r="G190" s="159" t="n"/>
      <c r="H190" s="157" t="n"/>
      <c r="I190" s="160" t="n"/>
      <c r="J190" s="26">
        <f>+E190+F190-G190+H190</f>
        <v/>
      </c>
      <c r="K190" s="26" t="n"/>
      <c r="L190" s="217" t="n"/>
    </row>
    <row r="191">
      <c r="A191" s="208" t="inlineStr">
        <is>
          <t>PM</t>
        </is>
      </c>
      <c r="B191" s="37" t="n">
        <v>69998455</v>
      </c>
      <c r="C191" s="38" t="inlineStr">
        <is>
          <t>PHOLE PART MARMITE 200G X 12 EXPORT UI</t>
        </is>
      </c>
      <c r="D191" s="211" t="inlineStr">
        <is>
          <t>EA</t>
        </is>
      </c>
      <c r="E191" s="159">
        <f>15*9+12</f>
        <v/>
      </c>
      <c r="F191" s="86" t="n"/>
      <c r="G191" s="159" t="n"/>
      <c r="H191" s="157" t="n"/>
      <c r="I191" s="160" t="n"/>
      <c r="J191" s="26">
        <f>+E191+F191-G191+H191</f>
        <v/>
      </c>
      <c r="K191" s="26" t="n"/>
      <c r="L191" s="217" t="n"/>
    </row>
    <row r="192">
      <c r="A192" s="208" t="inlineStr">
        <is>
          <t>PM</t>
        </is>
      </c>
      <c r="B192" s="37" t="n">
        <v>69998451</v>
      </c>
      <c r="C192" s="38" t="inlineStr">
        <is>
          <t>FLB MARMITE 200G EXPORT UI</t>
        </is>
      </c>
      <c r="D192" s="211" t="inlineStr">
        <is>
          <t>EA</t>
        </is>
      </c>
      <c r="E192" s="159">
        <f>2766+5500*3+4500+4500*2+1500</f>
        <v/>
      </c>
      <c r="F192" s="86" t="n"/>
      <c r="G192" s="159" t="n"/>
      <c r="H192" s="157" t="n"/>
      <c r="I192" s="160" t="n"/>
      <c r="J192" s="26">
        <f>+E192+F192-G192+H192</f>
        <v/>
      </c>
      <c r="K192" s="26" t="n"/>
      <c r="L192" s="217" t="n"/>
    </row>
    <row r="193">
      <c r="A193" s="208" t="inlineStr">
        <is>
          <t>PM</t>
        </is>
      </c>
      <c r="B193" s="37" t="n">
        <v>64376613</v>
      </c>
      <c r="C193" s="124" t="inlineStr">
        <is>
          <t>BLB MARMITE 200G EXPORT UI AW 2024</t>
        </is>
      </c>
      <c r="D193" s="211" t="inlineStr">
        <is>
          <t>EA</t>
        </is>
      </c>
      <c r="E193" s="159" t="n">
        <v>4976</v>
      </c>
      <c r="F193" s="86" t="n"/>
      <c r="G193" s="159" t="n"/>
      <c r="H193" s="157" t="n"/>
      <c r="I193" s="160" t="n"/>
      <c r="J193" s="26">
        <f>+E193+F193-G193+H193</f>
        <v/>
      </c>
      <c r="K193" s="26" t="n"/>
      <c r="L193" s="217" t="n"/>
    </row>
    <row r="194">
      <c r="A194" s="208" t="n"/>
      <c r="B194" s="37" t="n"/>
      <c r="C194" s="124" t="n"/>
      <c r="D194" s="211" t="n"/>
      <c r="E194" s="159" t="n"/>
      <c r="F194" s="86" t="n"/>
      <c r="G194" s="159" t="n"/>
      <c r="H194" s="157" t="n"/>
      <c r="I194" s="160" t="n"/>
      <c r="J194" s="26">
        <f>+E194+F194-G194+H194</f>
        <v/>
      </c>
      <c r="K194" s="26" t="n"/>
      <c r="L194" s="217" t="n"/>
    </row>
    <row r="195" ht="15" customHeight="1" s="219">
      <c r="A195" s="51" t="inlineStr">
        <is>
          <t>FG</t>
        </is>
      </c>
      <c r="B195" s="104" t="n">
        <v>94012068</v>
      </c>
      <c r="C195" s="105" t="inlineStr">
        <is>
          <t>Marmite Yeast Extract 100g EXPORT</t>
        </is>
      </c>
      <c r="D195" s="90" t="n"/>
      <c r="E195" s="91" t="n"/>
      <c r="F195" s="82" t="n"/>
      <c r="G195" s="91" t="n"/>
      <c r="H195" s="92" t="n"/>
      <c r="I195" s="57" t="n"/>
      <c r="J195" s="26">
        <f>+E195+F195-G195+H195</f>
        <v/>
      </c>
      <c r="K195" s="58" t="n"/>
      <c r="L195" s="59" t="n"/>
    </row>
    <row r="196">
      <c r="A196" s="208" t="inlineStr">
        <is>
          <t>PM</t>
        </is>
      </c>
      <c r="B196" s="37" t="n">
        <v>64376621</v>
      </c>
      <c r="C196" s="38" t="inlineStr">
        <is>
          <t>CLD MARMITE 100G X 24 EXPORT UI AW 2024</t>
        </is>
      </c>
      <c r="D196" s="211" t="inlineStr">
        <is>
          <t>EA</t>
        </is>
      </c>
      <c r="E196" s="159">
        <f>151+30</f>
        <v/>
      </c>
      <c r="F196" s="86" t="n"/>
      <c r="G196" s="159" t="n"/>
      <c r="H196" s="157" t="n"/>
      <c r="I196" s="160" t="n"/>
      <c r="J196" s="26">
        <f>+E196+F196-G196+H196</f>
        <v/>
      </c>
      <c r="K196" s="26" t="n"/>
      <c r="L196" s="217" t="n"/>
    </row>
    <row r="197">
      <c r="A197" s="208" t="inlineStr">
        <is>
          <t>PM</t>
        </is>
      </c>
      <c r="B197" s="37" t="n">
        <v>69998450</v>
      </c>
      <c r="C197" s="38" t="inlineStr">
        <is>
          <t>PHOLE PART MARMITE100G X 24 EXPORT UI</t>
        </is>
      </c>
      <c r="D197" s="211" t="inlineStr">
        <is>
          <t>EA</t>
        </is>
      </c>
      <c r="E197" s="159">
        <f>15*17</f>
        <v/>
      </c>
      <c r="F197" s="86" t="n"/>
      <c r="G197" s="159" t="n"/>
      <c r="H197" s="157" t="n"/>
      <c r="I197" s="160" t="n"/>
      <c r="J197" s="26">
        <f>+E197+F197-G197+H197</f>
        <v/>
      </c>
      <c r="K197" s="26" t="n"/>
      <c r="L197" s="217" t="n"/>
    </row>
    <row r="198">
      <c r="A198" s="208" t="inlineStr">
        <is>
          <t>PM</t>
        </is>
      </c>
      <c r="B198" s="37" t="n">
        <v>69998453</v>
      </c>
      <c r="C198" s="38" t="inlineStr">
        <is>
          <t>LASEP MARMITE 100G X 24 EXPORT UI</t>
        </is>
      </c>
      <c r="D198" s="211" t="inlineStr">
        <is>
          <t>EA</t>
        </is>
      </c>
      <c r="E198" s="159">
        <f>54+500</f>
        <v/>
      </c>
      <c r="F198" s="86" t="n"/>
      <c r="G198" s="159" t="n"/>
      <c r="H198" s="157" t="n"/>
      <c r="I198" s="160" t="n"/>
      <c r="J198" s="26">
        <f>+E198+F198-G198+H198</f>
        <v/>
      </c>
      <c r="K198" s="26" t="n"/>
      <c r="L198" s="217" t="n"/>
    </row>
    <row r="199">
      <c r="A199" s="208" t="inlineStr">
        <is>
          <t>PM</t>
        </is>
      </c>
      <c r="B199" s="37" t="n">
        <v>69998461</v>
      </c>
      <c r="C199" s="38" t="inlineStr">
        <is>
          <t>FLB MARMITE 100G EXPORT UI</t>
        </is>
      </c>
      <c r="D199" s="211" t="inlineStr">
        <is>
          <t>EA</t>
        </is>
      </c>
      <c r="E199" s="159">
        <f>8500*2+4500*2+8500*2+7843</f>
        <v/>
      </c>
      <c r="F199" s="86" t="n"/>
      <c r="G199" s="159" t="n"/>
      <c r="H199" s="161" t="n"/>
      <c r="I199" s="160" t="n"/>
      <c r="J199" s="26">
        <f>+E199+F199-G199+H199</f>
        <v/>
      </c>
      <c r="K199" s="26" t="n"/>
      <c r="L199" s="217" t="n"/>
    </row>
    <row r="200" hidden="1" ht="15" customHeight="1" s="219">
      <c r="A200" s="208" t="inlineStr">
        <is>
          <t>PM</t>
        </is>
      </c>
      <c r="B200" s="37" t="n">
        <v>69998460</v>
      </c>
      <c r="C200" s="38" t="inlineStr">
        <is>
          <t>BLB MARMITE 100G EXPORT UI</t>
        </is>
      </c>
      <c r="D200" s="211" t="inlineStr">
        <is>
          <t>EA</t>
        </is>
      </c>
      <c r="E200" s="159" t="n"/>
      <c r="F200" s="86" t="n"/>
      <c r="G200" s="159" t="n"/>
      <c r="H200" s="161" t="n"/>
      <c r="I200" s="160" t="n"/>
      <c r="J200" s="26">
        <f>+E200+F200-G200+H200</f>
        <v/>
      </c>
      <c r="K200" s="26" t="n"/>
      <c r="L200" s="217" t="n"/>
    </row>
    <row r="201">
      <c r="A201" s="208" t="inlineStr">
        <is>
          <t>PM</t>
        </is>
      </c>
      <c r="B201" s="37" t="n">
        <v>64376612</v>
      </c>
      <c r="C201" s="124" t="inlineStr">
        <is>
          <t>BLB MARMITE 100G EXPORT UI AW 2024</t>
        </is>
      </c>
      <c r="D201" s="211" t="inlineStr">
        <is>
          <t>EA</t>
        </is>
      </c>
      <c r="E201" s="159" t="n">
        <v>2823</v>
      </c>
      <c r="F201" s="86" t="n"/>
      <c r="G201" s="159" t="n"/>
      <c r="H201" s="161" t="n"/>
      <c r="I201" s="160" t="n"/>
      <c r="J201" s="26">
        <f>+E201+F201-G201+H201</f>
        <v/>
      </c>
      <c r="K201" s="26" t="n">
        <v>5647</v>
      </c>
      <c r="L201" s="217" t="n"/>
    </row>
    <row r="202">
      <c r="A202" s="208" t="n"/>
      <c r="B202" s="37" t="n"/>
      <c r="C202" s="124" t="n"/>
      <c r="D202" s="211" t="n"/>
      <c r="E202" s="159" t="n"/>
      <c r="F202" s="86" t="n"/>
      <c r="G202" s="159" t="n"/>
      <c r="H202" s="157" t="n"/>
      <c r="I202" s="160" t="n"/>
      <c r="J202" s="26">
        <f>+E202+F202-G202+H202</f>
        <v/>
      </c>
      <c r="K202" s="26" t="n"/>
      <c r="L202" s="217" t="n"/>
    </row>
    <row r="203" ht="15" customHeight="1" s="219">
      <c r="A203" s="51" t="inlineStr">
        <is>
          <t>FG</t>
        </is>
      </c>
      <c r="B203" s="104" t="n">
        <v>94012395</v>
      </c>
      <c r="C203" s="105" t="inlineStr">
        <is>
          <t>Marmite Yeast Extract 410g EXPORT</t>
        </is>
      </c>
      <c r="D203" s="162" t="n"/>
      <c r="E203" s="90" t="n"/>
      <c r="F203" s="82" t="n"/>
      <c r="G203" s="91" t="n"/>
      <c r="H203" s="163" t="n"/>
      <c r="I203" s="164" t="n"/>
      <c r="J203" s="26">
        <f>+E203+F203-G203+H203</f>
        <v/>
      </c>
      <c r="K203" s="58" t="n"/>
      <c r="L203" s="59" t="n"/>
    </row>
    <row r="204">
      <c r="A204" s="208" t="inlineStr">
        <is>
          <t>PM</t>
        </is>
      </c>
      <c r="B204" s="37" t="n">
        <v>64376615</v>
      </c>
      <c r="C204" s="38" t="inlineStr">
        <is>
          <t>CLD MARMITE 410G X 6 EX UI AW 2024</t>
        </is>
      </c>
      <c r="D204" s="211" t="inlineStr">
        <is>
          <t>EA</t>
        </is>
      </c>
      <c r="E204" s="159">
        <f>2+10</f>
        <v/>
      </c>
      <c r="F204" s="86" t="n"/>
      <c r="G204" s="159" t="n"/>
      <c r="H204" s="157" t="n"/>
      <c r="I204" s="160" t="n"/>
      <c r="J204" s="26">
        <f>+E204+F204-G204+H204</f>
        <v/>
      </c>
      <c r="K204" s="26" t="n"/>
      <c r="L204" s="217" t="n"/>
    </row>
    <row r="205">
      <c r="A205" s="208" t="inlineStr">
        <is>
          <t>PM</t>
        </is>
      </c>
      <c r="B205" s="37" t="n">
        <v>64316583</v>
      </c>
      <c r="C205" s="38" t="inlineStr">
        <is>
          <t xml:space="preserve"> HOLE PART MARMITE 410G X 6 EXPORT UI</t>
        </is>
      </c>
      <c r="D205" s="211" t="inlineStr">
        <is>
          <t>EA</t>
        </is>
      </c>
      <c r="E205" s="165">
        <f>33*20</f>
        <v/>
      </c>
      <c r="F205" s="86" t="n"/>
      <c r="G205" s="159" t="n"/>
      <c r="H205" s="157" t="n"/>
      <c r="I205" s="160" t="n"/>
      <c r="J205" s="26">
        <f>+E205+F205-G205+H205</f>
        <v/>
      </c>
      <c r="K205" s="26" t="n"/>
      <c r="L205" s="217" t="n"/>
    </row>
    <row r="206">
      <c r="A206" s="208" t="inlineStr">
        <is>
          <t>PM</t>
        </is>
      </c>
      <c r="B206" s="37" t="n">
        <v>64316581</v>
      </c>
      <c r="C206" s="38" t="inlineStr">
        <is>
          <t>BOTTLE GLASS MARMITE410G EXPORT UI</t>
        </is>
      </c>
      <c r="D206" s="211" t="inlineStr">
        <is>
          <t>EA</t>
        </is>
      </c>
      <c r="E206" s="159">
        <f>1152*2+1152*2+1152+800+414</f>
        <v/>
      </c>
      <c r="F206" s="86" t="n"/>
      <c r="G206" s="159" t="n"/>
      <c r="H206" s="157" t="n"/>
      <c r="I206" s="160" t="n"/>
      <c r="J206" s="26">
        <f>+E206+F206-G206+H206</f>
        <v/>
      </c>
      <c r="K206" s="26">
        <f>1152+414+630+864+1296+1152+450+1080+1044+1152+1296+620+1440+738</f>
        <v/>
      </c>
      <c r="L206" s="166">
        <f>116+139+803+1440+9954</f>
        <v/>
      </c>
      <c r="M206" s="218" t="n"/>
    </row>
    <row r="207" ht="16.5" customHeight="1" s="219">
      <c r="A207" s="208" t="inlineStr">
        <is>
          <t>PM</t>
        </is>
      </c>
      <c r="B207" s="37" t="n">
        <v>64316582</v>
      </c>
      <c r="C207" s="38" t="inlineStr">
        <is>
          <t>PLID MARMITE 410G EXPORT UI</t>
        </is>
      </c>
      <c r="D207" s="211" t="inlineStr">
        <is>
          <t>EA</t>
        </is>
      </c>
      <c r="E207" s="159" t="n">
        <v>1000</v>
      </c>
      <c r="F207" s="86" t="n"/>
      <c r="G207" s="159" t="n"/>
      <c r="H207" s="157" t="n"/>
      <c r="I207" s="160" t="n"/>
      <c r="J207" s="26">
        <f>+E207+F207-G207+H207</f>
        <v/>
      </c>
      <c r="K207" s="26" t="n"/>
      <c r="L207" s="217" t="n"/>
    </row>
    <row r="208">
      <c r="A208" s="208" t="inlineStr">
        <is>
          <t>PM</t>
        </is>
      </c>
      <c r="B208" s="37" t="n">
        <v>64316587</v>
      </c>
      <c r="C208" s="38" t="inlineStr">
        <is>
          <t>FLB MARMITE 410G EXPORT UI</t>
        </is>
      </c>
      <c r="D208" s="211" t="inlineStr">
        <is>
          <t>EA</t>
        </is>
      </c>
      <c r="E208" s="159">
        <f>6000+3000+2736</f>
        <v/>
      </c>
      <c r="F208" s="86" t="n"/>
      <c r="G208" s="159" t="n"/>
      <c r="H208" s="157" t="n"/>
      <c r="I208" s="160" t="n"/>
      <c r="J208" s="26">
        <f>+E208+F208-G208+H208</f>
        <v/>
      </c>
      <c r="K208" s="26" t="n"/>
      <c r="L208" s="217" t="n"/>
      <c r="M208" s="218" t="n"/>
    </row>
    <row r="209">
      <c r="A209" s="208" t="inlineStr">
        <is>
          <t>PM</t>
        </is>
      </c>
      <c r="B209" s="37" t="n">
        <v>64376618</v>
      </c>
      <c r="C209" s="38" t="inlineStr">
        <is>
          <t>BLB MARMITE 410G EXPORT UI AW 2024</t>
        </is>
      </c>
      <c r="D209" s="211" t="inlineStr">
        <is>
          <t>EA</t>
        </is>
      </c>
      <c r="E209" s="159" t="n">
        <v>3004</v>
      </c>
      <c r="F209" s="86" t="n"/>
      <c r="G209" s="159" t="n"/>
      <c r="H209" s="157" t="n"/>
      <c r="I209" s="160" t="n"/>
      <c r="J209" s="26">
        <f>+E209+F209-G209+H209</f>
        <v/>
      </c>
      <c r="K209" s="26" t="n"/>
      <c r="L209" s="217" t="n"/>
      <c r="M209" s="218" t="n"/>
    </row>
    <row r="210">
      <c r="A210" s="208" t="inlineStr">
        <is>
          <t>PM</t>
        </is>
      </c>
      <c r="B210" s="37" t="n">
        <v>64376617</v>
      </c>
      <c r="C210" s="38" t="inlineStr">
        <is>
          <t>TAMPER LBL MARMITE 410G EX UI AW 2024</t>
        </is>
      </c>
      <c r="D210" s="211" t="inlineStr">
        <is>
          <t>EA</t>
        </is>
      </c>
      <c r="E210" s="159" t="n">
        <v>1000</v>
      </c>
      <c r="F210" s="86" t="n"/>
      <c r="G210" s="159" t="n"/>
      <c r="H210" s="157" t="n"/>
      <c r="I210" s="160" t="n"/>
      <c r="J210" s="26">
        <f>+E210+F210-G210+H210</f>
        <v/>
      </c>
      <c r="K210" s="26" t="n"/>
      <c r="L210" s="217" t="n"/>
    </row>
    <row r="211">
      <c r="A211" s="208" t="n"/>
      <c r="B211" s="37" t="n"/>
      <c r="C211" s="124" t="n"/>
      <c r="D211" s="211" t="n"/>
      <c r="E211" s="212" t="n"/>
      <c r="F211" s="28" t="n"/>
      <c r="G211" s="212" t="n"/>
      <c r="H211" s="157" t="n"/>
      <c r="I211" s="160" t="n"/>
      <c r="J211" s="26">
        <f>+E211+F211-G211+H211</f>
        <v/>
      </c>
      <c r="K211" s="26" t="n"/>
      <c r="L211" s="217" t="n"/>
    </row>
    <row r="212" ht="15" customHeight="1" s="219">
      <c r="A212" s="51" t="inlineStr">
        <is>
          <t>FG</t>
        </is>
      </c>
      <c r="B212" s="104" t="n">
        <v>94012617</v>
      </c>
      <c r="C212" s="105" t="inlineStr">
        <is>
          <t>MARMITE OUR MATE 200g Ex</t>
        </is>
      </c>
      <c r="D212" s="90" t="n"/>
      <c r="E212" s="91" t="n"/>
      <c r="F212" s="82" t="n"/>
      <c r="G212" s="91" t="n"/>
      <c r="H212" s="84" t="n"/>
      <c r="I212" s="57" t="n"/>
      <c r="J212" s="26">
        <f>+E212+F212-G212+H212</f>
        <v/>
      </c>
      <c r="K212" s="58" t="n"/>
      <c r="L212" s="59" t="n"/>
    </row>
    <row r="213">
      <c r="A213" s="208" t="inlineStr">
        <is>
          <t>PM</t>
        </is>
      </c>
      <c r="B213" s="89" t="n">
        <v>64368840</v>
      </c>
      <c r="C213" s="167" t="inlineStr">
        <is>
          <t>CLD OUR MATE 200G X 12 NEW ULCL</t>
        </is>
      </c>
      <c r="D213" s="211" t="inlineStr">
        <is>
          <t>EA</t>
        </is>
      </c>
      <c r="E213" s="159">
        <f>10*10+16</f>
        <v/>
      </c>
      <c r="F213" s="86" t="n"/>
      <c r="G213" s="159" t="n"/>
      <c r="H213" s="34" t="n"/>
      <c r="I213" s="160" t="n"/>
      <c r="J213" s="26">
        <f>+E213+F213-G213+H213</f>
        <v/>
      </c>
      <c r="K213" s="26" t="n"/>
      <c r="L213" s="217" t="n"/>
      <c r="M213" s="218" t="n"/>
    </row>
    <row r="214">
      <c r="A214" s="208" t="inlineStr">
        <is>
          <t>PM</t>
        </is>
      </c>
      <c r="B214" s="89" t="n">
        <v>64390861</v>
      </c>
      <c r="C214" s="167" t="inlineStr">
        <is>
          <t xml:space="preserve"> ID LBL OUR MATE 200G EXPORT UI</t>
        </is>
      </c>
      <c r="D214" s="211" t="inlineStr">
        <is>
          <t>EA</t>
        </is>
      </c>
      <c r="E214" s="159" t="n"/>
      <c r="F214" s="86" t="n"/>
      <c r="G214" s="159" t="n"/>
      <c r="H214" s="34" t="n"/>
      <c r="I214" s="160" t="n"/>
      <c r="J214" s="26">
        <f>+E214+F214-G214+H214</f>
        <v/>
      </c>
      <c r="K214" s="26" t="n"/>
      <c r="L214" s="217" t="n"/>
      <c r="M214" s="218" t="n"/>
    </row>
    <row r="215">
      <c r="A215" s="208" t="inlineStr">
        <is>
          <t>PM</t>
        </is>
      </c>
      <c r="B215" s="89" t="n">
        <v>64368841</v>
      </c>
      <c r="C215" s="38" t="inlineStr">
        <is>
          <t>PLID OUR MATE 200G EXPORT</t>
        </is>
      </c>
      <c r="D215" s="211" t="inlineStr">
        <is>
          <t>EA</t>
        </is>
      </c>
      <c r="E215" s="159">
        <f>6*500+1.38/0.00887</f>
        <v/>
      </c>
      <c r="F215" s="168" t="n"/>
      <c r="G215" s="159" t="n"/>
      <c r="H215" s="34" t="n"/>
      <c r="I215" s="160" t="n"/>
      <c r="J215" s="26">
        <f>+E215+F215-G215+H215</f>
        <v/>
      </c>
      <c r="K215" s="26" t="n"/>
      <c r="L215" s="217" t="n"/>
    </row>
    <row r="216">
      <c r="A216" s="208" t="inlineStr">
        <is>
          <t>PM</t>
        </is>
      </c>
      <c r="B216" s="89" t="n">
        <v>64368839</v>
      </c>
      <c r="C216" s="167" t="inlineStr">
        <is>
          <t>FLB OUR MATE 200G EXPORT UI</t>
        </is>
      </c>
      <c r="D216" s="211" t="inlineStr">
        <is>
          <t>EA</t>
        </is>
      </c>
      <c r="E216" s="159">
        <f>777+5500</f>
        <v/>
      </c>
      <c r="F216" s="168" t="n"/>
      <c r="G216" s="159" t="n"/>
      <c r="H216" s="34" t="n"/>
      <c r="I216" s="160" t="n"/>
      <c r="J216" s="26">
        <f>+E216+F216-G216+H216</f>
        <v/>
      </c>
      <c r="K216" s="26" t="n"/>
      <c r="L216" s="217" t="n"/>
    </row>
    <row r="217">
      <c r="A217" s="208" t="inlineStr">
        <is>
          <t>PM</t>
        </is>
      </c>
      <c r="B217" s="89" t="n">
        <v>64368842</v>
      </c>
      <c r="C217" s="167" t="inlineStr">
        <is>
          <t>BLB OUR MATE 200G EXPORT UI</t>
        </is>
      </c>
      <c r="D217" s="211" t="inlineStr">
        <is>
          <t>EA</t>
        </is>
      </c>
      <c r="E217" s="159" t="n">
        <v>5712</v>
      </c>
      <c r="F217" s="168" t="n"/>
      <c r="G217" s="159" t="n"/>
      <c r="H217" s="34" t="n"/>
      <c r="I217" s="160" t="n"/>
      <c r="J217" s="26">
        <f>+E217+F217-G217+H217</f>
        <v/>
      </c>
      <c r="K217" s="26" t="n"/>
      <c r="L217" s="217" t="n"/>
    </row>
    <row r="218">
      <c r="A218" s="208" t="n"/>
      <c r="B218" s="37" t="n"/>
      <c r="C218" s="124" t="n"/>
      <c r="D218" s="211" t="n"/>
      <c r="E218" s="212" t="n"/>
      <c r="F218" s="28" t="n"/>
      <c r="G218" s="212" t="n"/>
      <c r="H218" s="157" t="n"/>
      <c r="I218" s="160" t="n"/>
      <c r="J218" s="26">
        <f>+E218+F218-G218+H218</f>
        <v/>
      </c>
      <c r="K218" s="26" t="n"/>
      <c r="L218" s="217" t="n"/>
    </row>
    <row r="219" ht="15" customHeight="1" s="219">
      <c r="A219" s="51" t="inlineStr">
        <is>
          <t>FG</t>
        </is>
      </c>
      <c r="B219" s="104" t="n">
        <v>94010494</v>
      </c>
      <c r="C219" s="169" t="inlineStr">
        <is>
          <t>Knorr Maldive Fish Powder Mix 8g</t>
        </is>
      </c>
      <c r="D219" s="90" t="n"/>
      <c r="E219" s="55" t="n"/>
      <c r="F219" s="56" t="n"/>
      <c r="G219" s="55" t="n"/>
      <c r="H219" s="92" t="n"/>
      <c r="I219" s="57" t="n"/>
      <c r="J219" s="26">
        <f>+E219+F219-G219+H219</f>
        <v/>
      </c>
      <c r="K219" s="58" t="n"/>
      <c r="L219" s="59" t="n"/>
    </row>
    <row r="220">
      <c r="A220" s="208" t="inlineStr">
        <is>
          <t>PM</t>
        </is>
      </c>
      <c r="B220" s="37" t="n">
        <v>69772142</v>
      </c>
      <c r="C220" s="38" t="inlineStr">
        <is>
          <t>CLD KMF GT 8G X 576 RMC 2021 NEW ULCL</t>
        </is>
      </c>
      <c r="D220" s="211" t="inlineStr">
        <is>
          <t>EA</t>
        </is>
      </c>
      <c r="E220" s="212">
        <f>63+29*25+345+40</f>
        <v/>
      </c>
      <c r="F220" s="28" t="n"/>
      <c r="G220" s="212" t="n"/>
      <c r="H220" s="212" t="n"/>
      <c r="I220" s="35" t="n"/>
      <c r="J220" s="26">
        <f>+E220+F220-G220+H220</f>
        <v/>
      </c>
      <c r="K220" s="26" t="n"/>
      <c r="L220" s="217" t="n"/>
    </row>
    <row r="221">
      <c r="A221" s="208" t="inlineStr">
        <is>
          <t>PM</t>
        </is>
      </c>
      <c r="B221" s="89" t="n">
        <v>64872134</v>
      </c>
      <c r="C221" s="38" t="inlineStr">
        <is>
          <t>LAMI KMF 8G REG2024</t>
        </is>
      </c>
      <c r="D221" s="211" t="inlineStr">
        <is>
          <t>EA</t>
        </is>
      </c>
      <c r="E221" s="212" t="n">
        <v>13888</v>
      </c>
      <c r="F221" s="28" t="n"/>
      <c r="G221" s="212" t="n"/>
      <c r="H221" s="212" t="n"/>
      <c r="I221" s="35" t="n"/>
      <c r="J221" s="26">
        <f>+E221+F221-G221+H221</f>
        <v/>
      </c>
      <c r="K221" s="26">
        <f>13888+10446</f>
        <v/>
      </c>
      <c r="L221" s="217" t="n"/>
    </row>
    <row r="222">
      <c r="A222" s="208" t="n"/>
      <c r="B222" s="37" t="n"/>
      <c r="C222" s="38" t="n"/>
      <c r="D222" s="211" t="n"/>
      <c r="E222" s="212" t="n"/>
      <c r="F222" s="28" t="n"/>
      <c r="G222" s="212" t="n"/>
      <c r="H222" s="39" t="n"/>
      <c r="I222" s="35" t="n"/>
      <c r="J222" s="26">
        <f>+E222+F222-G222+H222</f>
        <v/>
      </c>
      <c r="K222" s="26" t="n"/>
      <c r="L222" s="217" t="n"/>
    </row>
    <row r="223" ht="15" customHeight="1" s="219">
      <c r="A223" s="51" t="inlineStr">
        <is>
          <t>FG</t>
        </is>
      </c>
      <c r="B223" s="104" t="n">
        <v>94011481</v>
      </c>
      <c r="C223" s="105" t="inlineStr">
        <is>
          <t>KN Chicken Seasoning Pw 7.5g x 576</t>
        </is>
      </c>
      <c r="D223" s="90" t="n"/>
      <c r="E223" s="55" t="n"/>
      <c r="F223" s="56" t="n"/>
      <c r="G223" s="55" t="n"/>
      <c r="H223" s="92" t="n"/>
      <c r="I223" s="57" t="n"/>
      <c r="J223" s="26">
        <f>+E223+F223-G223+H223</f>
        <v/>
      </c>
      <c r="K223" s="58" t="n"/>
      <c r="L223" s="59" t="n"/>
    </row>
    <row r="224" hidden="1" ht="15" customHeight="1" s="219">
      <c r="A224" s="208" t="inlineStr">
        <is>
          <t>PM</t>
        </is>
      </c>
      <c r="B224" s="37" t="n">
        <v>69772132</v>
      </c>
      <c r="C224" s="124" t="inlineStr">
        <is>
          <t>LAMI KNORR SEASONING 7.5G NEW ULCL</t>
        </is>
      </c>
      <c r="D224" s="211" t="inlineStr">
        <is>
          <t>EA</t>
        </is>
      </c>
      <c r="E224" s="212" t="n"/>
      <c r="F224" s="28" t="n"/>
      <c r="G224" s="212" t="n"/>
      <c r="H224" s="39" t="n"/>
      <c r="I224" s="35" t="n"/>
      <c r="J224" s="26">
        <f>+E224+F224-G224+H224</f>
        <v/>
      </c>
      <c r="K224" s="26" t="n"/>
      <c r="L224" s="217" t="n"/>
    </row>
    <row r="225">
      <c r="A225" s="208" t="inlineStr">
        <is>
          <t>PM</t>
        </is>
      </c>
      <c r="B225" s="37" t="n">
        <v>69772137</v>
      </c>
      <c r="C225" s="38" t="inlineStr">
        <is>
          <t>CLD KNORR SEASONING 7.5G X 576 NEW ULCL</t>
        </is>
      </c>
      <c r="D225" s="211" t="inlineStr">
        <is>
          <t>EA</t>
        </is>
      </c>
      <c r="E225" s="212">
        <f>10*25+10+37</f>
        <v/>
      </c>
      <c r="F225" s="28" t="n"/>
      <c r="G225" s="212" t="n"/>
      <c r="H225" s="39" t="n"/>
      <c r="I225" s="35" t="n"/>
      <c r="J225" s="26">
        <f>+E225+F225-G225+H225</f>
        <v/>
      </c>
      <c r="K225" s="26" t="n"/>
      <c r="L225" s="217" t="n"/>
    </row>
    <row r="226">
      <c r="A226" s="208" t="inlineStr">
        <is>
          <t>PM</t>
        </is>
      </c>
      <c r="B226" s="37" t="n">
        <v>64978945</v>
      </c>
      <c r="C226" s="38" t="inlineStr">
        <is>
          <t>LAMI SEASONING POWDER 7.5G REG2024</t>
        </is>
      </c>
      <c r="D226" s="211" t="inlineStr">
        <is>
          <t>EA</t>
        </is>
      </c>
      <c r="E226" s="212">
        <f>13888+7*13888</f>
        <v/>
      </c>
      <c r="F226" s="28" t="n"/>
      <c r="G226" s="212" t="n"/>
      <c r="H226" s="39" t="n"/>
      <c r="I226" s="35" t="n"/>
      <c r="J226" s="26">
        <f>+E226+F226-G226+H226</f>
        <v/>
      </c>
      <c r="K226" s="26" t="n"/>
      <c r="L226" s="217" t="n"/>
    </row>
    <row r="227">
      <c r="A227" s="208" t="n"/>
      <c r="B227" s="37" t="n"/>
      <c r="C227" s="38" t="n"/>
      <c r="D227" s="211" t="n"/>
      <c r="E227" s="212" t="n"/>
      <c r="F227" s="28" t="n"/>
      <c r="G227" s="212" t="n"/>
      <c r="H227" s="39" t="n"/>
      <c r="I227" s="35" t="n"/>
      <c r="J227" s="26">
        <f>+E227+F227-G227+H227</f>
        <v/>
      </c>
      <c r="K227" s="26" t="n"/>
      <c r="L227" s="217" t="n"/>
    </row>
    <row r="228" ht="15" customHeight="1" s="219">
      <c r="A228" s="51" t="inlineStr">
        <is>
          <t>FG</t>
        </is>
      </c>
      <c r="B228" s="104" t="n">
        <v>94012843</v>
      </c>
      <c r="C228" s="105" t="inlineStr">
        <is>
          <t>Crispy-FS x 1kg x 6</t>
        </is>
      </c>
      <c r="D228" s="54" t="n"/>
      <c r="E228" s="55" t="n"/>
      <c r="F228" s="56" t="n"/>
      <c r="G228" s="55" t="n"/>
      <c r="H228" s="92" t="n"/>
      <c r="I228" s="57" t="n"/>
      <c r="J228" s="26">
        <f>+E228+F228-G228+H228</f>
        <v/>
      </c>
      <c r="K228" s="58" t="n"/>
      <c r="L228" s="59" t="n"/>
    </row>
    <row r="229">
      <c r="A229" s="208" t="inlineStr">
        <is>
          <t>PM</t>
        </is>
      </c>
      <c r="B229" s="89" t="n">
        <v>64402588</v>
      </c>
      <c r="C229" s="38" t="inlineStr">
        <is>
          <t>CLD KN CRISPY COATING 1KG X 6 ULCL</t>
        </is>
      </c>
      <c r="D229" s="211" t="inlineStr">
        <is>
          <t>EA</t>
        </is>
      </c>
      <c r="E229" s="212" t="n">
        <v>265</v>
      </c>
      <c r="F229" s="28" t="n"/>
      <c r="G229" s="212" t="n"/>
      <c r="H229" s="39" t="n"/>
      <c r="I229" s="35" t="n"/>
      <c r="J229" s="26">
        <f>+E229+F229-G229+H229</f>
        <v/>
      </c>
      <c r="K229" s="26" t="n"/>
      <c r="L229" s="217" t="n"/>
    </row>
    <row r="230">
      <c r="A230" s="208" t="inlineStr">
        <is>
          <t>PM</t>
        </is>
      </c>
      <c r="B230" s="89" t="n">
        <v>64874795</v>
      </c>
      <c r="C230" s="38" t="inlineStr">
        <is>
          <t>SFG LBTUB CRISPY COATING 1KG ULCL</t>
        </is>
      </c>
      <c r="D230" s="211" t="inlineStr">
        <is>
          <t>EA</t>
        </is>
      </c>
      <c r="E230" s="212">
        <f>105*3+10</f>
        <v/>
      </c>
      <c r="F230" s="28" t="n"/>
      <c r="G230" s="212" t="n"/>
      <c r="H230" s="39" t="n"/>
      <c r="I230" s="35" t="n"/>
      <c r="J230" s="26">
        <f>+E230+F230-G230+H230</f>
        <v/>
      </c>
      <c r="K230" s="26" t="n">
        <v>22</v>
      </c>
      <c r="L230" s="217" t="n"/>
    </row>
    <row r="231">
      <c r="A231" s="208" t="n"/>
      <c r="B231" s="37" t="n"/>
      <c r="C231" s="38" t="n"/>
      <c r="D231" s="211" t="n"/>
      <c r="E231" s="212" t="n"/>
      <c r="F231" s="28" t="n"/>
      <c r="G231" s="212" t="n"/>
      <c r="H231" s="39" t="n"/>
      <c r="I231" s="35" t="n"/>
      <c r="J231" s="26">
        <f>+E231+F231-G231+H231</f>
        <v/>
      </c>
      <c r="K231" s="26" t="n"/>
      <c r="L231" s="217" t="n"/>
    </row>
    <row r="232" ht="15" customHeight="1" s="219">
      <c r="A232" s="51" t="inlineStr">
        <is>
          <t>FG</t>
        </is>
      </c>
      <c r="B232" s="52" t="n">
        <v>94010430</v>
      </c>
      <c r="C232" s="105" t="inlineStr">
        <is>
          <t>Knor Chicken Ssoning Pw 1 kg ULCL-FS</t>
        </is>
      </c>
      <c r="D232" s="90" t="n"/>
      <c r="E232" s="55" t="n"/>
      <c r="F232" s="56" t="n"/>
      <c r="G232" s="55" t="n"/>
      <c r="H232" s="92" t="n"/>
      <c r="I232" s="57" t="n"/>
      <c r="J232" s="26">
        <f>+E232+F232-G232+H232</f>
        <v/>
      </c>
      <c r="K232" s="58" t="n"/>
      <c r="L232" s="59" t="n"/>
    </row>
    <row r="233">
      <c r="A233" s="208" t="inlineStr">
        <is>
          <t>PM</t>
        </is>
      </c>
      <c r="B233" s="89" t="n">
        <v>69741616</v>
      </c>
      <c r="C233" s="38" t="inlineStr">
        <is>
          <t>CLD KN CSP BUTTERFLY URMC 1KG X 6</t>
        </is>
      </c>
      <c r="D233" s="21" t="inlineStr">
        <is>
          <t>EA</t>
        </is>
      </c>
      <c r="E233" s="212">
        <f>3+450</f>
        <v/>
      </c>
      <c r="F233" s="28" t="n"/>
      <c r="G233" s="212" t="n"/>
      <c r="H233" s="39" t="n"/>
      <c r="I233" s="35" t="n"/>
      <c r="J233" s="26">
        <f>+E233+F233-G233+H233</f>
        <v/>
      </c>
      <c r="K233" s="26" t="n"/>
      <c r="L233" s="217" t="n"/>
    </row>
    <row r="234">
      <c r="A234" s="208" t="inlineStr">
        <is>
          <t>PM</t>
        </is>
      </c>
      <c r="B234" s="37" t="n">
        <v>69741585</v>
      </c>
      <c r="C234" s="38" t="inlineStr">
        <is>
          <t>6001-TUB 1KG</t>
        </is>
      </c>
      <c r="D234" s="211" t="inlineStr">
        <is>
          <t>EA</t>
        </is>
      </c>
      <c r="E234" s="212">
        <f>11+105*6+7+5*105</f>
        <v/>
      </c>
      <c r="F234" s="28" t="n"/>
      <c r="G234" s="212" t="n"/>
      <c r="H234" s="39" t="n"/>
      <c r="I234" s="35" t="n"/>
      <c r="J234" s="26">
        <f>+E234+F234-G234+H234</f>
        <v/>
      </c>
      <c r="K234" s="170">
        <f>16+1210+74+27</f>
        <v/>
      </c>
      <c r="L234" s="60" t="n"/>
    </row>
    <row r="235">
      <c r="A235" s="208" t="inlineStr">
        <is>
          <t>PM</t>
        </is>
      </c>
      <c r="B235" s="37" t="n">
        <v>64874793</v>
      </c>
      <c r="C235" s="38" t="inlineStr">
        <is>
          <t>SFG LBTUB CSP BUTTERFLY 1KG REG2024</t>
        </is>
      </c>
      <c r="D235" s="211" t="inlineStr">
        <is>
          <t>EA</t>
        </is>
      </c>
      <c r="E235" s="212" t="n"/>
      <c r="F235" s="28" t="n"/>
      <c r="G235" s="212" t="n"/>
      <c r="H235" s="39" t="n"/>
      <c r="I235" s="35" t="n"/>
      <c r="J235" s="26">
        <f>+E235+F235-G235+H235</f>
        <v/>
      </c>
      <c r="K235" s="170" t="n"/>
      <c r="L235" s="60" t="n"/>
    </row>
    <row r="236">
      <c r="A236" s="208" t="inlineStr">
        <is>
          <t>PM</t>
        </is>
      </c>
      <c r="B236" s="37" t="n">
        <v>68889777</v>
      </c>
      <c r="C236" s="38" t="inlineStr">
        <is>
          <t>PLID UFS KN CSP 1KG</t>
        </is>
      </c>
      <c r="D236" s="211" t="inlineStr">
        <is>
          <t>EA</t>
        </is>
      </c>
      <c r="E236" s="212">
        <f>21*450</f>
        <v/>
      </c>
      <c r="F236" s="28" t="n"/>
      <c r="G236" s="212" t="n"/>
      <c r="H236" s="35" t="n"/>
      <c r="I236" s="35" t="n"/>
      <c r="J236" s="26">
        <f>+E236+F236-G236+H236</f>
        <v/>
      </c>
      <c r="K236" s="26" t="n">
        <v>23</v>
      </c>
      <c r="L236" s="217" t="n"/>
    </row>
    <row r="237">
      <c r="A237" s="208" t="inlineStr">
        <is>
          <t>PM</t>
        </is>
      </c>
      <c r="B237" s="37" t="n">
        <v>68889778</v>
      </c>
      <c r="C237" s="38" t="inlineStr">
        <is>
          <t>FLEX BAG UFS KN CSP 1KG</t>
        </is>
      </c>
      <c r="D237" s="211" t="inlineStr">
        <is>
          <t>EA</t>
        </is>
      </c>
      <c r="E237" s="212">
        <f>500*7</f>
        <v/>
      </c>
      <c r="F237" s="28" t="n"/>
      <c r="G237" s="212" t="n"/>
      <c r="H237" s="35" t="n"/>
      <c r="I237" s="35" t="n"/>
      <c r="J237" s="26">
        <f>+E237+F237-G237+H237</f>
        <v/>
      </c>
      <c r="K237" s="26" t="n"/>
      <c r="L237" s="217" t="n"/>
      <c r="M237" s="218" t="n"/>
    </row>
    <row r="238">
      <c r="A238" s="208" t="n"/>
      <c r="B238" s="37" t="n"/>
      <c r="C238" s="38" t="n"/>
      <c r="D238" s="211" t="n"/>
      <c r="E238" s="212" t="n"/>
      <c r="F238" s="28" t="n"/>
      <c r="G238" s="212" t="n"/>
      <c r="H238" s="39" t="n"/>
      <c r="I238" s="35" t="n"/>
      <c r="J238" s="26">
        <f>+E238+F238-G238+H238</f>
        <v/>
      </c>
      <c r="K238" s="26" t="n"/>
      <c r="L238" s="217" t="n"/>
    </row>
    <row r="239" ht="15" customHeight="1" s="219">
      <c r="A239" s="51" t="inlineStr">
        <is>
          <t>FG</t>
        </is>
      </c>
      <c r="B239" s="104" t="n">
        <v>94010431</v>
      </c>
      <c r="C239" s="105" t="inlineStr">
        <is>
          <t>Knor Chick Flavd Ssoning Powder 500g -FS</t>
        </is>
      </c>
      <c r="D239" s="90" t="n"/>
      <c r="E239" s="55" t="n"/>
      <c r="F239" s="56" t="n"/>
      <c r="G239" s="55" t="n"/>
      <c r="H239" s="92" t="n"/>
      <c r="I239" s="57" t="n"/>
      <c r="J239" s="26">
        <f>+E239+F239-G239+H239</f>
        <v/>
      </c>
      <c r="K239" s="58" t="n"/>
      <c r="L239" s="59" t="n"/>
      <c r="M239" s="218" t="n"/>
    </row>
    <row r="240">
      <c r="A240" s="208" t="inlineStr">
        <is>
          <t>PM</t>
        </is>
      </c>
      <c r="B240" s="37" t="n">
        <v>69741620</v>
      </c>
      <c r="C240" s="38" t="inlineStr">
        <is>
          <t>CLD KN CSP URMC 500G X 24 NEW ULCL</t>
        </is>
      </c>
      <c r="D240" s="211" t="inlineStr">
        <is>
          <t>EA</t>
        </is>
      </c>
      <c r="E240" s="212" t="n">
        <v>65</v>
      </c>
      <c r="F240" s="28" t="n"/>
      <c r="G240" s="212" t="n"/>
      <c r="H240" s="39" t="n"/>
      <c r="I240" s="171" t="n"/>
      <c r="J240" s="26">
        <f>+E240+F240-G240+H240</f>
        <v/>
      </c>
      <c r="K240" s="26" t="n"/>
      <c r="L240" s="217" t="n"/>
      <c r="M240" s="218" t="n"/>
    </row>
    <row r="241">
      <c r="A241" s="208" t="inlineStr">
        <is>
          <t>PM</t>
        </is>
      </c>
      <c r="B241" s="37" t="n">
        <v>69741586</v>
      </c>
      <c r="C241" s="38" t="inlineStr">
        <is>
          <t>6001-TUB 500 GM NEW ULCL-Modified</t>
        </is>
      </c>
      <c r="D241" s="211" t="inlineStr">
        <is>
          <t>EA</t>
        </is>
      </c>
      <c r="E241" s="212">
        <f>150*20</f>
        <v/>
      </c>
      <c r="F241" s="28" t="n"/>
      <c r="G241" s="212" t="n"/>
      <c r="H241" s="39" t="n"/>
      <c r="I241" s="35" t="n"/>
      <c r="J241" s="26">
        <f>+E241+F241-G241+H241</f>
        <v/>
      </c>
      <c r="K241" s="61">
        <f>1252+63</f>
        <v/>
      </c>
      <c r="L241" s="217" t="n"/>
    </row>
    <row r="242" ht="15.75" customHeight="1" s="219">
      <c r="A242" s="208" t="inlineStr">
        <is>
          <t>PM</t>
        </is>
      </c>
      <c r="B242" s="37" t="n">
        <v>68889776</v>
      </c>
      <c r="C242" s="38" t="inlineStr">
        <is>
          <t>FLEX BAG UFS KN CSP 500G</t>
        </is>
      </c>
      <c r="D242" s="211" t="inlineStr">
        <is>
          <t>EA</t>
        </is>
      </c>
      <c r="E242" s="31">
        <f>500*12</f>
        <v/>
      </c>
      <c r="F242" s="28" t="n"/>
      <c r="G242" s="212" t="n"/>
      <c r="H242" s="39" t="n"/>
      <c r="I242" s="35" t="n"/>
      <c r="J242" s="26">
        <f>+E242+F242-G242+H242</f>
        <v/>
      </c>
      <c r="K242" s="26" t="n">
        <v>398</v>
      </c>
      <c r="L242" s="217" t="n"/>
      <c r="M242" s="218" t="n"/>
    </row>
    <row r="243" ht="15.75" customHeight="1" s="219">
      <c r="A243" s="208" t="n"/>
      <c r="B243" s="37" t="n"/>
      <c r="C243" s="38" t="n"/>
      <c r="D243" s="211" t="n"/>
      <c r="E243" s="159" t="n"/>
      <c r="F243" s="28" t="n"/>
      <c r="G243" s="212" t="n"/>
      <c r="H243" s="39" t="n"/>
      <c r="I243" s="35" t="n"/>
      <c r="J243" s="26">
        <f>+E243+F243-G243+H243</f>
        <v/>
      </c>
      <c r="K243" s="26" t="n"/>
      <c r="L243" s="217" t="n"/>
      <c r="M243" s="218" t="n"/>
    </row>
    <row r="244" ht="15.75" customHeight="1" s="219">
      <c r="A244" s="51" t="inlineStr">
        <is>
          <t>FG</t>
        </is>
      </c>
      <c r="B244" s="172" t="n">
        <v>94013453</v>
      </c>
      <c r="C244" s="173" t="inlineStr">
        <is>
          <t>Knorr Biriyani Mix 500g FS new</t>
        </is>
      </c>
      <c r="D244" s="54" t="n"/>
      <c r="E244" s="91" t="n"/>
      <c r="F244" s="56" t="n"/>
      <c r="G244" s="55" t="n"/>
      <c r="H244" s="92" t="n"/>
      <c r="I244" s="57" t="n"/>
      <c r="J244" s="26">
        <f>+E244+F244-G244+H244</f>
        <v/>
      </c>
      <c r="K244" s="58" t="n"/>
      <c r="L244" s="59" t="n"/>
      <c r="M244" s="218" t="n"/>
    </row>
    <row r="245" ht="15.75" customHeight="1" s="219">
      <c r="A245" s="208" t="inlineStr">
        <is>
          <t>PM</t>
        </is>
      </c>
      <c r="B245" s="36" t="n">
        <v>64405072</v>
      </c>
      <c r="C245" s="87" t="inlineStr">
        <is>
          <t>CLD IML KN BIRIYANI 500G X 24 ULCL</t>
        </is>
      </c>
      <c r="D245" s="211" t="inlineStr">
        <is>
          <t>EA</t>
        </is>
      </c>
      <c r="E245" s="159" t="n">
        <v>60</v>
      </c>
      <c r="F245" s="28" t="n"/>
      <c r="G245" s="212" t="n"/>
      <c r="H245" s="39" t="n"/>
      <c r="I245" s="35" t="n"/>
      <c r="J245" s="26">
        <f>+E245+F245-G245+H245</f>
        <v/>
      </c>
      <c r="K245" s="26" t="n"/>
      <c r="L245" s="217" t="n"/>
      <c r="M245" s="218" t="n"/>
    </row>
    <row r="246" ht="15.75" customHeight="1" s="219">
      <c r="A246" s="208" t="inlineStr">
        <is>
          <t>PM</t>
        </is>
      </c>
      <c r="B246" s="36" t="n">
        <v>64405145</v>
      </c>
      <c r="C246" s="87" t="inlineStr">
        <is>
          <t>SFG LBTUB IML BIRIYANI 500G ULCL</t>
        </is>
      </c>
      <c r="D246" s="211" t="inlineStr">
        <is>
          <t>EA</t>
        </is>
      </c>
      <c r="E246" s="159">
        <f>75+160*4</f>
        <v/>
      </c>
      <c r="F246" s="28" t="n"/>
      <c r="G246" s="212" t="n"/>
      <c r="H246" s="39" t="n"/>
      <c r="I246" s="35" t="n"/>
      <c r="J246" s="26">
        <f>+E246+F246-G246+H246</f>
        <v/>
      </c>
      <c r="K246" s="26" t="n"/>
      <c r="L246" s="217" t="n"/>
      <c r="M246" s="218" t="n"/>
    </row>
    <row r="247" ht="15.75" customHeight="1" s="219">
      <c r="A247" s="208" t="n"/>
      <c r="B247" s="37" t="n"/>
      <c r="C247" s="38" t="n"/>
      <c r="D247" s="211" t="n"/>
      <c r="E247" s="159" t="n"/>
      <c r="F247" s="28" t="n"/>
      <c r="G247" s="212" t="n"/>
      <c r="H247" s="39" t="n"/>
      <c r="I247" s="35" t="n"/>
      <c r="J247" s="26">
        <f>+E247+F247-G247+H247</f>
        <v/>
      </c>
      <c r="K247" s="26" t="n"/>
      <c r="L247" s="217" t="n"/>
      <c r="M247" s="218" t="n"/>
    </row>
    <row r="248" ht="15" customHeight="1" s="219">
      <c r="A248" s="51" t="inlineStr">
        <is>
          <t>FG</t>
        </is>
      </c>
      <c r="B248" s="104" t="n">
        <v>94010433</v>
      </c>
      <c r="C248" s="105" t="inlineStr">
        <is>
          <t>Knorr BIRIYANI MIX 500g MT</t>
        </is>
      </c>
      <c r="D248" s="90" t="n"/>
      <c r="E248" s="55" t="n"/>
      <c r="F248" s="56" t="n"/>
      <c r="G248" s="55" t="n"/>
      <c r="H248" s="92" t="n"/>
      <c r="I248" s="57" t="n"/>
      <c r="J248" s="26">
        <f>+E248+F248-G248+H248</f>
        <v/>
      </c>
      <c r="K248" s="58" t="n"/>
      <c r="L248" s="59" t="n"/>
    </row>
    <row r="249">
      <c r="A249" s="208" t="inlineStr">
        <is>
          <t>PM</t>
        </is>
      </c>
      <c r="B249" s="89" t="n">
        <v>69741622</v>
      </c>
      <c r="C249" s="38" t="inlineStr">
        <is>
          <t>CLD KN BIRIYANI 500G X 24 NEW ULCL</t>
        </is>
      </c>
      <c r="D249" s="211" t="inlineStr">
        <is>
          <t>EA</t>
        </is>
      </c>
      <c r="E249" s="212" t="n">
        <v>80</v>
      </c>
      <c r="F249" s="28" t="n"/>
      <c r="G249" s="212" t="n"/>
      <c r="H249" s="39" t="n"/>
      <c r="I249" s="35" t="n"/>
      <c r="J249" s="26">
        <f>+E249+F249-G249+H249</f>
        <v/>
      </c>
      <c r="K249" s="26" t="n"/>
      <c r="L249" s="217" t="n"/>
    </row>
    <row r="250">
      <c r="A250" s="208" t="inlineStr">
        <is>
          <t>PM</t>
        </is>
      </c>
      <c r="B250" s="89" t="n">
        <v>69741590</v>
      </c>
      <c r="C250" s="38" t="inlineStr">
        <is>
          <t>SFG LBTUB BIRIYANI 500G X 24 NEW ULCL</t>
        </is>
      </c>
      <c r="D250" s="211" t="inlineStr">
        <is>
          <t>EA</t>
        </is>
      </c>
      <c r="E250" s="212" t="n"/>
      <c r="F250" s="28" t="n"/>
      <c r="G250" s="212" t="n"/>
      <c r="H250" s="39" t="n"/>
      <c r="I250" s="35" t="n"/>
      <c r="J250" s="26">
        <f>+E250+F250-G250+H250</f>
        <v/>
      </c>
      <c r="K250" s="26" t="n">
        <v>28</v>
      </c>
      <c r="L250" s="217" t="n"/>
    </row>
    <row r="251">
      <c r="A251" s="208" t="n"/>
      <c r="B251" s="37" t="n"/>
      <c r="C251" s="38" t="n"/>
      <c r="D251" s="211" t="n"/>
      <c r="E251" s="212" t="n"/>
      <c r="F251" s="28" t="n"/>
      <c r="G251" s="212" t="n"/>
      <c r="H251" s="39" t="n"/>
      <c r="I251" s="35" t="n"/>
      <c r="J251" s="26">
        <f>+E251+F251-G251+H251</f>
        <v/>
      </c>
      <c r="K251" s="26" t="n"/>
      <c r="L251" s="217" t="n"/>
    </row>
    <row r="252" ht="15" customHeight="1" s="219">
      <c r="A252" s="51" t="inlineStr">
        <is>
          <t>FG</t>
        </is>
      </c>
      <c r="B252" s="104" t="n">
        <v>94010432</v>
      </c>
      <c r="C252" s="105" t="inlineStr">
        <is>
          <t>Knor Cleanco 1 KG</t>
        </is>
      </c>
      <c r="D252" s="90" t="n"/>
      <c r="E252" s="55" t="n"/>
      <c r="F252" s="56" t="n"/>
      <c r="G252" s="55" t="n"/>
      <c r="H252" s="92" t="n"/>
      <c r="I252" s="57" t="n"/>
      <c r="J252" s="26">
        <f>+E252+F252-G252+H252</f>
        <v/>
      </c>
      <c r="K252" s="58" t="n"/>
      <c r="L252" s="59" t="n"/>
    </row>
    <row r="253">
      <c r="A253" s="208" t="inlineStr">
        <is>
          <t>PM</t>
        </is>
      </c>
      <c r="B253" s="174" t="inlineStr">
        <is>
          <t>69741621</t>
        </is>
      </c>
      <c r="C253" s="38" t="inlineStr">
        <is>
          <t>CLD KN CSP CLEAN CORE URMC 1KG X 6</t>
        </is>
      </c>
      <c r="D253" s="211" t="inlineStr">
        <is>
          <t>EA</t>
        </is>
      </c>
      <c r="E253" s="212">
        <f>364+57+10</f>
        <v/>
      </c>
      <c r="F253" s="28" t="n"/>
      <c r="G253" s="212" t="n"/>
      <c r="H253" s="39" t="n"/>
      <c r="I253" s="35" t="n"/>
      <c r="J253" s="26">
        <f>+E253+F253-G253+H253</f>
        <v/>
      </c>
      <c r="K253" s="26" t="n"/>
      <c r="L253" s="217" t="n"/>
    </row>
    <row r="254" hidden="1" ht="15" customHeight="1" s="219">
      <c r="A254" s="208" t="inlineStr">
        <is>
          <t>PM</t>
        </is>
      </c>
      <c r="B254" s="37" t="n">
        <v>69741588</v>
      </c>
      <c r="C254" s="38" t="inlineStr">
        <is>
          <t>SFG LBTUB CSP CLEAN 1KG NEW ULCL</t>
        </is>
      </c>
      <c r="D254" s="211" t="inlineStr">
        <is>
          <t>EA</t>
        </is>
      </c>
      <c r="E254" s="212" t="n"/>
      <c r="F254" s="28" t="n"/>
      <c r="G254" s="212" t="n"/>
      <c r="H254" s="39" t="n"/>
      <c r="I254" s="35" t="n"/>
      <c r="J254" s="26">
        <f>+E254+F254-G254+H254</f>
        <v/>
      </c>
      <c r="K254" s="26" t="n"/>
      <c r="L254" s="217" t="n"/>
    </row>
    <row r="255" customFormat="1" s="185">
      <c r="A255" s="175" t="inlineStr">
        <is>
          <t>PM</t>
        </is>
      </c>
      <c r="B255" s="176" t="n">
        <v>64874801</v>
      </c>
      <c r="C255" s="177" t="inlineStr">
        <is>
          <t>SFG LBTUB CSP CLEAN 1KG REG2024</t>
        </is>
      </c>
      <c r="D255" s="178" t="inlineStr">
        <is>
          <t>EA</t>
        </is>
      </c>
      <c r="E255" s="179">
        <f>105+192</f>
        <v/>
      </c>
      <c r="F255" s="180" t="n"/>
      <c r="G255" s="179" t="n"/>
      <c r="H255" s="181" t="n"/>
      <c r="I255" s="182" t="n"/>
      <c r="J255" s="26">
        <f>+E255+F255-G255+H255</f>
        <v/>
      </c>
      <c r="K255" s="183" t="n"/>
      <c r="L255" s="184" t="n"/>
    </row>
    <row r="256" hidden="1" ht="15" customHeight="1" s="219">
      <c r="A256" s="208" t="inlineStr">
        <is>
          <t>PM</t>
        </is>
      </c>
      <c r="B256" s="37" t="n">
        <v>68846022</v>
      </c>
      <c r="C256" s="38" t="inlineStr">
        <is>
          <t>6001-Clenco 1 kg</t>
        </is>
      </c>
      <c r="D256" s="211" t="inlineStr">
        <is>
          <t>EA</t>
        </is>
      </c>
      <c r="E256" s="212" t="n"/>
      <c r="F256" s="28" t="n"/>
      <c r="G256" s="212" t="n"/>
      <c r="H256" s="39" t="n"/>
      <c r="I256" s="35" t="n"/>
      <c r="J256" s="26">
        <f>+E256+F256-G256+H256</f>
        <v/>
      </c>
      <c r="K256" s="26">
        <f>58+16+252+142</f>
        <v/>
      </c>
      <c r="L256" s="217">
        <f>19*2+20</f>
        <v/>
      </c>
    </row>
    <row r="257">
      <c r="A257" s="208" t="n"/>
      <c r="B257" s="37" t="n"/>
      <c r="C257" s="38" t="n"/>
      <c r="D257" s="211" t="n"/>
      <c r="E257" s="212" t="n"/>
      <c r="F257" s="28" t="n"/>
      <c r="G257" s="212" t="n"/>
      <c r="H257" s="39" t="n"/>
      <c r="I257" s="35" t="n"/>
      <c r="J257" s="26">
        <f>+E257+F257-G257+H257</f>
        <v/>
      </c>
      <c r="K257" s="26" t="n"/>
      <c r="L257" s="217" t="n"/>
    </row>
    <row r="258" ht="15" customHeight="1" s="219">
      <c r="A258" s="51" t="inlineStr">
        <is>
          <t>FG</t>
        </is>
      </c>
      <c r="B258" s="104" t="n">
        <v>94013456</v>
      </c>
      <c r="C258" s="105" t="inlineStr">
        <is>
          <t>Knorr Chicken Flav SsoningPowder 500gFS new  IML</t>
        </is>
      </c>
      <c r="D258" s="90" t="n"/>
      <c r="E258" s="55" t="n"/>
      <c r="F258" s="56" t="n"/>
      <c r="G258" s="55" t="n"/>
      <c r="H258" s="92" t="n"/>
      <c r="I258" s="57" t="n"/>
      <c r="J258" s="26">
        <f>+E258+F258-G258+H258</f>
        <v/>
      </c>
      <c r="K258" s="58" t="n"/>
      <c r="L258" s="59" t="n"/>
    </row>
    <row r="259">
      <c r="A259" s="37" t="inlineStr">
        <is>
          <t>PM</t>
        </is>
      </c>
      <c r="B259" s="36" t="n">
        <v>64405073</v>
      </c>
      <c r="C259" s="87" t="inlineStr">
        <is>
          <t>CLD IML KN CSP 500G X 24 ULCL</t>
        </is>
      </c>
      <c r="D259" s="186" t="inlineStr">
        <is>
          <t>EA</t>
        </is>
      </c>
      <c r="E259" s="212">
        <f>58+610</f>
        <v/>
      </c>
      <c r="F259" s="28" t="n"/>
      <c r="G259" s="212" t="n"/>
      <c r="H259" s="39" t="n"/>
      <c r="I259" s="35" t="n"/>
      <c r="J259" s="26">
        <f>+E259+F259-G259+H259</f>
        <v/>
      </c>
      <c r="K259" s="26" t="n"/>
      <c r="L259" s="217" t="n"/>
    </row>
    <row r="260">
      <c r="A260" s="37" t="inlineStr">
        <is>
          <t>PM</t>
        </is>
      </c>
      <c r="B260" s="36" t="n">
        <v>64891261</v>
      </c>
      <c r="C260" s="87" t="inlineStr">
        <is>
          <t>LAYER SEP UFS KN CSP 500G IML</t>
        </is>
      </c>
      <c r="D260" s="186" t="inlineStr">
        <is>
          <t>EA</t>
        </is>
      </c>
      <c r="E260" s="212" t="n">
        <v>300</v>
      </c>
      <c r="F260" s="28" t="n"/>
      <c r="G260" s="212" t="n"/>
      <c r="H260" s="39" t="n"/>
      <c r="I260" s="35" t="n"/>
      <c r="J260" s="26">
        <f>+E260+F260-G260+H260</f>
        <v/>
      </c>
      <c r="K260" s="26" t="n"/>
      <c r="L260" s="217" t="n"/>
    </row>
    <row r="261">
      <c r="A261" s="37" t="inlineStr">
        <is>
          <t>PM</t>
        </is>
      </c>
      <c r="B261" s="36" t="n">
        <v>64405147</v>
      </c>
      <c r="C261" s="87" t="inlineStr">
        <is>
          <t>SFG LBTUB IML CSP 500G ULCL</t>
        </is>
      </c>
      <c r="D261" s="186" t="inlineStr">
        <is>
          <t>EA</t>
        </is>
      </c>
      <c r="E261" s="212">
        <f>14*160+40*160</f>
        <v/>
      </c>
      <c r="F261" s="28" t="n"/>
      <c r="G261" s="212" t="n"/>
      <c r="H261" s="39" t="n"/>
      <c r="I261" s="35" t="n"/>
      <c r="J261" s="26">
        <f>+E261+F261-G261+H261</f>
        <v/>
      </c>
      <c r="K261" s="26" t="n"/>
      <c r="L261" s="217" t="n"/>
    </row>
    <row r="262">
      <c r="A262" s="37" t="inlineStr">
        <is>
          <t>PM</t>
        </is>
      </c>
      <c r="B262" s="36" t="n">
        <v>64405071</v>
      </c>
      <c r="C262" s="87" t="inlineStr">
        <is>
          <t>PLID IML UFS KN CSP 500G ULCL</t>
        </is>
      </c>
      <c r="D262" s="186" t="inlineStr">
        <is>
          <t>EA</t>
        </is>
      </c>
      <c r="E262" s="212">
        <f>320*15</f>
        <v/>
      </c>
      <c r="F262" s="28" t="n"/>
      <c r="G262" s="212" t="n"/>
      <c r="H262" s="39" t="n"/>
      <c r="I262" s="35" t="n"/>
      <c r="J262" s="26">
        <f>+E262+F262-G262+H262</f>
        <v/>
      </c>
      <c r="K262" s="26" t="n"/>
      <c r="L262" s="217" t="n"/>
    </row>
    <row r="263">
      <c r="A263" s="208" t="inlineStr">
        <is>
          <t>PM</t>
        </is>
      </c>
      <c r="B263" s="36" t="n">
        <v>64957815</v>
      </c>
      <c r="C263" s="87" t="inlineStr">
        <is>
          <t>LAMI POUCH KNORR CSP 500G UFS URMC</t>
        </is>
      </c>
      <c r="D263" s="211" t="inlineStr">
        <is>
          <t>EA</t>
        </is>
      </c>
      <c r="E263" s="212">
        <f>6000+900</f>
        <v/>
      </c>
      <c r="F263" s="28" t="n"/>
      <c r="G263" s="212" t="n"/>
      <c r="H263" s="40" t="n"/>
      <c r="I263" s="35" t="n"/>
      <c r="J263" s="26">
        <f>+E263+F263-G263+H263</f>
        <v/>
      </c>
      <c r="K263" s="26" t="n"/>
      <c r="L263" s="217" t="n"/>
    </row>
    <row r="264">
      <c r="A264" s="208" t="n"/>
      <c r="B264" s="137" t="n"/>
      <c r="C264" s="187" t="n"/>
      <c r="D264" s="211" t="n"/>
      <c r="E264" s="212" t="n"/>
      <c r="F264" s="28" t="n"/>
      <c r="G264" s="212" t="n"/>
      <c r="H264" s="40" t="n"/>
      <c r="I264" s="216" t="n"/>
      <c r="J264" s="26">
        <f>+E264+F264-G264+H264</f>
        <v/>
      </c>
      <c r="K264" s="26" t="n"/>
      <c r="L264" s="217" t="n"/>
    </row>
    <row r="265" ht="15" customHeight="1" s="219">
      <c r="A265" s="51" t="inlineStr">
        <is>
          <t>FG</t>
        </is>
      </c>
      <c r="B265" s="104" t="n">
        <v>94010566</v>
      </c>
      <c r="C265" s="105" t="inlineStr">
        <is>
          <t>Knor Chicken Curry Mix 15g MT</t>
        </is>
      </c>
      <c r="D265" s="90" t="n"/>
      <c r="E265" s="55" t="n"/>
      <c r="F265" s="56" t="n"/>
      <c r="G265" s="55" t="n"/>
      <c r="H265" s="92" t="n"/>
      <c r="I265" s="57" t="n"/>
      <c r="J265" s="26">
        <f>+E265+F265-G265+H265</f>
        <v/>
      </c>
      <c r="K265" s="58" t="n"/>
      <c r="L265" s="59" t="n"/>
    </row>
    <row r="266">
      <c r="A266" s="208" t="inlineStr">
        <is>
          <t>PM</t>
        </is>
      </c>
      <c r="B266" s="37" t="n">
        <v>69772140</v>
      </c>
      <c r="C266" s="124" t="inlineStr">
        <is>
          <t>CLD KN CHICK CURRY 15G X 144 RMC 2021</t>
        </is>
      </c>
      <c r="D266" s="211" t="inlineStr">
        <is>
          <t>EA</t>
        </is>
      </c>
      <c r="E266" s="212">
        <f>54+5</f>
        <v/>
      </c>
      <c r="F266" s="28" t="n"/>
      <c r="G266" s="212" t="n"/>
      <c r="H266" s="39" t="n"/>
      <c r="I266" s="35" t="n"/>
      <c r="J266" s="26">
        <f>+E266+F266-G266+H266</f>
        <v/>
      </c>
      <c r="K266" s="26" t="n"/>
      <c r="L266" s="217" t="n"/>
    </row>
    <row r="267" customFormat="1" s="63">
      <c r="A267" s="188" t="inlineStr">
        <is>
          <t>PM</t>
        </is>
      </c>
      <c r="B267" s="37" t="n">
        <v>11490075</v>
      </c>
      <c r="C267" s="38" t="inlineStr">
        <is>
          <t>CELLOTAPE 1"(25MM)</t>
        </is>
      </c>
      <c r="D267" s="189" t="inlineStr">
        <is>
          <t>EA</t>
        </is>
      </c>
      <c r="E267" s="190">
        <f>89*100+42*100</f>
        <v/>
      </c>
      <c r="F267" s="62" t="n"/>
      <c r="G267" s="212" t="n"/>
      <c r="H267" s="39" t="n"/>
      <c r="I267" s="35" t="n"/>
      <c r="J267" s="26">
        <f>+E267+F267-G267+H267</f>
        <v/>
      </c>
      <c r="K267" s="26" t="n"/>
      <c r="L267" s="110" t="n"/>
    </row>
    <row r="268" hidden="1" ht="15" customHeight="1" s="219">
      <c r="A268" s="208" t="inlineStr">
        <is>
          <t>PM</t>
        </is>
      </c>
      <c r="B268" s="37" t="n">
        <v>69772138</v>
      </c>
      <c r="C268" s="38" t="inlineStr">
        <is>
          <t>LAMI KN CHICK CURRY 15G RMC 2022 NEW ULCL</t>
        </is>
      </c>
      <c r="D268" s="211" t="inlineStr">
        <is>
          <t>EA</t>
        </is>
      </c>
      <c r="E268" s="212" t="n"/>
      <c r="F268" s="28" t="n"/>
      <c r="G268" s="212" t="n"/>
      <c r="H268" s="191" t="n"/>
      <c r="I268" s="35" t="n"/>
      <c r="J268" s="26">
        <f>+E268+F268-G268+H268</f>
        <v/>
      </c>
      <c r="K268" s="26" t="n"/>
      <c r="L268" s="217" t="n">
        <v>3719</v>
      </c>
    </row>
    <row r="269">
      <c r="A269" s="208" t="inlineStr">
        <is>
          <t>PM</t>
        </is>
      </c>
      <c r="B269" s="37" t="n">
        <v>64872133</v>
      </c>
      <c r="C269" s="38" t="inlineStr">
        <is>
          <t>LAMI KN CHICK CURRY 15G REG2024</t>
        </is>
      </c>
      <c r="D269" s="211" t="inlineStr">
        <is>
          <t>EA</t>
        </is>
      </c>
      <c r="E269" s="212">
        <f>2*7692+5287</f>
        <v/>
      </c>
      <c r="F269" s="28" t="n"/>
      <c r="G269" s="212" t="n"/>
      <c r="H269" s="39" t="n"/>
      <c r="I269" s="35" t="n"/>
      <c r="J269" s="26">
        <f>+E269+F269-G269+H269</f>
        <v/>
      </c>
      <c r="K269" s="26" t="n"/>
      <c r="L269" s="217" t="n"/>
    </row>
    <row r="270">
      <c r="A270" s="208" t="inlineStr">
        <is>
          <t>PM</t>
        </is>
      </c>
      <c r="B270" s="37" t="n">
        <v>69772133</v>
      </c>
      <c r="C270" s="38" t="inlineStr">
        <is>
          <t>CRT KN CHICK CURRY 15G X 24 NEW ULCL</t>
        </is>
      </c>
      <c r="D270" s="211" t="inlineStr">
        <is>
          <t>EA</t>
        </is>
      </c>
      <c r="E270" s="212" t="n"/>
      <c r="F270" s="28" t="n"/>
      <c r="G270" s="212" t="n"/>
      <c r="H270" s="39" t="n"/>
      <c r="I270" s="35" t="n"/>
      <c r="J270" s="26">
        <f>+E270+F270-G270+H270</f>
        <v/>
      </c>
      <c r="K270" s="26" t="n"/>
      <c r="L270" s="217" t="n"/>
    </row>
    <row r="271">
      <c r="A271" s="208" t="inlineStr">
        <is>
          <t>PM</t>
        </is>
      </c>
      <c r="B271" s="37" t="n">
        <v>68794556</v>
      </c>
      <c r="C271" s="38" t="inlineStr">
        <is>
          <t>CRT KN CHICK CURRY 15G X 24 RMC 2021</t>
        </is>
      </c>
      <c r="D271" s="211" t="inlineStr">
        <is>
          <t>EA</t>
        </is>
      </c>
      <c r="E271" s="212" t="n">
        <v>184</v>
      </c>
      <c r="F271" s="28" t="n"/>
      <c r="G271" s="212" t="n"/>
      <c r="H271" s="39" t="n"/>
      <c r="I271" s="35" t="n"/>
      <c r="J271" s="26">
        <f>+E271+F271-G271+H271</f>
        <v/>
      </c>
      <c r="K271" s="26" t="n"/>
      <c r="L271" s="217" t="n"/>
    </row>
    <row r="272" ht="15" customFormat="1" customHeight="1" s="192">
      <c r="A272" s="125" t="inlineStr">
        <is>
          <t>FG</t>
        </is>
      </c>
      <c r="B272" s="153" t="n">
        <v>94010567</v>
      </c>
      <c r="C272" s="127" t="inlineStr">
        <is>
          <t>Knor Biriyani Mix 20g MT</t>
        </is>
      </c>
      <c r="D272" s="128" t="n"/>
      <c r="E272" s="131" t="n"/>
      <c r="F272" s="130" t="n"/>
      <c r="G272" s="131" t="n"/>
      <c r="H272" s="132" t="n"/>
      <c r="I272" s="140" t="n"/>
      <c r="J272" s="26">
        <f>+E272+F272-G272+H272</f>
        <v/>
      </c>
      <c r="K272" s="134" t="n"/>
      <c r="L272" s="135" t="n"/>
    </row>
    <row r="273">
      <c r="A273" s="208" t="inlineStr">
        <is>
          <t>PM</t>
        </is>
      </c>
      <c r="B273" s="37" t="n">
        <v>69772135</v>
      </c>
      <c r="C273" s="38" t="inlineStr">
        <is>
          <t>CLD KN BIRIYANI 20G X 144 RMC 2021</t>
        </is>
      </c>
      <c r="D273" s="211" t="inlineStr">
        <is>
          <t>EA</t>
        </is>
      </c>
      <c r="E273" s="212" t="n">
        <v>575</v>
      </c>
      <c r="F273" s="28" t="n"/>
      <c r="G273" s="212" t="n"/>
      <c r="H273" s="39" t="n"/>
      <c r="I273" s="35" t="n"/>
      <c r="J273" s="26">
        <f>+E273+F273-G273+H273</f>
        <v/>
      </c>
      <c r="K273" s="26" t="n"/>
      <c r="L273" s="217" t="n"/>
    </row>
    <row r="274" hidden="1" ht="15" customHeight="1" s="219">
      <c r="A274" s="208" t="inlineStr">
        <is>
          <t>PM</t>
        </is>
      </c>
      <c r="B274" s="37" t="n">
        <v>64872141</v>
      </c>
      <c r="C274" s="38" t="inlineStr">
        <is>
          <t>LAMI KN BIRYANI 20G REG2024</t>
        </is>
      </c>
      <c r="D274" s="211" t="inlineStr">
        <is>
          <t>EA</t>
        </is>
      </c>
      <c r="E274" s="193" t="n"/>
      <c r="F274" s="28" t="n"/>
      <c r="G274" s="212" t="n"/>
      <c r="H274" s="35" t="n"/>
      <c r="I274" s="35" t="n"/>
      <c r="J274" s="26">
        <f>+E274+F274-G274+H274</f>
        <v/>
      </c>
      <c r="K274" s="26" t="n"/>
      <c r="L274" s="217" t="n"/>
    </row>
    <row r="275" ht="16.5" customHeight="1" s="219">
      <c r="A275" s="208" t="inlineStr">
        <is>
          <t>PM</t>
        </is>
      </c>
      <c r="B275" s="194" t="inlineStr">
        <is>
          <t>64872141</t>
        </is>
      </c>
      <c r="C275" s="38" t="inlineStr">
        <is>
          <t>LAMI KN BIRYANI 20G RMC 2021 NEW ULCL</t>
        </is>
      </c>
      <c r="D275" s="211" t="inlineStr">
        <is>
          <t>EA</t>
        </is>
      </c>
      <c r="E275" s="212">
        <f>3*7692</f>
        <v/>
      </c>
      <c r="F275" s="28" t="n"/>
      <c r="G275" s="212" t="n"/>
      <c r="H275" s="191" t="n"/>
      <c r="I275" s="35" t="n"/>
      <c r="J275" s="26">
        <f>+E275+F275-G275+H275</f>
        <v/>
      </c>
      <c r="K275" s="26" t="n">
        <v>7692</v>
      </c>
      <c r="L275" s="217" t="n"/>
    </row>
    <row r="276">
      <c r="A276" s="208" t="inlineStr">
        <is>
          <t>PM</t>
        </is>
      </c>
      <c r="B276" s="37" t="n">
        <v>69772139</v>
      </c>
      <c r="C276" s="38" t="inlineStr">
        <is>
          <t>CRT KN BIRIYANI 20G X 24 NEW ULCL</t>
        </is>
      </c>
      <c r="D276" s="211" t="inlineStr">
        <is>
          <t>EA</t>
        </is>
      </c>
      <c r="E276" s="212" t="n">
        <v>600</v>
      </c>
      <c r="F276" s="28" t="n"/>
      <c r="G276" s="212" t="n"/>
      <c r="H276" s="39" t="n"/>
      <c r="I276" s="35" t="n"/>
      <c r="J276" s="26">
        <f>+E276+F276-G276+H276</f>
        <v/>
      </c>
      <c r="K276" s="26" t="n"/>
      <c r="L276" s="217" t="n"/>
    </row>
    <row r="277" ht="15" customHeight="1" s="219">
      <c r="A277" s="51" t="inlineStr">
        <is>
          <t>FG</t>
        </is>
      </c>
      <c r="B277" s="104" t="n">
        <v>94010495</v>
      </c>
      <c r="C277" s="105" t="inlineStr">
        <is>
          <t>Knorr Maldive Fish Powder Mix 40g</t>
        </is>
      </c>
      <c r="D277" s="90" t="n"/>
      <c r="E277" s="91" t="n"/>
      <c r="F277" s="56" t="n"/>
      <c r="G277" s="55" t="n"/>
      <c r="H277" s="92" t="n"/>
      <c r="I277" s="57" t="n"/>
      <c r="J277" s="26">
        <f>+E277+F277-G277+H277</f>
        <v/>
      </c>
      <c r="K277" s="58" t="n"/>
      <c r="L277" s="59" t="n"/>
    </row>
    <row r="278">
      <c r="A278" s="208" t="inlineStr">
        <is>
          <t>PM</t>
        </is>
      </c>
      <c r="B278" s="37" t="n">
        <v>69772141</v>
      </c>
      <c r="C278" s="38" t="inlineStr">
        <is>
          <t>CLD DT KMF 40G X 12 NEW ULCL</t>
        </is>
      </c>
      <c r="D278" s="211" t="inlineStr">
        <is>
          <t>EA</t>
        </is>
      </c>
      <c r="E278" s="31">
        <f>25+7</f>
        <v/>
      </c>
      <c r="F278" s="213" t="n"/>
      <c r="G278" s="214" t="n"/>
      <c r="H278" s="39" t="n"/>
      <c r="I278" s="111" t="n"/>
      <c r="J278" s="26">
        <f>+E278+F278-G278+H278</f>
        <v/>
      </c>
      <c r="K278" s="195" t="n"/>
      <c r="L278" s="217" t="n"/>
    </row>
    <row r="279">
      <c r="A279" s="208" t="inlineStr">
        <is>
          <t>PM</t>
        </is>
      </c>
      <c r="B279" s="37" t="n">
        <v>69772134</v>
      </c>
      <c r="C279" s="38" t="inlineStr">
        <is>
          <t>LAMI KMF 40G NEW ULCL</t>
        </is>
      </c>
      <c r="D279" s="211" t="inlineStr">
        <is>
          <t>EA</t>
        </is>
      </c>
      <c r="E279" s="31" t="n">
        <v>3222</v>
      </c>
      <c r="F279" s="28" t="n"/>
      <c r="G279" s="212" t="n"/>
      <c r="H279" s="39" t="n"/>
      <c r="I279" s="35" t="n"/>
      <c r="J279" s="26">
        <f>+E279+F279-G279+H279</f>
        <v/>
      </c>
      <c r="K279" s="26" t="n"/>
      <c r="L279" s="217" t="n"/>
    </row>
    <row r="280">
      <c r="A280" s="208" t="inlineStr">
        <is>
          <t>PM</t>
        </is>
      </c>
      <c r="B280" s="37" t="n">
        <v>64872142</v>
      </c>
      <c r="C280" s="38" t="inlineStr">
        <is>
          <t>CART KMF 40G REG2024</t>
        </is>
      </c>
      <c r="D280" s="211" t="inlineStr">
        <is>
          <t>EA</t>
        </is>
      </c>
      <c r="E280" s="31">
        <f>49+600*5+600</f>
        <v/>
      </c>
      <c r="F280" s="28" t="n"/>
      <c r="G280" s="212" t="n"/>
      <c r="H280" s="39" t="n"/>
      <c r="I280" s="39" t="n"/>
      <c r="J280" s="26">
        <f>+E280+F280-G280+H280</f>
        <v/>
      </c>
      <c r="K280" s="26" t="n"/>
      <c r="L280" s="217" t="n"/>
    </row>
    <row r="281" hidden="1" ht="15.75" customHeight="1" s="219" thickBot="1">
      <c r="A281" s="196" t="inlineStr">
        <is>
          <t>PM</t>
        </is>
      </c>
      <c r="B281" s="197" t="n">
        <v>69772130</v>
      </c>
      <c r="C281" s="198" t="inlineStr">
        <is>
          <t>CART KMF 40G RMC 2021</t>
        </is>
      </c>
      <c r="D281" s="199" t="inlineStr">
        <is>
          <t>EA</t>
        </is>
      </c>
      <c r="E281" s="200" t="n"/>
      <c r="F281" s="201" t="n"/>
      <c r="G281" s="202" t="n"/>
      <c r="H281" s="81" t="n"/>
      <c r="I281" s="203" t="n"/>
      <c r="J281" s="26">
        <f>+E281+F281+G281+H281+I281</f>
        <v/>
      </c>
      <c r="K281" s="204">
        <f>102+243</f>
        <v/>
      </c>
      <c r="L281" s="205" t="n"/>
    </row>
    <row r="283">
      <c r="J283" s="78" t="n"/>
    </row>
    <row r="535" customFormat="1" s="122">
      <c r="B535" s="206" t="n"/>
      <c r="C535" s="207" t="n"/>
      <c r="E535" s="206" t="n"/>
      <c r="F535" s="206" t="n"/>
      <c r="G535" s="206" t="n"/>
      <c r="J535" s="122" t="n">
        <v>2.4</v>
      </c>
    </row>
    <row r="538">
      <c r="J538" t="n">
        <v>1551</v>
      </c>
    </row>
    <row r="540">
      <c r="J540" t="n">
        <v>137</v>
      </c>
    </row>
    <row r="551">
      <c r="J551" t="n">
        <v>335</v>
      </c>
    </row>
    <row r="559">
      <c r="J559" t="n">
        <v>9.56</v>
      </c>
    </row>
  </sheetData>
  <conditionalFormatting sqref="B55">
    <cfRule type="duplicateValues" priority="12" dxfId="0"/>
  </conditionalFormatting>
  <conditionalFormatting sqref="B56">
    <cfRule type="duplicateValues" priority="9" dxfId="0"/>
  </conditionalFormatting>
  <conditionalFormatting sqref="B65">
    <cfRule type="duplicateValues" priority="3" dxfId="0"/>
  </conditionalFormatting>
  <conditionalFormatting sqref="B131">
    <cfRule type="duplicateValues" priority="5" dxfId="0"/>
  </conditionalFormatting>
  <conditionalFormatting sqref="B136">
    <cfRule type="duplicateValues" priority="17" dxfId="0"/>
  </conditionalFormatting>
  <conditionalFormatting sqref="B139:B140 B142:B144">
    <cfRule type="duplicateValues" priority="18" dxfId="0"/>
  </conditionalFormatting>
  <conditionalFormatting sqref="B147">
    <cfRule type="duplicateValues" priority="11" dxfId="0"/>
  </conditionalFormatting>
  <conditionalFormatting sqref="B263:B264">
    <cfRule type="duplicateValues" priority="1" dxfId="0"/>
  </conditionalFormatting>
  <conditionalFormatting sqref="B222:C222 B238:C238 B251:C251 C241:C247 C249:C250 C273:C27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duplicateValues" priority="14" dxfId="4" stopIfTrue="1"/>
    <cfRule type="duplicateValues" priority="15" dxfId="4" stopIfTrue="1"/>
  </conditionalFormatting>
  <conditionalFormatting sqref="C55">
    <cfRule type="duplicateValues" priority="13" dxfId="0"/>
  </conditionalFormatting>
  <conditionalFormatting sqref="C65">
    <cfRule type="duplicateValues" priority="4" dxfId="0"/>
  </conditionalFormatting>
  <conditionalFormatting sqref="C88:C89">
    <cfRule type="duplicateValues" priority="2" dxfId="0"/>
  </conditionalFormatting>
  <conditionalFormatting sqref="C131">
    <cfRule type="duplicateValues" priority="6" dxfId="0"/>
  </conditionalFormatting>
  <conditionalFormatting sqref="C13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K18" sqref="K18"/>
    </sheetView>
  </sheetViews>
  <sheetFormatPr baseColWidth="8" defaultRowHeight="14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Stores, RMCCube</dc:creator>
  <dcterms:created xsi:type="dcterms:W3CDTF">2025-07-14T06:29:12Z</dcterms:created>
  <dcterms:modified xsi:type="dcterms:W3CDTF">2025-07-26T08:00:50Z</dcterms:modified>
  <cp:lastModifiedBy>yomal lakshan</cp:lastModifiedBy>
</cp:coreProperties>
</file>