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6B09AE4E-DE62-42CF-B39E-39C64F59C145}" xr6:coauthVersionLast="47" xr6:coauthVersionMax="47" xr10:uidLastSave="{00000000-0000-0000-0000-000000000000}"/>
  <bookViews>
    <workbookView xWindow="3435" yWindow="1890" windowWidth="21600" windowHeight="11385" xr2:uid="{DF945CE5-B9E6-4083-92E1-945D04839B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J3" i="1"/>
  <c r="J7" i="1"/>
  <c r="J8" i="1"/>
  <c r="J12" i="1"/>
  <c r="J13" i="1"/>
  <c r="J14" i="1"/>
  <c r="J16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2" i="1"/>
  <c r="J53" i="1"/>
  <c r="J54" i="1"/>
  <c r="J57" i="1"/>
  <c r="J59" i="1"/>
  <c r="J60" i="1"/>
  <c r="J61" i="1"/>
  <c r="J63" i="1"/>
  <c r="J65" i="1"/>
  <c r="J67" i="1"/>
  <c r="J69" i="1"/>
  <c r="J71" i="1"/>
  <c r="J72" i="1"/>
  <c r="J73" i="1"/>
  <c r="J74" i="1"/>
  <c r="J75" i="1"/>
  <c r="J76" i="1"/>
  <c r="J77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9" i="1"/>
  <c r="J100" i="1"/>
  <c r="J101" i="1"/>
  <c r="J102" i="1"/>
  <c r="J103" i="1"/>
  <c r="J105" i="1"/>
  <c r="J107" i="1"/>
  <c r="J109" i="1"/>
  <c r="J111" i="1"/>
  <c r="J112" i="1"/>
  <c r="J113" i="1"/>
  <c r="J114" i="1"/>
  <c r="J115" i="1"/>
  <c r="J116" i="1"/>
  <c r="J117" i="1"/>
  <c r="J119" i="1"/>
  <c r="J120" i="1"/>
  <c r="J121" i="1"/>
  <c r="J124" i="1"/>
  <c r="J125" i="1"/>
  <c r="J126" i="1"/>
  <c r="J128" i="1"/>
  <c r="J131" i="1"/>
  <c r="J132" i="1"/>
  <c r="J133" i="1"/>
  <c r="J136" i="1"/>
  <c r="J137" i="1"/>
  <c r="J138" i="1"/>
  <c r="J139" i="1"/>
  <c r="J140" i="1"/>
  <c r="J141" i="1"/>
  <c r="J142" i="1"/>
  <c r="J143" i="1"/>
  <c r="J144" i="1"/>
  <c r="J145" i="1"/>
  <c r="J148" i="1"/>
  <c r="J149" i="1"/>
  <c r="J150" i="1"/>
  <c r="J151" i="1"/>
  <c r="J152" i="1"/>
  <c r="J153" i="1"/>
  <c r="J154" i="1"/>
  <c r="J155" i="1"/>
  <c r="J156" i="1"/>
  <c r="J160" i="1"/>
  <c r="J161" i="1"/>
  <c r="J162" i="1"/>
  <c r="J163" i="1"/>
  <c r="J164" i="1"/>
  <c r="J165" i="1"/>
  <c r="J166" i="1"/>
  <c r="J167" i="1"/>
  <c r="J168" i="1"/>
  <c r="J169" i="1"/>
  <c r="J171" i="1"/>
  <c r="J173" i="1"/>
  <c r="J175" i="1"/>
  <c r="J176" i="1"/>
  <c r="J177" i="1"/>
  <c r="J179" i="1"/>
  <c r="J180" i="1"/>
  <c r="J184" i="1"/>
  <c r="J185" i="1"/>
  <c r="J186" i="1"/>
  <c r="J187" i="1"/>
  <c r="J189" i="1"/>
  <c r="J191" i="1"/>
  <c r="J192" i="1"/>
  <c r="J193" i="1"/>
  <c r="J197" i="1"/>
  <c r="J198" i="1"/>
  <c r="J199" i="1"/>
  <c r="J200" i="1"/>
  <c r="J201" i="1"/>
  <c r="J205" i="1"/>
  <c r="J207" i="1"/>
  <c r="J208" i="1"/>
  <c r="J209" i="1"/>
  <c r="J210" i="1"/>
  <c r="J212" i="1"/>
  <c r="J213" i="1"/>
  <c r="J215" i="1"/>
  <c r="J216" i="1"/>
  <c r="J217" i="1"/>
  <c r="J219" i="1"/>
  <c r="J220" i="1"/>
  <c r="J221" i="1"/>
  <c r="J222" i="1"/>
  <c r="J224" i="1"/>
  <c r="J225" i="1"/>
  <c r="J226" i="1"/>
  <c r="J227" i="1"/>
  <c r="J229" i="1"/>
  <c r="J230" i="1"/>
  <c r="J232" i="1"/>
  <c r="J233" i="1"/>
  <c r="J236" i="1"/>
  <c r="J237" i="1"/>
  <c r="J238" i="1"/>
  <c r="J241" i="1"/>
  <c r="J242" i="1"/>
  <c r="J243" i="1"/>
  <c r="J245" i="1"/>
  <c r="J246" i="1"/>
  <c r="J247" i="1"/>
  <c r="J248" i="1"/>
  <c r="J249" i="1"/>
  <c r="J250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7" i="1"/>
  <c r="J2" i="1"/>
  <c r="K281" i="1"/>
  <c r="J279" i="1"/>
  <c r="E278" i="1"/>
  <c r="J278" i="1" s="1"/>
  <c r="E276" i="1"/>
  <c r="E273" i="1"/>
  <c r="E267" i="1"/>
  <c r="J267" i="1" s="1"/>
  <c r="E265" i="1"/>
  <c r="E264" i="1"/>
  <c r="E261" i="1"/>
  <c r="E260" i="1"/>
  <c r="J260" i="1" s="1"/>
  <c r="E259" i="1"/>
  <c r="E257" i="1"/>
  <c r="L256" i="1"/>
  <c r="K256" i="1"/>
  <c r="E253" i="1"/>
  <c r="E251" i="1"/>
  <c r="J251" i="1" s="1"/>
  <c r="E244" i="1"/>
  <c r="J244" i="1" s="1"/>
  <c r="E240" i="1"/>
  <c r="J240" i="1" s="1"/>
  <c r="K241" i="1"/>
  <c r="E239" i="1"/>
  <c r="J239" i="1" s="1"/>
  <c r="E235" i="1"/>
  <c r="J235" i="1" s="1"/>
  <c r="E234" i="1"/>
  <c r="J234" i="1" s="1"/>
  <c r="K234" i="1"/>
  <c r="E232" i="1"/>
  <c r="E231" i="1"/>
  <c r="J231" i="1" s="1"/>
  <c r="E228" i="1"/>
  <c r="J228" i="1" s="1"/>
  <c r="E224" i="1"/>
  <c r="E223" i="1"/>
  <c r="J223" i="1" s="1"/>
  <c r="K221" i="1"/>
  <c r="E218" i="1"/>
  <c r="J218" i="1" s="1"/>
  <c r="E214" i="1"/>
  <c r="J214" i="1" s="1"/>
  <c r="E213" i="1"/>
  <c r="E211" i="1"/>
  <c r="J211" i="1" s="1"/>
  <c r="E206" i="1"/>
  <c r="J206" i="1" s="1"/>
  <c r="L206" i="1"/>
  <c r="K206" i="1"/>
  <c r="E204" i="1"/>
  <c r="J204" i="1" s="1"/>
  <c r="E203" i="1"/>
  <c r="J203" i="1" s="1"/>
  <c r="E202" i="1"/>
  <c r="J202" i="1" s="1"/>
  <c r="E197" i="1"/>
  <c r="E196" i="1"/>
  <c r="J196" i="1" s="1"/>
  <c r="E195" i="1"/>
  <c r="J195" i="1" s="1"/>
  <c r="E194" i="1"/>
  <c r="J194" i="1" s="1"/>
  <c r="E190" i="1"/>
  <c r="J190" i="1" s="1"/>
  <c r="E189" i="1"/>
  <c r="E188" i="1"/>
  <c r="J188" i="1" s="1"/>
  <c r="E184" i="1"/>
  <c r="E183" i="1"/>
  <c r="J183" i="1" s="1"/>
  <c r="E182" i="1"/>
  <c r="J182" i="1" s="1"/>
  <c r="E181" i="1"/>
  <c r="J181" i="1" s="1"/>
  <c r="L182" i="1"/>
  <c r="E178" i="1"/>
  <c r="J178" i="1" s="1"/>
  <c r="E177" i="1"/>
  <c r="E174" i="1"/>
  <c r="J174" i="1" s="1"/>
  <c r="E173" i="1"/>
  <c r="K174" i="1"/>
  <c r="E172" i="1"/>
  <c r="J172" i="1" s="1"/>
  <c r="L173" i="1"/>
  <c r="E171" i="1"/>
  <c r="E170" i="1"/>
  <c r="J170" i="1" s="1"/>
  <c r="E159" i="1"/>
  <c r="J159" i="1" s="1"/>
  <c r="K160" i="1"/>
  <c r="E158" i="1"/>
  <c r="J158" i="1" s="1"/>
  <c r="L159" i="1"/>
  <c r="K159" i="1"/>
  <c r="E157" i="1"/>
  <c r="J157" i="1" s="1"/>
  <c r="E156" i="1"/>
  <c r="E148" i="1"/>
  <c r="E147" i="1"/>
  <c r="J147" i="1" s="1"/>
  <c r="E146" i="1"/>
  <c r="J146" i="1" s="1"/>
  <c r="K147" i="1"/>
  <c r="E145" i="1"/>
  <c r="L146" i="1"/>
  <c r="K146" i="1"/>
  <c r="E144" i="1"/>
  <c r="E136" i="1"/>
  <c r="E135" i="1"/>
  <c r="J135" i="1" s="1"/>
  <c r="E134" i="1"/>
  <c r="J134" i="1" s="1"/>
  <c r="E131" i="1"/>
  <c r="K132" i="1"/>
  <c r="E130" i="1"/>
  <c r="J130" i="1" s="1"/>
  <c r="E129" i="1"/>
  <c r="J129" i="1" s="1"/>
  <c r="E128" i="1"/>
  <c r="E127" i="1"/>
  <c r="J127" i="1" s="1"/>
  <c r="E123" i="1"/>
  <c r="J123" i="1" s="1"/>
  <c r="E122" i="1"/>
  <c r="J122" i="1" s="1"/>
  <c r="L123" i="1"/>
  <c r="E121" i="1"/>
  <c r="L120" i="1"/>
  <c r="E118" i="1"/>
  <c r="J118" i="1" s="1"/>
  <c r="E111" i="1"/>
  <c r="E110" i="1"/>
  <c r="J110" i="1" s="1"/>
  <c r="E109" i="1"/>
  <c r="E108" i="1"/>
  <c r="J108" i="1" s="1"/>
  <c r="E106" i="1"/>
  <c r="J106" i="1" s="1"/>
  <c r="E105" i="1"/>
  <c r="E104" i="1"/>
  <c r="J104" i="1" s="1"/>
  <c r="K105" i="1"/>
  <c r="K103" i="1"/>
  <c r="E101" i="1"/>
  <c r="L100" i="1"/>
  <c r="E98" i="1"/>
  <c r="J98" i="1" s="1"/>
  <c r="E97" i="1"/>
  <c r="K96" i="1"/>
  <c r="E94" i="1"/>
  <c r="J94" i="1" s="1"/>
  <c r="K95" i="1"/>
  <c r="K94" i="1"/>
  <c r="K91" i="1"/>
  <c r="K83" i="1"/>
  <c r="E81" i="1"/>
  <c r="J81" i="1" s="1"/>
  <c r="E78" i="1"/>
  <c r="J78" i="1" s="1"/>
  <c r="E72" i="1"/>
  <c r="E70" i="1"/>
  <c r="J70" i="1" s="1"/>
  <c r="E68" i="1"/>
  <c r="J68" i="1" s="1"/>
  <c r="E66" i="1"/>
  <c r="J66" i="1" s="1"/>
  <c r="E65" i="1"/>
  <c r="E64" i="1"/>
  <c r="J64" i="1" s="1"/>
  <c r="E62" i="1"/>
  <c r="J62" i="1" s="1"/>
  <c r="E58" i="1"/>
  <c r="J58" i="1" s="1"/>
  <c r="K59" i="1"/>
  <c r="E56" i="1"/>
  <c r="J56" i="1" s="1"/>
  <c r="E55" i="1"/>
  <c r="J55" i="1" s="1"/>
  <c r="E53" i="1"/>
  <c r="E51" i="1"/>
  <c r="J51" i="1" s="1"/>
  <c r="E50" i="1"/>
  <c r="J50" i="1" s="1"/>
  <c r="K51" i="1"/>
  <c r="E49" i="1"/>
  <c r="J49" i="1" s="1"/>
  <c r="L39" i="1"/>
  <c r="E32" i="1"/>
  <c r="E30" i="1"/>
  <c r="J30" i="1" s="1"/>
  <c r="L31" i="1"/>
  <c r="E29" i="1"/>
  <c r="J29" i="1" s="1"/>
  <c r="E28" i="1"/>
  <c r="K29" i="1"/>
  <c r="E19" i="1"/>
  <c r="E18" i="1"/>
  <c r="J18" i="1" s="1"/>
  <c r="E17" i="1"/>
  <c r="J17" i="1" s="1"/>
  <c r="E15" i="1"/>
  <c r="J15" i="1" s="1"/>
  <c r="E14" i="1"/>
  <c r="K14" i="1"/>
  <c r="E12" i="1"/>
  <c r="E11" i="1"/>
  <c r="J11" i="1" s="1"/>
  <c r="K12" i="1"/>
  <c r="E10" i="1"/>
  <c r="J10" i="1" s="1"/>
  <c r="E9" i="1"/>
  <c r="J9" i="1" s="1"/>
  <c r="K10" i="1"/>
  <c r="E8" i="1"/>
  <c r="K9" i="1"/>
  <c r="L8" i="1"/>
  <c r="E6" i="1"/>
  <c r="J6" i="1" s="1"/>
  <c r="E5" i="1"/>
  <c r="J5" i="1" s="1"/>
  <c r="L6" i="1"/>
  <c r="K6" i="1"/>
  <c r="E4" i="1"/>
  <c r="J4" i="1" s="1"/>
  <c r="K5" i="1"/>
  <c r="E3" i="1"/>
  <c r="K4" i="1"/>
</calcChain>
</file>

<file path=xl/sharedStrings.xml><?xml version="1.0" encoding="utf-8"?>
<sst xmlns="http://schemas.openxmlformats.org/spreadsheetml/2006/main" count="717" uniqueCount="261">
  <si>
    <t>Type</t>
  </si>
  <si>
    <t>Material Code</t>
  </si>
  <si>
    <t>Material Name</t>
  </si>
  <si>
    <t>UOM</t>
  </si>
  <si>
    <t>Op.Stock-Warehouse</t>
  </si>
  <si>
    <t>Useable Material Total Closing Stock</t>
  </si>
  <si>
    <t>Production Block</t>
  </si>
  <si>
    <t>Rejection</t>
  </si>
  <si>
    <t>RM</t>
  </si>
  <si>
    <t>SALT - FLOW</t>
  </si>
  <si>
    <t>KG</t>
  </si>
  <si>
    <t>WHITE SUGAR</t>
  </si>
  <si>
    <t>MONOSODIUM GLUTAMATE</t>
  </si>
  <si>
    <t>ONION POWDER</t>
  </si>
  <si>
    <t>CITRIC ACID MONOHYDRATE (FOOD GRADE)</t>
  </si>
  <si>
    <t>SPICE CELERY POWDER</t>
  </si>
  <si>
    <t>GARLIC POWDER</t>
  </si>
  <si>
    <t>WHITE PEPPER</t>
  </si>
  <si>
    <t>SPICE TURMERIC POWDER</t>
  </si>
  <si>
    <t>I+G SODIUM 5'RIBONUCLEOTID</t>
  </si>
  <si>
    <t>DRIED CORN STARCH 5% MOISTURE-SSL</t>
  </si>
  <si>
    <t>CORN STARCH - IMPORT</t>
  </si>
  <si>
    <t>YEAST EXTR. MICROGRANUL. STANDARD 18% SA</t>
  </si>
  <si>
    <t>SOYA SAUCE POWDER</t>
  </si>
  <si>
    <t>COOKED CHICKEN POWDER IDF</t>
  </si>
  <si>
    <t>FLAVOUR ULL4064H CHICKEN</t>
  </si>
  <si>
    <t>INFAT 50</t>
  </si>
  <si>
    <t>FRYTOL FAT (KNORR SOFT FAT)</t>
  </si>
  <si>
    <t>TURMERIC OLEORESIN</t>
  </si>
  <si>
    <t>SPICE OLEORESIN</t>
  </si>
  <si>
    <t>CURRY SPICE POWDER HL</t>
  </si>
  <si>
    <t>SALT (CITY SALT)</t>
  </si>
  <si>
    <t>SALT (WELLASSA)</t>
  </si>
  <si>
    <t>SALT (WIS)</t>
  </si>
  <si>
    <t>SALT (ST ANNE'S)</t>
  </si>
  <si>
    <t>DEHYDRATED MALDIVE FISH</t>
  </si>
  <si>
    <t>MALDIVE FISH POWDER</t>
  </si>
  <si>
    <t>SILICA PRECIPITATED</t>
  </si>
  <si>
    <t>PAPRIKA EXTRACT OIL SOLUBLE</t>
  </si>
  <si>
    <t>SPICE ROASTED CHILLI POWDER</t>
  </si>
  <si>
    <t>SMOKE FLAVOR 508386 TP0599</t>
  </si>
  <si>
    <t>MALTO DEXTRINE</t>
  </si>
  <si>
    <t>HUL SPICE MIX 790</t>
  </si>
  <si>
    <t>ROSE PETAL SD FLAVOR 452746</t>
  </si>
  <si>
    <t>FLAVOUR LEMONGRASS860662 TD0990B FIRMENI</t>
  </si>
  <si>
    <t>HIGH NUCLEOTIDE YEAST EXTRACT</t>
  </si>
  <si>
    <t>HUL SPICE MIX 821E</t>
  </si>
  <si>
    <t>OLEORESIN CHILI 4010000026</t>
  </si>
  <si>
    <t>BLACK PEPPER POWDER 32 MESH</t>
  </si>
  <si>
    <t>Tapioca Starch E1412 14% moisture (BIND T)</t>
  </si>
  <si>
    <t>Sodium bicarbonate,NaHCO3, food grade</t>
  </si>
  <si>
    <t>FG</t>
  </si>
  <si>
    <t>KN CHICK CUBE PC RMC (280gx10G)_0024</t>
  </si>
  <si>
    <t>PM</t>
  </si>
  <si>
    <t>LAMI KNORR CUBE 10G ALU FOIL 8 MIC-ALUMINIUM COIL</t>
  </si>
  <si>
    <t>M</t>
  </si>
  <si>
    <t>PLTUB KN CUBES PC PET NEW 280G-BOTTLE</t>
  </si>
  <si>
    <t>EA</t>
  </si>
  <si>
    <t>PLID KN CUBES PC PP 280G -LID</t>
  </si>
  <si>
    <t>64872135</t>
  </si>
  <si>
    <t>FLB KN CUBES PC 280G REG2024</t>
  </si>
  <si>
    <t>TAMPER LB KNORR CUBES PC 280G-SMALL STICKER</t>
  </si>
  <si>
    <t>CLD KN CUBES PC 280G X 24 RMC 2021 NEW ULCL</t>
  </si>
  <si>
    <t>PH PART KNORR CUBES 280G X 24-CLD SEPARATER</t>
  </si>
  <si>
    <t>LAYER SEP KNORR CUBES 280G X 24 -CLD SEPERATOR</t>
  </si>
  <si>
    <t>POLY /CLEAR 20 W 30 H 3 300G -GAUGE-POLYBAG</t>
  </si>
  <si>
    <t>FLEX USL BOPP TAPE 3 INCH 50M 3P</t>
  </si>
  <si>
    <t>FLEX USL BOPP TAPE 3 INCH 1000M 3P</t>
  </si>
  <si>
    <t>Handy Pack Chicken Cube 120G X 48</t>
  </si>
  <si>
    <t>PLTUB KN CUBES PC PET 102G-120G</t>
  </si>
  <si>
    <t>LBL KN CHICK CUBES PC 120G REG2024</t>
  </si>
  <si>
    <t>CLD KN CHICK CUBES PC 120G X 48 URMC</t>
  </si>
  <si>
    <t>PHOLE PART KN CUBES PC 102G-120G</t>
  </si>
  <si>
    <t xml:space="preserve">LASEP KN CUBES PC 102G-120G </t>
  </si>
  <si>
    <t xml:space="preserve">PLID KN CHICK CUBES PC 120G </t>
  </si>
  <si>
    <t>SFG WADED LID KNORR CUBES 96G-120G</t>
  </si>
  <si>
    <t>Press Cube</t>
  </si>
  <si>
    <t>CLD KN PRESS CUBES PC 96G X 40 URMC</t>
  </si>
  <si>
    <t>VER SEPARATOR KN CUBES PC 96G URMC</t>
  </si>
  <si>
    <t>LAYER SEP KN CUBES PC 96G URMC</t>
  </si>
  <si>
    <t>PLTUB KN PRESS CUBES PC PET 96G</t>
  </si>
  <si>
    <t>LBL KN PRESS CUBES PC 96G URMC</t>
  </si>
  <si>
    <t>Veg Curry cube (PC)</t>
  </si>
  <si>
    <t>PLTUB KN CUBES PC PET NEW 280G</t>
  </si>
  <si>
    <t>FLB KN VEG CUBES PC 238G NEW ULCL</t>
  </si>
  <si>
    <t>TAMPER LB KNORR CURRY CUBES PC 238G</t>
  </si>
  <si>
    <t>CLD KN VEG CUBES PC 238G X 24 NEW ULCL</t>
  </si>
  <si>
    <t>PLID KN VEG CUBES PC 238G</t>
  </si>
  <si>
    <t>Knorr Seasoning Handy Pack MT x 120g</t>
  </si>
  <si>
    <t>CLD KN CHICK CUBES PC 120G X 24 MT URMC</t>
  </si>
  <si>
    <t>PHOLE PART KN CUBES PC 120G X 24 MT</t>
  </si>
  <si>
    <t>LASEP KN CUBES PC 120G X 24 MT</t>
  </si>
  <si>
    <t>CHICK CUBES VD RMC (2 x 10G)</t>
  </si>
  <si>
    <t>CART KN CUBE SHELL BOX 20G RMC 2022 NEW ULCL</t>
  </si>
  <si>
    <t>CART KN CUBE SHELL BOX 20G REG2024</t>
  </si>
  <si>
    <t>GUM/CHEMIFIX (W)- 4KG</t>
  </si>
  <si>
    <t>BOPP OVER WRAP FOR SHELL BOX - 30MICRONS</t>
  </si>
  <si>
    <t>CART KN CUBE VD 20GX15 RMC 2022 NEW ULCL</t>
  </si>
  <si>
    <t>CART KN CUBE VD 20GX15 REG2024</t>
  </si>
  <si>
    <t>CLD KN CUBES VD 20G X 360 NEW ULCL</t>
  </si>
  <si>
    <t>Knorr Chicken Single Cube 10G (Strand)</t>
  </si>
  <si>
    <t>CLD KN CHICK CUBES 10G X 576 RMC</t>
  </si>
  <si>
    <t>LAMI KNORR CUBES 10G FLOW WRAP RMC 2022</t>
  </si>
  <si>
    <t>CHICK CUBES P/P RMC 60GM_0096</t>
  </si>
  <si>
    <t>FLEX BOPP OVERWRAPPER 60G 30MIC</t>
  </si>
  <si>
    <t>CART KN CUBES P/P 60G RMC 2022</t>
  </si>
  <si>
    <t>CART KN CUBES P/P 60G REG2024</t>
  </si>
  <si>
    <t xml:space="preserve">LAYSEP KN PANTRY PACK 60g x 96 </t>
  </si>
  <si>
    <t>PAD PART KN PANTRY PACK 60g x 96</t>
  </si>
  <si>
    <t>CLD KN CUBE P/P 60g x 96 NEW ULCL</t>
  </si>
  <si>
    <t>CHICK CUBES P/P RMC 60GM_0096 - EXPORT</t>
  </si>
  <si>
    <t>FLEX BOPP OVERWRAPPER 60G 30MIC (Export)</t>
  </si>
  <si>
    <t>LAYSEP KN PANTRY PACK 60g x 96  (Export)</t>
  </si>
  <si>
    <t>CLD KN CUBE P/P 60g x 96 RMC 2021 (Export)</t>
  </si>
  <si>
    <t>CART KN CUBES 60G EXPORT RMC 2022 V2</t>
  </si>
  <si>
    <t>94010258  </t>
  </si>
  <si>
    <t>Knorr Single Cube 280g (Carton)</t>
  </si>
  <si>
    <t>CRPART REV KN CUBES 10G X 28 X 24</t>
  </si>
  <si>
    <t>PADPART REV KN CUBES 10G X 28 X 24</t>
  </si>
  <si>
    <t>CLD KN CUBES 280G X 24 RMC 2021</t>
  </si>
  <si>
    <t>CART KN CUBES 10G X 28 RMC 2021</t>
  </si>
  <si>
    <t>TAMPER LB ARARAT KN CUBES 10G X 28</t>
  </si>
  <si>
    <t>KN CHICK CUBE CARTON (10g x 15)</t>
  </si>
  <si>
    <t>CART KN CUBES 10G X 15 RMC 2022</t>
  </si>
  <si>
    <t xml:space="preserve">CRPART KNORR CUBES 150G X 24 </t>
  </si>
  <si>
    <t xml:space="preserve">PART KNORR CUBES 150G X 24 </t>
  </si>
  <si>
    <t>CLD KN CUBES 150G X 24 RMC 2022</t>
  </si>
  <si>
    <t>KNORR VEG CURRY CUBE 20G</t>
  </si>
  <si>
    <t>CART KN CUBE VD 17GX15 NEW ULCL</t>
  </si>
  <si>
    <t>CLD KN CUBE VD 17GX15 NEW ULCL</t>
  </si>
  <si>
    <t xml:space="preserve">LAMI KN CUBE 8.5G WRAPPER </t>
  </si>
  <si>
    <t>CART KN VEG CUBE SHELL BOX 17G NEW ULCL</t>
  </si>
  <si>
    <t>FLEX BOPP OVERWRAPPER 17G 30MIC</t>
  </si>
  <si>
    <t xml:space="preserve">KN CSP Pouch 500g </t>
  </si>
  <si>
    <t xml:space="preserve">LAMI POUCH KN UFS CSP 500G </t>
  </si>
  <si>
    <t xml:space="preserve">CRPART KN UFS CSP 500G POUCH X 24 </t>
  </si>
  <si>
    <t>LASEP KN UFS CSP 500G POUCH X 24</t>
  </si>
  <si>
    <t>CLD KN UFS CSP 500G POUCH PACK  NEW ULCL</t>
  </si>
  <si>
    <t>Knor Chick Flavd Ssoning Powder500gx24FS</t>
  </si>
  <si>
    <t>CLD KN CSP 500G X 24 REG2024</t>
  </si>
  <si>
    <t>SFG LBTUB CSP 500G X 24 REG2024</t>
  </si>
  <si>
    <t>MARMITE SMALL 50G</t>
  </si>
  <si>
    <t xml:space="preserve">MARMITE BULK </t>
  </si>
  <si>
    <t xml:space="preserve">BOTTLE GLASS MARMITE 50G TAMPER 2021 </t>
  </si>
  <si>
    <t>PLID MARMITE 50G TAMPER 2021</t>
  </si>
  <si>
    <t xml:space="preserve">FLB MARMITE 55GX60 628/2014/USLL RELAUNCH 2014   </t>
  </si>
  <si>
    <t>CRT MARMITE 50G URMC 2021 NEW ULCL</t>
  </si>
  <si>
    <t>CLD MARMITE 50G X 60 URMC 2021 NEW ULCL</t>
  </si>
  <si>
    <t>CLD MARMITE 50G X 60 AVURUDU 2025</t>
  </si>
  <si>
    <t>FLB MARMITE 50G AVURUDU 2025</t>
  </si>
  <si>
    <t>CRT MARMITE 50G AVURUDU 2025</t>
  </si>
  <si>
    <t>Marmite Yeast Extract 100g</t>
  </si>
  <si>
    <t>CLD MARMITE 100G X 48 URMC 2021 New Ulcl</t>
  </si>
  <si>
    <t>BOTTLE GLASS MARMITE 100G TAMPER 2021</t>
  </si>
  <si>
    <t>PLID MARMITE 100G TAMPER 2021</t>
  </si>
  <si>
    <t>FLB MARMITE 105G RELAUNCH 2014</t>
  </si>
  <si>
    <t>CRT MARMITE 100G URMC 2021</t>
  </si>
  <si>
    <t>CLD MARMITE 100G X 48 AVURUDU 2025</t>
  </si>
  <si>
    <t>FLB MARMITE 100G AVURUDU 2025</t>
  </si>
  <si>
    <t>CRT MARMITE 100G AVURUDU 2025</t>
  </si>
  <si>
    <t>CRT MARMITE 100G URMC 2021 OLD DESIGN</t>
  </si>
  <si>
    <t>CLD MARMITE 100G X 48 URMC 2021</t>
  </si>
  <si>
    <t>Marmite Yeast Extract 200g</t>
  </si>
  <si>
    <t>CLD MARMITE 200G X 36 URMC 2021 NEW ULCL</t>
  </si>
  <si>
    <t>BOTTLE GLASS MARMITE 200G TAMPER 2021</t>
  </si>
  <si>
    <t>PLID MARMITE 200G TAMPER 2021</t>
  </si>
  <si>
    <t>FLB MARMITE 210GX36 RELAUNCH 2014</t>
  </si>
  <si>
    <t>CRT MARMITE 200G URMC 2021</t>
  </si>
  <si>
    <t>CLD MARMITE 200G X 36 URMC 2021</t>
  </si>
  <si>
    <t>Marmite Batta 20g_0144</t>
  </si>
  <si>
    <t>LAMI SPOUT POUCH MARMITE 20G MINI 2022</t>
  </si>
  <si>
    <t>LID SPOUT POUCH MARMITE MINI 20G</t>
  </si>
  <si>
    <t xml:space="preserve">CART SR MARMITE MINI REV 20G X 12 </t>
  </si>
  <si>
    <t>CLD MARMITE MINI REV 20G X 144</t>
  </si>
  <si>
    <t>LASEP MARMITE MINI 20G X 144</t>
  </si>
  <si>
    <t>Marmite Yeast Extract 200g EXPORT</t>
  </si>
  <si>
    <t>CLD MARMITE 200G X 12 NEW ULCL</t>
  </si>
  <si>
    <t>CLD MARMITE 200G X 12 NEW ULCL AW 2024</t>
  </si>
  <si>
    <t>PHOLE PART MARMITE 200G X 12 EXPORT UI</t>
  </si>
  <si>
    <t>FLB MARMITE 200G EXPORT UI</t>
  </si>
  <si>
    <t>BLB MARMITE 200G EXPORT UI AW 2024</t>
  </si>
  <si>
    <t>Marmite Yeast Extract 100g EXPORT</t>
  </si>
  <si>
    <t>CLD MARMITE 100G X 24 EXPORT UI AW 2024</t>
  </si>
  <si>
    <t>PHOLE PART MARMITE100G X 24 EXPORT UI</t>
  </si>
  <si>
    <t>LASEP MARMITE 100G X 24 EXPORT UI</t>
  </si>
  <si>
    <t>FLB MARMITE 100G EXPORT UI</t>
  </si>
  <si>
    <t>BLB MARMITE 100G EXPORT UI</t>
  </si>
  <si>
    <t>BLB MARMITE 100G EXPORT UI AW 2024</t>
  </si>
  <si>
    <t>Marmite Yeast Extract 410g EXPORT</t>
  </si>
  <si>
    <t>CLD MARMITE 410G X 6 EX UI AW 2024</t>
  </si>
  <si>
    <t xml:space="preserve"> HOLE PART MARMITE 410G X 6 EXPORT UI</t>
  </si>
  <si>
    <t>BOTTLE GLASS MARMITE410G EXPORT UI</t>
  </si>
  <si>
    <t>PLID MARMITE 410G EXPORT UI</t>
  </si>
  <si>
    <t>FLB MARMITE 410G EXPORT UI</t>
  </si>
  <si>
    <t>BLB MARMITE 410G EXPORT UI AW 2024</t>
  </si>
  <si>
    <t>TAMPER LBL MARMITE 410G EX UI AW 2024</t>
  </si>
  <si>
    <t>MARMITE OUR MATE 200g Ex</t>
  </si>
  <si>
    <t>CLD OUR MATE 200G X 12 NEW ULCL</t>
  </si>
  <si>
    <t xml:space="preserve"> ID LBL OUR MATE 200G EXPORT UI</t>
  </si>
  <si>
    <t>PLID OUR MATE 200G EXPORT</t>
  </si>
  <si>
    <t>FLB OUR MATE 200G EXPORT UI</t>
  </si>
  <si>
    <t>BLB OUR MATE 200G EXPORT UI</t>
  </si>
  <si>
    <t>Knorr Maldive Fish Powder Mix 8g</t>
  </si>
  <si>
    <t>CLD KMF GT 8G X 576 RMC 2021 NEW ULCL</t>
  </si>
  <si>
    <t>LAMI KMF 8G REG2024</t>
  </si>
  <si>
    <t>KN Chicken Seasoning Pw 7.5g x 576</t>
  </si>
  <si>
    <t>LAMI KNORR SEASONING 7.5G NEW ULCL</t>
  </si>
  <si>
    <t>CLD KNORR SEASONING 7.5G X 576 NEW ULCL</t>
  </si>
  <si>
    <t>LAMI SEASONING POWDER 7.5G REG2024</t>
  </si>
  <si>
    <t>Crispy-FS x 1kg x 6</t>
  </si>
  <si>
    <t>CLD KN CRISPY COATING 1KG X 6 ULCL</t>
  </si>
  <si>
    <t>SFG LBTUB CRISPY COATING 1KG ULCL</t>
  </si>
  <si>
    <t>Knor Chicken Ssoning Pw 1 kg ULCL-FS</t>
  </si>
  <si>
    <t>CLD KN CSP BUTTERFLY URMC 1KG X 6</t>
  </si>
  <si>
    <t>6001-TUB 1KG</t>
  </si>
  <si>
    <t>SFG LBTUB CSP BUTTERFLY 1KG REG2024</t>
  </si>
  <si>
    <t>PLID UFS KN CSP 1KG</t>
  </si>
  <si>
    <t>FLEX BAG UFS KN CSP 1KG</t>
  </si>
  <si>
    <t>Knor Chick Flavd Ssoning Powder 500g -FS</t>
  </si>
  <si>
    <t>CLD KN CSP URMC 500G X 24 NEW ULCL</t>
  </si>
  <si>
    <t>6001-TUB 500 GM NEW ULCL-Modified</t>
  </si>
  <si>
    <t>FLEX BAG UFS KN CSP 500G</t>
  </si>
  <si>
    <t>Knorr Biriyani Mix 500g FS new</t>
  </si>
  <si>
    <t>CLD IML KN BIRIYANI 500G X 24 ULCL</t>
  </si>
  <si>
    <t>SFG LBTUB IML BIRIYANI 500G ULCL</t>
  </si>
  <si>
    <t>Knorr BIRIYANI MIX 500g MT</t>
  </si>
  <si>
    <t>CLD KN BIRIYANI 500G X 24 NEW ULCL</t>
  </si>
  <si>
    <t>SFG LBTUB BIRIYANI 500G X 24 NEW ULCL</t>
  </si>
  <si>
    <t>Knor Cleanco 1 KG</t>
  </si>
  <si>
    <t>69741621</t>
  </si>
  <si>
    <t>CLD KN CSP CLEAN CORE URMC 1KG X 6</t>
  </si>
  <si>
    <t>SFG LBTUB CSP CLEAN 1KG NEW ULCL</t>
  </si>
  <si>
    <t>SFG LBTUB CSP CLEAN 1KG REG2024</t>
  </si>
  <si>
    <t>6001-Clenco 1 kg</t>
  </si>
  <si>
    <t>Knorr Chicken Flav SsoningPowder 500gFS new  IML</t>
  </si>
  <si>
    <t>CLD IML KN CSP 500G X 24 ULCL</t>
  </si>
  <si>
    <t>LAYER SEP UFS KN CSP 500G IML</t>
  </si>
  <si>
    <t>SFG LBTUB IML CSP 500G ULCL</t>
  </si>
  <si>
    <t>PLID IML UFS KN CSP 500G ULCL</t>
  </si>
  <si>
    <t>LAMI POUCH KNORR CSP 500G UFS URMC</t>
  </si>
  <si>
    <t>Knor Chicken Curry Mix 15g MT</t>
  </si>
  <si>
    <t>CLD KN CHICK CURRY 15G X 144 RMC 2021</t>
  </si>
  <si>
    <t>CELLOTAPE 1"(25MM)</t>
  </si>
  <si>
    <t>LAMI KN CHICK CURRY 15G RMC 2022 NEW ULCL</t>
  </si>
  <si>
    <t>LAMI KN CHICK CURRY 15G REG2024</t>
  </si>
  <si>
    <t>CRT KN CHICK CURRY 15G X 24 NEW ULCL</t>
  </si>
  <si>
    <t>CRT KN CHICK CURRY 15G X 24 RMC 2021</t>
  </si>
  <si>
    <t>Knor Biriyani Mix 20g MT</t>
  </si>
  <si>
    <t>CLD KN BIRIYANI 20G X 144 RMC 2021</t>
  </si>
  <si>
    <t>LAMI KN BIRYANI 20G REG2024</t>
  </si>
  <si>
    <t>64872141</t>
  </si>
  <si>
    <t>LAMI KN BIRYANI 20G RMC 2021 NEW ULCL</t>
  </si>
  <si>
    <t>CRT KN BIRIYANI 20G X 24 NEW ULCL</t>
  </si>
  <si>
    <t>Knorr Maldive Fish Powder Mix 40g</t>
  </si>
  <si>
    <t>CLD DT KMF 40G X 12 NEW ULCL</t>
  </si>
  <si>
    <t>LAMI KMF 40G NEW ULCL</t>
  </si>
  <si>
    <t>CART KMF 40G REG2024</t>
  </si>
  <si>
    <t>CART KMF 40G RMC 2021</t>
  </si>
  <si>
    <t>Received</t>
  </si>
  <si>
    <t>Return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</si>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</sst>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"/>
    <numFmt numFmtId="165" formatCode="#,##0.0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17"/>
      </patternFill>
    </fill>
    <fill>
      <patternFill patternType="solid">
        <fgColor rgb="FFA3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17"/>
      </patternFill>
    </fill>
    <fill>
      <patternFill patternType="solid">
        <fgColor theme="7" tint="0.59999389629810485"/>
        <bgColor indexed="1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64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43" fontId="4" fillId="8" borderId="4" xfId="1" applyFont="1" applyFill="1" applyBorder="1" applyAlignment="1" applyProtection="1">
      <alignment horizontal="center" vertical="center" wrapText="1"/>
      <protection locked="0"/>
    </xf>
    <xf numFmtId="43" fontId="4" fillId="9" borderId="4" xfId="1" applyFont="1" applyFill="1" applyBorder="1" applyAlignment="1" applyProtection="1">
      <alignment horizontal="center" vertical="center" wrapText="1"/>
      <protection locked="0"/>
    </xf>
    <xf numFmtId="0" fontId="3" fillId="1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43" fontId="0" fillId="0" borderId="5" xfId="1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5" xfId="0" applyNumberFormat="1" applyBorder="1" applyAlignment="1">
      <alignment horizontal="right" vertical="center"/>
    </xf>
    <xf numFmtId="43" fontId="0" fillId="0" borderId="9" xfId="0" applyNumberFormat="1" applyBorder="1" applyAlignment="1">
      <alignment horizontal="right" vertical="center"/>
    </xf>
    <xf numFmtId="43" fontId="0" fillId="0" borderId="9" xfId="1" applyFont="1" applyFill="1" applyBorder="1" applyAlignment="1">
      <alignment horizontal="center" vertical="center" wrapText="1"/>
    </xf>
    <xf numFmtId="43" fontId="0" fillId="11" borderId="5" xfId="0" applyNumberFormat="1" applyFill="1" applyBorder="1"/>
    <xf numFmtId="43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horizontal="center" vertical="center" wrapText="1"/>
      <protection locked="0"/>
    </xf>
    <xf numFmtId="43" fontId="0" fillId="0" borderId="5" xfId="0" applyNumberFormat="1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0" fillId="0" borderId="9" xfId="0" applyNumberFormat="1" applyBorder="1"/>
    <xf numFmtId="43" fontId="0" fillId="0" borderId="10" xfId="0" applyNumberFormat="1" applyBorder="1"/>
    <xf numFmtId="43" fontId="0" fillId="12" borderId="0" xfId="0" applyNumberFormat="1" applyFill="1"/>
    <xf numFmtId="43" fontId="0" fillId="0" borderId="12" xfId="1" applyFont="1" applyFill="1" applyBorder="1" applyAlignment="1">
      <alignment horizontal="center"/>
    </xf>
    <xf numFmtId="43" fontId="0" fillId="0" borderId="10" xfId="1" applyFont="1" applyFill="1" applyBorder="1" applyAlignment="1">
      <alignment horizontal="center"/>
    </xf>
    <xf numFmtId="43" fontId="0" fillId="13" borderId="10" xfId="0" applyNumberFormat="1" applyFill="1" applyBorder="1"/>
    <xf numFmtId="43" fontId="0" fillId="0" borderId="12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43" fontId="0" fillId="13" borderId="9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43" fontId="0" fillId="0" borderId="9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43" fontId="0" fillId="0" borderId="10" xfId="0" applyNumberFormat="1" applyBorder="1" applyAlignment="1">
      <alignment horizontal="right"/>
    </xf>
    <xf numFmtId="43" fontId="0" fillId="0" borderId="5" xfId="0" applyNumberFormat="1" applyBorder="1"/>
    <xf numFmtId="43" fontId="0" fillId="0" borderId="11" xfId="0" applyNumberFormat="1" applyBorder="1" applyAlignment="1">
      <alignment horizontal="right"/>
    </xf>
    <xf numFmtId="0" fontId="0" fillId="0" borderId="14" xfId="0" applyBorder="1"/>
    <xf numFmtId="0" fontId="0" fillId="0" borderId="9" xfId="0" applyBorder="1"/>
    <xf numFmtId="0" fontId="0" fillId="14" borderId="0" xfId="0" applyFill="1"/>
    <xf numFmtId="13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15" borderId="10" xfId="0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left"/>
    </xf>
    <xf numFmtId="0" fontId="0" fillId="15" borderId="10" xfId="0" applyFill="1" applyBorder="1" applyAlignment="1" applyProtection="1">
      <alignment horizontal="center" vertical="center" wrapText="1"/>
      <protection locked="0"/>
    </xf>
    <xf numFmtId="43" fontId="0" fillId="15" borderId="5" xfId="0" applyNumberFormat="1" applyFill="1" applyBorder="1" applyAlignment="1">
      <alignment horizontal="center"/>
    </xf>
    <xf numFmtId="43" fontId="0" fillId="15" borderId="7" xfId="0" applyNumberFormat="1" applyFill="1" applyBorder="1" applyAlignment="1">
      <alignment horizontal="center"/>
    </xf>
    <xf numFmtId="43" fontId="0" fillId="15" borderId="9" xfId="0" applyNumberFormat="1" applyFill="1" applyBorder="1" applyAlignment="1">
      <alignment horizontal="right"/>
    </xf>
    <xf numFmtId="43" fontId="0" fillId="15" borderId="9" xfId="1" applyFont="1" applyFill="1" applyBorder="1" applyAlignment="1">
      <alignment horizontal="center" vertical="center" wrapText="1"/>
    </xf>
    <xf numFmtId="43" fontId="0" fillId="15" borderId="10" xfId="0" applyNumberFormat="1" applyFill="1" applyBorder="1"/>
    <xf numFmtId="43" fontId="0" fillId="0" borderId="17" xfId="0" applyNumberFormat="1" applyBorder="1"/>
    <xf numFmtId="0" fontId="0" fillId="0" borderId="10" xfId="0" applyBorder="1"/>
    <xf numFmtId="43" fontId="5" fillId="0" borderId="7" xfId="0" applyNumberFormat="1" applyFont="1" applyBorder="1" applyAlignment="1">
      <alignment horizontal="center"/>
    </xf>
    <xf numFmtId="0" fontId="5" fillId="0" borderId="0" xfId="0" applyFont="1"/>
    <xf numFmtId="43" fontId="5" fillId="0" borderId="0" xfId="0" applyNumberFormat="1" applyFont="1"/>
    <xf numFmtId="0" fontId="0" fillId="0" borderId="11" xfId="0" applyBorder="1" applyAlignment="1">
      <alignment horizontal="left"/>
    </xf>
    <xf numFmtId="13" fontId="0" fillId="0" borderId="7" xfId="0" applyNumberForma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 applyProtection="1">
      <alignment horizontal="center" vertical="center" wrapText="1"/>
      <protection locked="0"/>
    </xf>
    <xf numFmtId="43" fontId="2" fillId="0" borderId="5" xfId="0" applyNumberFormat="1" applyFont="1" applyBorder="1" applyAlignment="1">
      <alignment horizontal="center"/>
    </xf>
    <xf numFmtId="43" fontId="2" fillId="0" borderId="7" xfId="0" applyNumberFormat="1" applyFont="1" applyBorder="1" applyAlignment="1">
      <alignment horizontal="center"/>
    </xf>
    <xf numFmtId="12" fontId="2" fillId="0" borderId="5" xfId="0" applyNumberFormat="1" applyFont="1" applyBorder="1" applyAlignment="1">
      <alignment horizontal="center"/>
    </xf>
    <xf numFmtId="43" fontId="2" fillId="0" borderId="10" xfId="0" applyNumberFormat="1" applyFont="1" applyBorder="1" applyAlignment="1">
      <alignment horizontal="right"/>
    </xf>
    <xf numFmtId="43" fontId="2" fillId="0" borderId="9" xfId="1" applyFont="1" applyFill="1" applyBorder="1" applyAlignment="1">
      <alignment horizontal="center" vertical="center" wrapText="1"/>
    </xf>
    <xf numFmtId="43" fontId="2" fillId="0" borderId="10" xfId="0" applyNumberFormat="1" applyFont="1" applyBorder="1"/>
    <xf numFmtId="0" fontId="2" fillId="0" borderId="0" xfId="0" applyFont="1"/>
    <xf numFmtId="3" fontId="0" fillId="0" borderId="0" xfId="0" applyNumberFormat="1"/>
    <xf numFmtId="0" fontId="7" fillId="0" borderId="11" xfId="2" applyFont="1" applyBorder="1" applyAlignment="1">
      <alignment horizontal="center" vertical="top"/>
    </xf>
    <xf numFmtId="0" fontId="7" fillId="0" borderId="10" xfId="2" applyFont="1" applyBorder="1" applyAlignment="1">
      <alignment horizontal="left" vertical="top"/>
    </xf>
    <xf numFmtId="43" fontId="0" fillId="0" borderId="5" xfId="0" applyNumberFormat="1" applyBorder="1" applyAlignment="1">
      <alignment horizontal="right"/>
    </xf>
    <xf numFmtId="43" fontId="0" fillId="15" borderId="7" xfId="1" applyFont="1" applyFill="1" applyBorder="1" applyAlignment="1">
      <alignment horizontal="center"/>
    </xf>
    <xf numFmtId="43" fontId="0" fillId="15" borderId="10" xfId="0" applyNumberFormat="1" applyFill="1" applyBorder="1" applyAlignment="1">
      <alignment horizontal="center"/>
    </xf>
    <xf numFmtId="43" fontId="0" fillId="15" borderId="5" xfId="1" applyFont="1" applyFill="1" applyBorder="1" applyAlignment="1">
      <alignment horizontal="center" vertical="center" wrapText="1"/>
    </xf>
    <xf numFmtId="43" fontId="0" fillId="0" borderId="7" xfId="1" applyFont="1" applyBorder="1" applyAlignment="1">
      <alignment horizontal="center"/>
    </xf>
    <xf numFmtId="0" fontId="0" fillId="0" borderId="17" xfId="0" applyBorder="1"/>
    <xf numFmtId="43" fontId="0" fillId="0" borderId="5" xfId="1" applyFont="1" applyFill="1" applyBorder="1" applyAlignment="1">
      <alignment horizontal="center"/>
    </xf>
    <xf numFmtId="43" fontId="0" fillId="0" borderId="7" xfId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43" fontId="0" fillId="15" borderId="9" xfId="0" applyNumberFormat="1" applyFill="1" applyBorder="1"/>
    <xf numFmtId="0" fontId="0" fillId="0" borderId="18" xfId="0" applyBorder="1" applyAlignment="1">
      <alignment horizontal="center"/>
    </xf>
    <xf numFmtId="0" fontId="3" fillId="15" borderId="10" xfId="0" applyFont="1" applyFill="1" applyBorder="1" applyAlignment="1" applyProtection="1">
      <alignment horizontal="center" vertical="center" wrapText="1"/>
      <protection locked="0"/>
    </xf>
    <xf numFmtId="43" fontId="0" fillId="15" borderId="5" xfId="1" applyFont="1" applyFill="1" applyBorder="1" applyAlignment="1">
      <alignment horizontal="center"/>
    </xf>
    <xf numFmtId="43" fontId="0" fillId="15" borderId="10" xfId="0" applyNumberFormat="1" applyFill="1" applyBorder="1" applyAlignment="1">
      <alignment horizontal="right"/>
    </xf>
    <xf numFmtId="43" fontId="0" fillId="15" borderId="17" xfId="0" applyNumberFormat="1" applyFill="1" applyBorder="1" applyAlignment="1">
      <alignment horizontal="right"/>
    </xf>
    <xf numFmtId="0" fontId="3" fillId="15" borderId="10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/>
    </xf>
    <xf numFmtId="0" fontId="3" fillId="15" borderId="17" xfId="0" applyFont="1" applyFill="1" applyBorder="1"/>
    <xf numFmtId="0" fontId="3" fillId="15" borderId="10" xfId="0" applyFont="1" applyFill="1" applyBorder="1"/>
    <xf numFmtId="0" fontId="0" fillId="0" borderId="10" xfId="0" applyBorder="1" applyAlignment="1">
      <alignment horizontal="left" vertical="top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3" fillId="15" borderId="11" xfId="0" applyFont="1" applyFill="1" applyBorder="1" applyAlignment="1">
      <alignment horizontal="left"/>
    </xf>
    <xf numFmtId="43" fontId="0" fillId="0" borderId="10" xfId="1" applyFont="1" applyFill="1" applyBorder="1" applyAlignment="1">
      <alignment horizontal="center" vertical="top"/>
    </xf>
    <xf numFmtId="0" fontId="3" fillId="15" borderId="11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left" vertical="center"/>
    </xf>
    <xf numFmtId="13" fontId="0" fillId="0" borderId="5" xfId="0" applyNumberFormat="1" applyBorder="1" applyAlignment="1">
      <alignment horizontal="center"/>
    </xf>
    <xf numFmtId="43" fontId="5" fillId="0" borderId="5" xfId="0" applyNumberFormat="1" applyFont="1" applyBorder="1" applyAlignment="1">
      <alignment horizontal="center"/>
    </xf>
    <xf numFmtId="43" fontId="5" fillId="0" borderId="10" xfId="0" applyNumberFormat="1" applyFont="1" applyBorder="1" applyAlignment="1">
      <alignment horizontal="right"/>
    </xf>
    <xf numFmtId="43" fontId="5" fillId="0" borderId="9" xfId="0" applyNumberFormat="1" applyFont="1" applyBorder="1" applyAlignment="1">
      <alignment horizontal="right"/>
    </xf>
    <xf numFmtId="43" fontId="5" fillId="0" borderId="10" xfId="0" applyNumberFormat="1" applyFont="1" applyBorder="1"/>
    <xf numFmtId="43" fontId="0" fillId="0" borderId="17" xfId="0" applyNumberFormat="1" applyBorder="1" applyAlignment="1">
      <alignment horizontal="right"/>
    </xf>
    <xf numFmtId="0" fontId="0" fillId="16" borderId="10" xfId="0" applyFill="1" applyBorder="1" applyAlignment="1">
      <alignment horizontal="center"/>
    </xf>
    <xf numFmtId="0" fontId="3" fillId="16" borderId="11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left" vertical="center"/>
    </xf>
    <xf numFmtId="0" fontId="3" fillId="16" borderId="10" xfId="0" applyFont="1" applyFill="1" applyBorder="1" applyAlignment="1" applyProtection="1">
      <alignment horizontal="center" vertical="center" wrapText="1"/>
      <protection locked="0"/>
    </xf>
    <xf numFmtId="43" fontId="0" fillId="16" borderId="5" xfId="0" applyNumberFormat="1" applyFill="1" applyBorder="1" applyAlignment="1">
      <alignment horizontal="center"/>
    </xf>
    <xf numFmtId="43" fontId="0" fillId="16" borderId="7" xfId="0" applyNumberFormat="1" applyFill="1" applyBorder="1" applyAlignment="1">
      <alignment horizontal="center"/>
    </xf>
    <xf numFmtId="43" fontId="0" fillId="16" borderId="10" xfId="0" applyNumberFormat="1" applyFill="1" applyBorder="1" applyAlignment="1">
      <alignment horizontal="right"/>
    </xf>
    <xf numFmtId="43" fontId="0" fillId="16" borderId="9" xfId="0" applyNumberFormat="1" applyFill="1" applyBorder="1" applyAlignment="1">
      <alignment horizontal="right"/>
    </xf>
    <xf numFmtId="43" fontId="0" fillId="16" borderId="17" xfId="0" applyNumberFormat="1" applyFill="1" applyBorder="1" applyAlignment="1">
      <alignment horizontal="right"/>
    </xf>
    <xf numFmtId="43" fontId="0" fillId="16" borderId="10" xfId="0" applyNumberFormat="1" applyFill="1" applyBorder="1"/>
    <xf numFmtId="0" fontId="0" fillId="12" borderId="0" xfId="0" applyFill="1"/>
    <xf numFmtId="0" fontId="0" fillId="0" borderId="10" xfId="0" applyBorder="1" applyAlignment="1" applyProtection="1">
      <alignment horizontal="left" vertical="center"/>
      <protection locked="0"/>
    </xf>
    <xf numFmtId="0" fontId="0" fillId="0" borderId="5" xfId="0" applyBorder="1" applyAlignment="1">
      <alignment horizontal="left"/>
    </xf>
    <xf numFmtId="0" fontId="0" fillId="17" borderId="10" xfId="0" applyFill="1" applyBorder="1" applyAlignment="1">
      <alignment horizontal="center"/>
    </xf>
    <xf numFmtId="0" fontId="3" fillId="17" borderId="11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left" vertical="center"/>
    </xf>
    <xf numFmtId="0" fontId="3" fillId="17" borderId="10" xfId="0" applyFont="1" applyFill="1" applyBorder="1" applyAlignment="1" applyProtection="1">
      <alignment horizontal="center" vertical="center" wrapText="1"/>
      <protection locked="0"/>
    </xf>
    <xf numFmtId="43" fontId="0" fillId="17" borderId="5" xfId="1" applyFont="1" applyFill="1" applyBorder="1" applyAlignment="1">
      <alignment horizontal="center"/>
    </xf>
    <xf numFmtId="43" fontId="0" fillId="17" borderId="7" xfId="0" applyNumberFormat="1" applyFill="1" applyBorder="1" applyAlignment="1">
      <alignment horizontal="center"/>
    </xf>
    <xf numFmtId="43" fontId="0" fillId="17" borderId="5" xfId="0" applyNumberFormat="1" applyFill="1" applyBorder="1" applyAlignment="1">
      <alignment horizontal="center"/>
    </xf>
    <xf numFmtId="43" fontId="0" fillId="17" borderId="10" xfId="0" applyNumberFormat="1" applyFill="1" applyBorder="1" applyAlignment="1">
      <alignment horizontal="right"/>
    </xf>
    <xf numFmtId="43" fontId="0" fillId="17" borderId="17" xfId="0" applyNumberFormat="1" applyFill="1" applyBorder="1" applyAlignment="1">
      <alignment horizontal="right"/>
    </xf>
    <xf numFmtId="43" fontId="0" fillId="17" borderId="9" xfId="1" applyFont="1" applyFill="1" applyBorder="1" applyAlignment="1">
      <alignment horizontal="center" vertical="center" wrapText="1"/>
    </xf>
    <xf numFmtId="43" fontId="0" fillId="17" borderId="10" xfId="0" applyNumberFormat="1" applyFill="1" applyBorder="1"/>
    <xf numFmtId="0" fontId="3" fillId="15" borderId="5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3" fillId="17" borderId="11" xfId="0" applyFont="1" applyFill="1" applyBorder="1" applyAlignment="1">
      <alignment horizontal="left"/>
    </xf>
    <xf numFmtId="43" fontId="0" fillId="17" borderId="9" xfId="0" applyNumberFormat="1" applyFill="1" applyBorder="1" applyAlignment="1">
      <alignment horizontal="right"/>
    </xf>
    <xf numFmtId="43" fontId="0" fillId="0" borderId="10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3" fontId="0" fillId="0" borderId="9" xfId="1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43" fontId="0" fillId="0" borderId="9" xfId="0" applyNumberFormat="1" applyBorder="1" applyAlignment="1">
      <alignment horizontal="center"/>
    </xf>
    <xf numFmtId="0" fontId="7" fillId="18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center" vertical="center"/>
    </xf>
    <xf numFmtId="43" fontId="0" fillId="15" borderId="5" xfId="0" applyNumberFormat="1" applyFill="1" applyBorder="1" applyAlignment="1">
      <alignment horizontal="right"/>
    </xf>
    <xf numFmtId="1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3" fillId="17" borderId="11" xfId="0" applyFont="1" applyFill="1" applyBorder="1" applyAlignment="1">
      <alignment horizontal="center" vertical="center"/>
    </xf>
    <xf numFmtId="43" fontId="0" fillId="17" borderId="10" xfId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43" fontId="0" fillId="11" borderId="10" xfId="0" applyNumberFormat="1" applyFill="1" applyBorder="1"/>
    <xf numFmtId="43" fontId="0" fillId="0" borderId="10" xfId="1" applyFont="1" applyFill="1" applyBorder="1" applyAlignment="1"/>
    <xf numFmtId="43" fontId="0" fillId="0" borderId="9" xfId="1" applyFont="1" applyBorder="1" applyAlignment="1"/>
    <xf numFmtId="0" fontId="0" fillId="0" borderId="10" xfId="0" applyBorder="1" applyAlignment="1" applyProtection="1">
      <alignment horizontal="left"/>
      <protection locked="0"/>
    </xf>
    <xf numFmtId="43" fontId="0" fillId="0" borderId="5" xfId="1" applyFont="1" applyBorder="1" applyAlignment="1">
      <alignment horizontal="center"/>
    </xf>
    <xf numFmtId="43" fontId="0" fillId="0" borderId="9" xfId="1" applyFont="1" applyFill="1" applyBorder="1" applyAlignment="1"/>
    <xf numFmtId="3" fontId="0" fillId="0" borderId="10" xfId="0" applyNumberFormat="1" applyBorder="1" applyAlignment="1">
      <alignment horizontal="right" vertical="top"/>
    </xf>
    <xf numFmtId="0" fontId="3" fillId="15" borderId="10" xfId="0" applyFont="1" applyFill="1" applyBorder="1" applyAlignment="1">
      <alignment vertical="center"/>
    </xf>
    <xf numFmtId="43" fontId="0" fillId="15" borderId="10" xfId="1" applyFont="1" applyFill="1" applyBorder="1" applyAlignment="1"/>
    <xf numFmtId="43" fontId="0" fillId="15" borderId="9" xfId="1" applyFont="1" applyFill="1" applyBorder="1" applyAlignment="1"/>
    <xf numFmtId="0" fontId="0" fillId="0" borderId="5" xfId="1" applyNumberFormat="1" applyFont="1" applyFill="1" applyBorder="1" applyAlignment="1">
      <alignment horizontal="center"/>
    </xf>
    <xf numFmtId="43" fontId="0" fillId="12" borderId="10" xfId="0" applyNumberFormat="1" applyFill="1" applyBorder="1"/>
    <xf numFmtId="0" fontId="0" fillId="0" borderId="10" xfId="0" applyBorder="1" applyAlignment="1" applyProtection="1">
      <alignment horizontal="left" vertical="center" wrapText="1"/>
      <protection locked="0"/>
    </xf>
    <xf numFmtId="43" fontId="0" fillId="0" borderId="6" xfId="1" applyFont="1" applyBorder="1" applyAlignment="1">
      <alignment horizontal="center"/>
    </xf>
    <xf numFmtId="0" fontId="3" fillId="15" borderId="5" xfId="0" applyFont="1" applyFill="1" applyBorder="1" applyAlignment="1">
      <alignment horizontal="left" vertical="center"/>
    </xf>
    <xf numFmtId="0" fontId="0" fillId="0" borderId="13" xfId="0" applyBorder="1"/>
    <xf numFmtId="0" fontId="0" fillId="0" borderId="17" xfId="0" applyBorder="1" applyAlignment="1">
      <alignment horizontal="center"/>
    </xf>
    <xf numFmtId="0" fontId="8" fillId="15" borderId="13" xfId="2" applyFont="1" applyFill="1" applyBorder="1" applyAlignment="1">
      <alignment horizontal="center" vertical="center" wrapText="1"/>
    </xf>
    <xf numFmtId="0" fontId="3" fillId="15" borderId="20" xfId="0" applyFont="1" applyFill="1" applyBorder="1" applyAlignment="1">
      <alignment horizontal="left"/>
    </xf>
    <xf numFmtId="0" fontId="0" fillId="0" borderId="13" xfId="0" applyBorder="1" applyAlignment="1">
      <alignment horizontal="center" vertical="top"/>
    </xf>
    <xf numFmtId="0" fontId="0" fillId="19" borderId="10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0" xfId="0" applyFill="1" applyBorder="1" applyAlignment="1">
      <alignment horizontal="left"/>
    </xf>
    <xf numFmtId="0" fontId="0" fillId="19" borderId="10" xfId="0" applyFill="1" applyBorder="1" applyAlignment="1" applyProtection="1">
      <alignment horizontal="center" vertical="center" wrapText="1"/>
      <protection locked="0"/>
    </xf>
    <xf numFmtId="43" fontId="0" fillId="19" borderId="5" xfId="0" applyNumberFormat="1" applyFill="1" applyBorder="1" applyAlignment="1">
      <alignment horizontal="center"/>
    </xf>
    <xf numFmtId="43" fontId="0" fillId="19" borderId="7" xfId="0" applyNumberFormat="1" applyFill="1" applyBorder="1" applyAlignment="1">
      <alignment horizontal="center"/>
    </xf>
    <xf numFmtId="43" fontId="0" fillId="19" borderId="10" xfId="0" applyNumberFormat="1" applyFill="1" applyBorder="1" applyAlignment="1">
      <alignment horizontal="right"/>
    </xf>
    <xf numFmtId="43" fontId="0" fillId="19" borderId="9" xfId="0" applyNumberFormat="1" applyFill="1" applyBorder="1" applyAlignment="1">
      <alignment horizontal="right"/>
    </xf>
    <xf numFmtId="43" fontId="0" fillId="19" borderId="9" xfId="1" applyFont="1" applyFill="1" applyBorder="1" applyAlignment="1">
      <alignment horizontal="center" vertical="center" wrapText="1"/>
    </xf>
    <xf numFmtId="43" fontId="0" fillId="19" borderId="10" xfId="0" applyNumberFormat="1" applyFill="1" applyBorder="1"/>
    <xf numFmtId="0" fontId="0" fillId="19" borderId="0" xfId="0" applyFill="1"/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65" fontId="0" fillId="11" borderId="10" xfId="0" applyNumberFormat="1" applyFill="1" applyBorder="1" applyAlignment="1">
      <alignment horizontal="center" vertical="top"/>
    </xf>
    <xf numFmtId="43" fontId="0" fillId="0" borderId="21" xfId="1" applyFont="1" applyFill="1" applyBorder="1"/>
    <xf numFmtId="0" fontId="0" fillId="17" borderId="0" xfId="0" applyFill="1"/>
    <xf numFmtId="0" fontId="0" fillId="0" borderId="11" xfId="0" applyBorder="1"/>
    <xf numFmtId="0" fontId="2" fillId="0" borderId="13" xfId="0" applyFont="1" applyBorder="1" applyAlignment="1">
      <alignment horizontal="center" vertical="top"/>
    </xf>
    <xf numFmtId="43" fontId="0" fillId="0" borderId="17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Border="1" applyAlignment="1" applyProtection="1">
      <alignment horizontal="center" vertical="center" wrapText="1"/>
      <protection locked="0"/>
    </xf>
    <xf numFmtId="43" fontId="0" fillId="0" borderId="22" xfId="1" applyFont="1" applyFill="1" applyBorder="1" applyAlignment="1">
      <alignment horizontal="center"/>
    </xf>
    <xf numFmtId="43" fontId="0" fillId="0" borderId="24" xfId="0" applyNumberFormat="1" applyBorder="1" applyAlignment="1">
      <alignment horizontal="center"/>
    </xf>
    <xf numFmtId="43" fontId="0" fillId="0" borderId="22" xfId="0" applyNumberFormat="1" applyBorder="1" applyAlignment="1">
      <alignment horizontal="center"/>
    </xf>
    <xf numFmtId="43" fontId="0" fillId="0" borderId="25" xfId="0" applyNumberFormat="1" applyBorder="1" applyAlignment="1">
      <alignment horizontal="right"/>
    </xf>
    <xf numFmtId="43" fontId="0" fillId="0" borderId="25" xfId="1" applyFont="1" applyFill="1" applyBorder="1" applyAlignment="1">
      <alignment horizontal="center" vertical="center" wrapText="1"/>
    </xf>
    <xf numFmtId="43" fontId="0" fillId="0" borderId="22" xfId="0" applyNumberFormat="1" applyBorder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 applyProtection="1">
      <alignment horizontal="center" vertical="center" wrapText="1"/>
      <protection locked="0"/>
    </xf>
    <xf numFmtId="43" fontId="0" fillId="0" borderId="5" xfId="0" applyNumberFormat="1" applyFill="1" applyBorder="1" applyAlignment="1">
      <alignment horizontal="center"/>
    </xf>
    <xf numFmtId="43" fontId="0" fillId="0" borderId="12" xfId="0" applyNumberFormat="1" applyFill="1" applyBorder="1" applyAlignment="1">
      <alignment horizontal="center"/>
    </xf>
    <xf numFmtId="43" fontId="0" fillId="0" borderId="10" xfId="0" applyNumberFormat="1" applyFill="1" applyBorder="1" applyAlignment="1">
      <alignment horizontal="center"/>
    </xf>
    <xf numFmtId="43" fontId="0" fillId="0" borderId="5" xfId="0" applyNumberFormat="1" applyFill="1" applyBorder="1" applyAlignment="1">
      <alignment horizontal="right" vertical="center"/>
    </xf>
    <xf numFmtId="43" fontId="0" fillId="0" borderId="9" xfId="0" applyNumberFormat="1" applyFill="1" applyBorder="1"/>
    <xf numFmtId="43" fontId="0" fillId="0" borderId="10" xfId="0" applyNumberFormat="1" applyFill="1" applyBorder="1"/>
    <xf numFmtId="43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Normal 3" xfId="2" xr:uid="{A701D34D-1E03-4B7A-9414-D82116D7F8DE}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45E8-1C63-4014-9F3F-7688EA15C795}">
  <dimension ref="A1:O559"/>
  <sheetViews>
    <sheetView tabSelected="1" workbookViewId="0">
      <selection activeCell="H1" sqref="H1"/>
    </sheetView>
  </sheetViews>
  <sheetFormatPr defaultRowHeight="14.25"/>
  <cols>
    <col min="1" max="1" width="7.375" customWidth="1"/>
    <col min="2" max="2" width="12.5" style="1" customWidth="1"/>
    <col min="3" max="3" width="51" style="2" customWidth="1"/>
    <col min="4" max="4" width="5.875" customWidth="1"/>
    <col min="5" max="5" width="14.125" style="1" customWidth="1"/>
    <col min="6" max="6" width="14.25" style="1" bestFit="1" customWidth="1"/>
    <col min="7" max="7" width="15.25" style="1" customWidth="1"/>
    <col min="8" max="8" width="12.5" customWidth="1"/>
    <col min="9" max="9" width="14.25" hidden="1" customWidth="1"/>
    <col min="10" max="10" width="18.125" customWidth="1"/>
    <col min="11" max="11" width="11.25" hidden="1" customWidth="1"/>
    <col min="12" max="12" width="11.125" hidden="1" customWidth="1"/>
    <col min="13" max="15" width="10.625" bestFit="1" customWidth="1"/>
  </cols>
  <sheetData>
    <row r="1" spans="1:14" ht="26.25" thickBot="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258</v>
      </c>
      <c r="G1" s="10" t="s">
        <v>260</v>
      </c>
      <c r="H1" s="11" t="s">
        <v>259</v>
      </c>
      <c r="I1" s="12"/>
      <c r="J1" s="13" t="s">
        <v>5</v>
      </c>
    </row>
    <row r="2" spans="1:14" ht="15.75" customHeight="1" thickBot="1">
      <c r="A2" s="16" t="s">
        <v>8</v>
      </c>
      <c r="B2" s="17">
        <v>11067431</v>
      </c>
      <c r="C2" s="18" t="s">
        <v>9</v>
      </c>
      <c r="D2" s="19" t="s">
        <v>10</v>
      </c>
      <c r="E2" s="20">
        <f>1000+3000+1000+2000</f>
        <v>7000</v>
      </c>
      <c r="F2" s="21"/>
      <c r="G2" s="22"/>
      <c r="H2" s="23"/>
      <c r="I2" s="24"/>
      <c r="J2" s="25">
        <f>+E2+F2-G2+H2</f>
        <v>7000</v>
      </c>
      <c r="K2" s="3"/>
    </row>
    <row r="3" spans="1:14" ht="15" customHeight="1" thickBot="1">
      <c r="A3" s="28" t="s">
        <v>8</v>
      </c>
      <c r="B3" s="29">
        <v>11061702</v>
      </c>
      <c r="C3" s="30" t="s">
        <v>11</v>
      </c>
      <c r="D3" s="31" t="s">
        <v>10</v>
      </c>
      <c r="E3" s="32">
        <f>250+12*50+15*50+30*50+15*50+15*50+15*50</f>
        <v>5350</v>
      </c>
      <c r="F3" s="33"/>
      <c r="G3" s="32"/>
      <c r="H3" s="23"/>
      <c r="I3" s="34"/>
      <c r="J3" s="25">
        <f t="shared" ref="J3:J66" si="0">+E3+F3-G3+H3</f>
        <v>5350</v>
      </c>
      <c r="K3" s="14" t="s">
        <v>6</v>
      </c>
      <c r="L3" s="15" t="s">
        <v>7</v>
      </c>
    </row>
    <row r="4" spans="1:14">
      <c r="A4" s="28" t="s">
        <v>8</v>
      </c>
      <c r="B4" s="29">
        <v>11002301</v>
      </c>
      <c r="C4" s="30" t="s">
        <v>12</v>
      </c>
      <c r="D4" s="31" t="s">
        <v>10</v>
      </c>
      <c r="E4" s="32">
        <f>36*25+32*25+1000+32*25+1000+1000</f>
        <v>5500</v>
      </c>
      <c r="F4" s="37"/>
      <c r="G4" s="38"/>
      <c r="H4" s="23"/>
      <c r="I4" s="34"/>
      <c r="J4" s="25">
        <f t="shared" si="0"/>
        <v>5500</v>
      </c>
      <c r="K4" s="25">
        <f>5000+25*14+3000</f>
        <v>8350</v>
      </c>
      <c r="L4" s="26"/>
      <c r="M4" s="27"/>
    </row>
    <row r="5" spans="1:14">
      <c r="A5" s="28" t="s">
        <v>8</v>
      </c>
      <c r="B5" s="29">
        <v>67548375</v>
      </c>
      <c r="C5" s="30" t="s">
        <v>13</v>
      </c>
      <c r="D5" s="31" t="s">
        <v>10</v>
      </c>
      <c r="E5" s="32">
        <f>20*3+200</f>
        <v>260</v>
      </c>
      <c r="F5" s="33"/>
      <c r="G5" s="32"/>
      <c r="H5" s="23"/>
      <c r="I5" s="34"/>
      <c r="J5" s="25">
        <f t="shared" si="0"/>
        <v>260</v>
      </c>
      <c r="K5" s="25">
        <f>0.215+0.81+0.375</f>
        <v>1.4000000000000001</v>
      </c>
      <c r="L5" s="35"/>
      <c r="M5" s="36"/>
    </row>
    <row r="6" spans="1:14">
      <c r="A6" s="28" t="s">
        <v>8</v>
      </c>
      <c r="B6" s="29">
        <v>11067473</v>
      </c>
      <c r="C6" s="30" t="s">
        <v>14</v>
      </c>
      <c r="D6" s="31" t="s">
        <v>10</v>
      </c>
      <c r="E6" s="32">
        <f>55*25+20*25</f>
        <v>1875</v>
      </c>
      <c r="F6" s="40"/>
      <c r="G6" s="41"/>
      <c r="H6" s="23"/>
      <c r="I6" s="34"/>
      <c r="J6" s="25">
        <f t="shared" si="0"/>
        <v>1875</v>
      </c>
      <c r="K6" s="25">
        <f>13*25+25*26+18*25+50+25*2+1226.16</f>
        <v>2751.16</v>
      </c>
      <c r="L6" s="39">
        <f>25+8.6+25*32+18.1+7.1+25*21+25*30+25*30+25*30+25*30+471.91+750</f>
        <v>5605.71</v>
      </c>
      <c r="M6" s="27"/>
    </row>
    <row r="7" spans="1:14" ht="16.5" customHeight="1">
      <c r="A7" s="28" t="s">
        <v>8</v>
      </c>
      <c r="B7" s="29">
        <v>11002242</v>
      </c>
      <c r="C7" s="30" t="s">
        <v>15</v>
      </c>
      <c r="D7" s="31" t="s">
        <v>10</v>
      </c>
      <c r="E7" s="32">
        <v>50</v>
      </c>
      <c r="F7" s="40"/>
      <c r="G7" s="41"/>
      <c r="H7" s="23"/>
      <c r="I7" s="34"/>
      <c r="J7" s="25">
        <f t="shared" si="0"/>
        <v>50</v>
      </c>
      <c r="K7" s="25"/>
      <c r="L7" s="35"/>
      <c r="N7" s="27"/>
    </row>
    <row r="8" spans="1:14">
      <c r="A8" s="220" t="s">
        <v>8</v>
      </c>
      <c r="B8" s="221">
        <v>67550393</v>
      </c>
      <c r="C8" s="222" t="s">
        <v>16</v>
      </c>
      <c r="D8" s="223" t="s">
        <v>10</v>
      </c>
      <c r="E8" s="224">
        <f>100+4*25</f>
        <v>200</v>
      </c>
      <c r="F8" s="225"/>
      <c r="G8" s="226"/>
      <c r="H8" s="227"/>
      <c r="I8" s="228"/>
      <c r="J8" s="25">
        <f t="shared" si="0"/>
        <v>200</v>
      </c>
      <c r="K8" s="25"/>
      <c r="L8" s="35">
        <f>16*25+40*25+20*25</f>
        <v>1900</v>
      </c>
      <c r="M8" s="27"/>
      <c r="N8" s="27"/>
    </row>
    <row r="9" spans="1:14">
      <c r="A9" s="28" t="s">
        <v>8</v>
      </c>
      <c r="B9" s="29">
        <v>67548417</v>
      </c>
      <c r="C9" s="30" t="s">
        <v>17</v>
      </c>
      <c r="D9" s="31" t="s">
        <v>10</v>
      </c>
      <c r="E9" s="32">
        <f>15*4+24</f>
        <v>84</v>
      </c>
      <c r="F9" s="37"/>
      <c r="G9" s="38"/>
      <c r="H9" s="23"/>
      <c r="I9" s="34"/>
      <c r="J9" s="25">
        <f t="shared" si="0"/>
        <v>84</v>
      </c>
      <c r="K9" s="25">
        <f>21.3+1.07</f>
        <v>22.37</v>
      </c>
      <c r="L9" s="35">
        <v>25</v>
      </c>
    </row>
    <row r="10" spans="1:14" s="231" customFormat="1">
      <c r="A10" s="28" t="s">
        <v>8</v>
      </c>
      <c r="B10" s="29">
        <v>11002253</v>
      </c>
      <c r="C10" s="30" t="s">
        <v>18</v>
      </c>
      <c r="D10" s="31" t="s">
        <v>10</v>
      </c>
      <c r="E10" s="32">
        <f>15+5*12+11</f>
        <v>86</v>
      </c>
      <c r="F10" s="32"/>
      <c r="G10" s="41"/>
      <c r="H10" s="23"/>
      <c r="I10" s="34"/>
      <c r="J10" s="25">
        <f t="shared" si="0"/>
        <v>86</v>
      </c>
      <c r="K10" s="25">
        <f>25*5</f>
        <v>125</v>
      </c>
      <c r="L10" s="229">
        <v>63.23</v>
      </c>
      <c r="M10" s="230"/>
      <c r="N10" s="230"/>
    </row>
    <row r="11" spans="1:14">
      <c r="A11" s="28" t="s">
        <v>8</v>
      </c>
      <c r="B11" s="29">
        <v>11061729</v>
      </c>
      <c r="C11" s="30" t="s">
        <v>19</v>
      </c>
      <c r="D11" s="31" t="s">
        <v>10</v>
      </c>
      <c r="E11" s="32">
        <f>74*10+7*10</f>
        <v>810</v>
      </c>
      <c r="F11" s="40"/>
      <c r="G11" s="41"/>
      <c r="H11" s="23"/>
      <c r="I11" s="34"/>
      <c r="J11" s="25">
        <f t="shared" si="0"/>
        <v>810</v>
      </c>
      <c r="K11" s="25"/>
      <c r="L11" s="35"/>
      <c r="M11" s="27"/>
    </row>
    <row r="12" spans="1:14">
      <c r="A12" s="28" t="s">
        <v>8</v>
      </c>
      <c r="B12" s="29">
        <v>11827361</v>
      </c>
      <c r="C12" s="30" t="s">
        <v>20</v>
      </c>
      <c r="D12" s="31" t="s">
        <v>10</v>
      </c>
      <c r="E12" s="43">
        <f>400*2+800+400+400*4</f>
        <v>3600</v>
      </c>
      <c r="F12" s="33"/>
      <c r="G12" s="32"/>
      <c r="H12" s="23"/>
      <c r="I12" s="34"/>
      <c r="J12" s="25">
        <f t="shared" si="0"/>
        <v>3600</v>
      </c>
      <c r="K12" s="32">
        <f>12*6+4</f>
        <v>76</v>
      </c>
      <c r="L12" s="35">
        <v>5.64</v>
      </c>
      <c r="N12" s="27"/>
    </row>
    <row r="13" spans="1:14">
      <c r="A13" s="28" t="s">
        <v>8</v>
      </c>
      <c r="B13" s="29">
        <v>11061758</v>
      </c>
      <c r="C13" s="30" t="s">
        <v>21</v>
      </c>
      <c r="D13" s="31" t="s">
        <v>10</v>
      </c>
      <c r="E13" s="32"/>
      <c r="F13" s="33"/>
      <c r="G13" s="32"/>
      <c r="H13" s="23"/>
      <c r="I13" s="34"/>
      <c r="J13" s="25">
        <f t="shared" si="0"/>
        <v>0</v>
      </c>
      <c r="K13" s="25"/>
      <c r="L13" s="35"/>
    </row>
    <row r="14" spans="1:14">
      <c r="A14" s="28" t="s">
        <v>8</v>
      </c>
      <c r="B14" s="29">
        <v>11067112</v>
      </c>
      <c r="C14" s="30" t="s">
        <v>22</v>
      </c>
      <c r="D14" s="31" t="s">
        <v>10</v>
      </c>
      <c r="E14" s="32">
        <f>15*20+15*20+14*20</f>
        <v>880</v>
      </c>
      <c r="F14" s="33"/>
      <c r="G14" s="32"/>
      <c r="H14" s="23"/>
      <c r="I14" s="44"/>
      <c r="J14" s="25">
        <f t="shared" si="0"/>
        <v>880</v>
      </c>
      <c r="K14" s="25">
        <f>11*20+11*20</f>
        <v>440</v>
      </c>
      <c r="L14" s="35">
        <v>400</v>
      </c>
      <c r="M14" s="27"/>
      <c r="N14" s="27"/>
    </row>
    <row r="15" spans="1:14">
      <c r="A15" s="28" t="s">
        <v>8</v>
      </c>
      <c r="B15" s="29">
        <v>67548424</v>
      </c>
      <c r="C15" s="30" t="s">
        <v>23</v>
      </c>
      <c r="D15" s="31" t="s">
        <v>10</v>
      </c>
      <c r="E15" s="32">
        <f>100+3*50</f>
        <v>250</v>
      </c>
      <c r="F15" s="33"/>
      <c r="G15" s="32"/>
      <c r="H15" s="23"/>
      <c r="I15" s="44"/>
      <c r="J15" s="25">
        <f t="shared" si="0"/>
        <v>250</v>
      </c>
      <c r="K15" s="25"/>
      <c r="L15" s="35"/>
    </row>
    <row r="16" spans="1:14">
      <c r="A16" s="28" t="s">
        <v>8</v>
      </c>
      <c r="B16" s="29">
        <v>11061732</v>
      </c>
      <c r="C16" s="30" t="s">
        <v>24</v>
      </c>
      <c r="D16" s="31" t="s">
        <v>10</v>
      </c>
      <c r="E16" s="32">
        <v>30</v>
      </c>
      <c r="F16" s="33"/>
      <c r="G16" s="32"/>
      <c r="H16" s="23"/>
      <c r="I16" s="44"/>
      <c r="J16" s="25">
        <f t="shared" si="0"/>
        <v>30</v>
      </c>
      <c r="K16" s="25"/>
      <c r="L16" s="35"/>
      <c r="M16" s="27"/>
    </row>
    <row r="17" spans="1:15" ht="15.75" customHeight="1">
      <c r="A17" s="28" t="s">
        <v>8</v>
      </c>
      <c r="B17" s="29">
        <v>11065981</v>
      </c>
      <c r="C17" s="30" t="s">
        <v>25</v>
      </c>
      <c r="D17" s="31" t="s">
        <v>10</v>
      </c>
      <c r="E17" s="32">
        <f>8*25+12*25+8*25</f>
        <v>700</v>
      </c>
      <c r="F17" s="33"/>
      <c r="G17" s="45"/>
      <c r="H17" s="24"/>
      <c r="I17" s="44"/>
      <c r="J17" s="25">
        <f t="shared" si="0"/>
        <v>700</v>
      </c>
      <c r="K17" s="25"/>
      <c r="L17" s="35"/>
      <c r="M17" s="27"/>
    </row>
    <row r="18" spans="1:15">
      <c r="A18" s="28" t="s">
        <v>8</v>
      </c>
      <c r="B18" s="29">
        <v>11066541</v>
      </c>
      <c r="C18" s="30" t="s">
        <v>26</v>
      </c>
      <c r="D18" s="31" t="s">
        <v>10</v>
      </c>
      <c r="E18" s="32">
        <f>750+11*15+1500*2+39*15</f>
        <v>4500</v>
      </c>
      <c r="F18" s="33"/>
      <c r="G18" s="32"/>
      <c r="H18" s="23"/>
      <c r="I18" s="44"/>
      <c r="J18" s="25">
        <f t="shared" si="0"/>
        <v>4500</v>
      </c>
      <c r="K18" s="25">
        <v>16.3</v>
      </c>
      <c r="L18" s="35"/>
      <c r="M18" s="27"/>
    </row>
    <row r="19" spans="1:15">
      <c r="A19" s="28" t="s">
        <v>8</v>
      </c>
      <c r="B19" s="29">
        <v>11068103</v>
      </c>
      <c r="C19" s="30" t="s">
        <v>27</v>
      </c>
      <c r="D19" s="31" t="s">
        <v>10</v>
      </c>
      <c r="E19" s="32">
        <f>26*20+1000+1000+1000</f>
        <v>3520</v>
      </c>
      <c r="F19" s="33"/>
      <c r="G19" s="32"/>
      <c r="H19" s="23"/>
      <c r="I19" s="44"/>
      <c r="J19" s="25">
        <f t="shared" si="0"/>
        <v>3520</v>
      </c>
      <c r="K19" s="25"/>
      <c r="L19" s="35"/>
    </row>
    <row r="20" spans="1:15">
      <c r="A20" s="28" t="s">
        <v>8</v>
      </c>
      <c r="B20" s="29">
        <v>68529522</v>
      </c>
      <c r="C20" s="30" t="s">
        <v>28</v>
      </c>
      <c r="D20" s="31" t="s">
        <v>10</v>
      </c>
      <c r="E20" s="32">
        <v>25</v>
      </c>
      <c r="F20" s="33"/>
      <c r="G20" s="32"/>
      <c r="H20" s="23"/>
      <c r="I20" s="44"/>
      <c r="J20" s="25">
        <f t="shared" si="0"/>
        <v>25</v>
      </c>
      <c r="K20" s="25"/>
      <c r="L20" s="35"/>
    </row>
    <row r="21" spans="1:15">
      <c r="A21" s="28" t="s">
        <v>8</v>
      </c>
      <c r="B21" s="46">
        <v>69781265</v>
      </c>
      <c r="C21" s="47" t="s">
        <v>29</v>
      </c>
      <c r="D21" s="31" t="s">
        <v>10</v>
      </c>
      <c r="E21" s="32"/>
      <c r="F21" s="33"/>
      <c r="G21" s="32"/>
      <c r="H21" s="23"/>
      <c r="I21" s="44"/>
      <c r="J21" s="25">
        <f t="shared" si="0"/>
        <v>0</v>
      </c>
      <c r="K21" s="25"/>
      <c r="L21" s="35"/>
    </row>
    <row r="22" spans="1:15">
      <c r="A22" s="28" t="s">
        <v>8</v>
      </c>
      <c r="B22" s="46">
        <v>69781147</v>
      </c>
      <c r="C22" s="47" t="s">
        <v>30</v>
      </c>
      <c r="D22" s="31" t="s">
        <v>10</v>
      </c>
      <c r="E22" s="32"/>
      <c r="F22" s="33"/>
      <c r="G22" s="32"/>
      <c r="H22" s="23"/>
      <c r="I22" s="44"/>
      <c r="J22" s="25">
        <f t="shared" si="0"/>
        <v>0</v>
      </c>
      <c r="K22" s="25"/>
      <c r="L22" s="35"/>
    </row>
    <row r="23" spans="1:15">
      <c r="A23" s="28"/>
      <c r="B23" s="29"/>
      <c r="C23" s="30"/>
      <c r="D23" s="31"/>
      <c r="E23" s="32"/>
      <c r="F23" s="33"/>
      <c r="G23" s="41"/>
      <c r="H23" s="23"/>
      <c r="I23" s="44"/>
      <c r="J23" s="25">
        <f t="shared" si="0"/>
        <v>0</v>
      </c>
      <c r="K23" s="25"/>
      <c r="L23" s="35"/>
      <c r="M23" s="27"/>
    </row>
    <row r="24" spans="1:15">
      <c r="A24" s="28" t="s">
        <v>8</v>
      </c>
      <c r="B24" s="17">
        <v>11067431</v>
      </c>
      <c r="C24" s="30" t="s">
        <v>31</v>
      </c>
      <c r="D24" s="31" t="s">
        <v>10</v>
      </c>
      <c r="E24" s="32">
        <v>2000</v>
      </c>
      <c r="F24" s="33"/>
      <c r="G24" s="41"/>
      <c r="H24" s="48"/>
      <c r="I24" s="44"/>
      <c r="J24" s="25">
        <f t="shared" si="0"/>
        <v>2000</v>
      </c>
      <c r="K24" s="25"/>
      <c r="L24" s="35"/>
    </row>
    <row r="25" spans="1:15">
      <c r="A25" s="28" t="s">
        <v>8</v>
      </c>
      <c r="B25" s="29">
        <v>11000448</v>
      </c>
      <c r="C25" s="30" t="s">
        <v>32</v>
      </c>
      <c r="D25" s="31" t="s">
        <v>10</v>
      </c>
      <c r="E25" s="41"/>
      <c r="F25" s="40"/>
      <c r="G25" s="41"/>
      <c r="H25" s="48"/>
      <c r="I25" s="44"/>
      <c r="J25" s="25">
        <f t="shared" si="0"/>
        <v>0</v>
      </c>
      <c r="K25" s="25"/>
      <c r="L25" s="35"/>
      <c r="M25" s="27"/>
    </row>
    <row r="26" spans="1:15">
      <c r="A26" s="28" t="s">
        <v>8</v>
      </c>
      <c r="B26" s="29">
        <v>11000448</v>
      </c>
      <c r="C26" s="30" t="s">
        <v>33</v>
      </c>
      <c r="D26" s="31" t="s">
        <v>10</v>
      </c>
      <c r="E26" s="32"/>
      <c r="F26" s="33"/>
      <c r="G26" s="32"/>
      <c r="H26" s="50"/>
      <c r="I26" s="51"/>
      <c r="J26" s="25">
        <f t="shared" si="0"/>
        <v>0</v>
      </c>
      <c r="K26" s="25"/>
      <c r="L26" s="35"/>
      <c r="M26" s="27"/>
      <c r="O26" s="27"/>
    </row>
    <row r="27" spans="1:15">
      <c r="A27" s="28"/>
      <c r="B27" s="29">
        <v>11000448</v>
      </c>
      <c r="C27" s="30" t="s">
        <v>34</v>
      </c>
      <c r="D27" s="31" t="s">
        <v>10</v>
      </c>
      <c r="E27" s="32"/>
      <c r="F27" s="33"/>
      <c r="G27" s="32"/>
      <c r="H27" s="50"/>
      <c r="I27" s="52"/>
      <c r="J27" s="25">
        <f t="shared" si="0"/>
        <v>0</v>
      </c>
      <c r="K27" s="25"/>
      <c r="L27" s="49"/>
      <c r="M27" s="27"/>
      <c r="N27" s="27"/>
    </row>
    <row r="28" spans="1:15">
      <c r="A28" s="28" t="s">
        <v>8</v>
      </c>
      <c r="B28" s="46">
        <v>11063712</v>
      </c>
      <c r="C28" s="47" t="s">
        <v>35</v>
      </c>
      <c r="D28" s="31" t="s">
        <v>10</v>
      </c>
      <c r="E28" s="32">
        <f>43*7+4+42*7+14</f>
        <v>613</v>
      </c>
      <c r="F28" s="33"/>
      <c r="G28" s="32"/>
      <c r="H28" s="48"/>
      <c r="I28" s="44"/>
      <c r="J28" s="25">
        <f t="shared" si="0"/>
        <v>613</v>
      </c>
      <c r="K28" s="25"/>
      <c r="L28" s="35"/>
      <c r="M28" s="27"/>
    </row>
    <row r="29" spans="1:15">
      <c r="A29" s="28" t="s">
        <v>8</v>
      </c>
      <c r="B29" s="46">
        <v>67641184</v>
      </c>
      <c r="C29" s="47" t="s">
        <v>36</v>
      </c>
      <c r="D29" s="31" t="s">
        <v>10</v>
      </c>
      <c r="E29" s="32">
        <f>25*7+1+7*15+7*24+9</f>
        <v>458</v>
      </c>
      <c r="F29" s="33"/>
      <c r="G29" s="32"/>
      <c r="H29" s="48"/>
      <c r="I29" s="44"/>
      <c r="J29" s="25">
        <f t="shared" si="0"/>
        <v>458</v>
      </c>
      <c r="K29" s="42">
        <f>33*25+20*25+23.605*12+23.06+5000+1000+21*25+2000+15000</f>
        <v>25156.32</v>
      </c>
      <c r="L29" s="35"/>
      <c r="M29" s="27"/>
      <c r="N29" s="53"/>
    </row>
    <row r="30" spans="1:15" ht="14.25" customHeight="1">
      <c r="A30" s="28" t="s">
        <v>8</v>
      </c>
      <c r="B30" s="46">
        <v>11055492</v>
      </c>
      <c r="C30" s="47" t="s">
        <v>37</v>
      </c>
      <c r="D30" s="31" t="s">
        <v>10</v>
      </c>
      <c r="E30" s="32">
        <f>20+20*2</f>
        <v>60</v>
      </c>
      <c r="F30" s="40"/>
      <c r="G30" s="41"/>
      <c r="H30" s="48"/>
      <c r="I30" s="44"/>
      <c r="J30" s="25">
        <f t="shared" si="0"/>
        <v>60</v>
      </c>
      <c r="K30" s="25"/>
      <c r="L30" s="35"/>
      <c r="M30" s="27"/>
      <c r="N30" s="27"/>
      <c r="O30" s="27"/>
    </row>
    <row r="31" spans="1:15">
      <c r="A31" s="28" t="s">
        <v>8</v>
      </c>
      <c r="B31" s="46">
        <v>67548282</v>
      </c>
      <c r="C31" s="47" t="s">
        <v>38</v>
      </c>
      <c r="D31" s="31" t="s">
        <v>10</v>
      </c>
      <c r="E31" s="32"/>
      <c r="F31" s="40"/>
      <c r="G31" s="41"/>
      <c r="H31" s="48"/>
      <c r="I31" s="44"/>
      <c r="J31" s="25">
        <f t="shared" si="0"/>
        <v>0</v>
      </c>
      <c r="K31" s="25">
        <v>63.23</v>
      </c>
      <c r="L31" s="35">
        <f>7*3</f>
        <v>21</v>
      </c>
      <c r="M31" s="27"/>
    </row>
    <row r="32" spans="1:15">
      <c r="A32" s="28" t="s">
        <v>8</v>
      </c>
      <c r="B32" s="46">
        <v>11058892</v>
      </c>
      <c r="C32" s="47" t="s">
        <v>39</v>
      </c>
      <c r="D32" s="31" t="s">
        <v>10</v>
      </c>
      <c r="E32" s="32">
        <f>15*3+15*4</f>
        <v>105</v>
      </c>
      <c r="F32" s="33"/>
      <c r="G32" s="41"/>
      <c r="H32" s="48"/>
      <c r="I32" s="44"/>
      <c r="J32" s="25">
        <f t="shared" si="0"/>
        <v>105</v>
      </c>
      <c r="K32" s="25"/>
      <c r="L32" s="35"/>
      <c r="M32" s="27"/>
    </row>
    <row r="33" spans="1:13">
      <c r="A33" s="28" t="s">
        <v>8</v>
      </c>
      <c r="B33" s="46">
        <v>11063692</v>
      </c>
      <c r="C33" s="47" t="s">
        <v>40</v>
      </c>
      <c r="D33" s="31" t="s">
        <v>10</v>
      </c>
      <c r="E33" s="32">
        <v>25</v>
      </c>
      <c r="F33" s="40"/>
      <c r="G33" s="41"/>
      <c r="H33" s="48"/>
      <c r="I33" s="44"/>
      <c r="J33" s="25">
        <f t="shared" si="0"/>
        <v>25</v>
      </c>
      <c r="K33" s="25"/>
      <c r="L33" s="35"/>
      <c r="M33" s="27"/>
    </row>
    <row r="34" spans="1:13" ht="15.75" customHeight="1">
      <c r="A34" s="28"/>
      <c r="B34" s="46"/>
      <c r="C34" s="47"/>
      <c r="D34" s="31"/>
      <c r="E34" s="32"/>
      <c r="F34" s="40"/>
      <c r="G34" s="41"/>
      <c r="H34" s="48"/>
      <c r="I34" s="44"/>
      <c r="J34" s="25">
        <f t="shared" si="0"/>
        <v>0</v>
      </c>
      <c r="K34" s="25"/>
      <c r="L34" s="35"/>
    </row>
    <row r="35" spans="1:13">
      <c r="A35" s="28" t="s">
        <v>8</v>
      </c>
      <c r="B35" s="46">
        <v>11003072</v>
      </c>
      <c r="C35" s="47" t="s">
        <v>41</v>
      </c>
      <c r="D35" s="31" t="s">
        <v>10</v>
      </c>
      <c r="E35" s="38">
        <v>1000</v>
      </c>
      <c r="F35" s="40"/>
      <c r="G35" s="16"/>
      <c r="H35" s="49"/>
      <c r="I35" s="34"/>
      <c r="J35" s="25">
        <f t="shared" si="0"/>
        <v>1000</v>
      </c>
      <c r="K35" s="25"/>
      <c r="L35" s="35"/>
      <c r="M35" s="54"/>
    </row>
    <row r="36" spans="1:13">
      <c r="A36" s="28" t="s">
        <v>8</v>
      </c>
      <c r="B36" s="46">
        <v>11068106</v>
      </c>
      <c r="C36" s="47" t="s">
        <v>42</v>
      </c>
      <c r="D36" s="31" t="s">
        <v>10</v>
      </c>
      <c r="E36" s="32">
        <v>100</v>
      </c>
      <c r="F36" s="40"/>
      <c r="G36" s="41"/>
      <c r="H36" s="48"/>
      <c r="I36" s="44"/>
      <c r="J36" s="25">
        <f t="shared" si="0"/>
        <v>100</v>
      </c>
      <c r="K36" s="25"/>
      <c r="L36" s="35"/>
      <c r="M36" s="27"/>
    </row>
    <row r="37" spans="1:13">
      <c r="A37" s="28" t="s">
        <v>8</v>
      </c>
      <c r="B37" s="46">
        <v>11068122</v>
      </c>
      <c r="C37" s="47" t="s">
        <v>43</v>
      </c>
      <c r="D37" s="31" t="s">
        <v>10</v>
      </c>
      <c r="E37" s="32"/>
      <c r="F37" s="40"/>
      <c r="G37" s="41"/>
      <c r="H37" s="48"/>
      <c r="I37" s="44"/>
      <c r="J37" s="25">
        <f t="shared" si="0"/>
        <v>0</v>
      </c>
      <c r="K37" s="25"/>
      <c r="L37" s="35"/>
      <c r="M37" s="27"/>
    </row>
    <row r="38" spans="1:13">
      <c r="A38" s="28" t="s">
        <v>8</v>
      </c>
      <c r="B38" s="46">
        <v>11068110</v>
      </c>
      <c r="C38" s="47" t="s">
        <v>44</v>
      </c>
      <c r="D38" s="31" t="s">
        <v>10</v>
      </c>
      <c r="E38" s="32"/>
      <c r="F38" s="40"/>
      <c r="G38" s="41"/>
      <c r="H38" s="48"/>
      <c r="I38" s="44"/>
      <c r="J38" s="25">
        <f t="shared" si="0"/>
        <v>0</v>
      </c>
      <c r="K38" s="25"/>
      <c r="L38" s="35"/>
    </row>
    <row r="39" spans="1:13">
      <c r="A39" s="28"/>
      <c r="B39" s="29"/>
      <c r="C39" s="30"/>
      <c r="D39" s="31"/>
      <c r="E39" s="32"/>
      <c r="F39" s="40"/>
      <c r="G39" s="41"/>
      <c r="H39" s="48"/>
      <c r="I39" s="44"/>
      <c r="J39" s="25">
        <f t="shared" si="0"/>
        <v>0</v>
      </c>
      <c r="K39" s="25"/>
      <c r="L39" s="35">
        <f>25+21.29+5.74*2+6.12</f>
        <v>63.889999999999993</v>
      </c>
    </row>
    <row r="40" spans="1:13">
      <c r="A40" s="28" t="s">
        <v>8</v>
      </c>
      <c r="B40" s="46">
        <v>67791483</v>
      </c>
      <c r="C40" s="47" t="s">
        <v>45</v>
      </c>
      <c r="D40" s="31" t="s">
        <v>10</v>
      </c>
      <c r="E40" s="41"/>
      <c r="F40" s="40"/>
      <c r="G40" s="41"/>
      <c r="H40" s="48"/>
      <c r="I40" s="44"/>
      <c r="J40" s="25">
        <f t="shared" si="0"/>
        <v>0</v>
      </c>
      <c r="K40" s="25"/>
      <c r="L40" s="35"/>
    </row>
    <row r="41" spans="1:13">
      <c r="A41" s="28" t="s">
        <v>8</v>
      </c>
      <c r="B41" s="46">
        <v>11068121</v>
      </c>
      <c r="C41" s="47" t="s">
        <v>46</v>
      </c>
      <c r="D41" s="31" t="s">
        <v>10</v>
      </c>
      <c r="E41" s="32">
        <v>25</v>
      </c>
      <c r="F41" s="33"/>
      <c r="G41" s="32"/>
      <c r="H41" s="48"/>
      <c r="I41" s="44"/>
      <c r="J41" s="25">
        <f t="shared" si="0"/>
        <v>25</v>
      </c>
      <c r="K41" s="25"/>
      <c r="L41" s="35"/>
    </row>
    <row r="42" spans="1:13" ht="16.5" customHeight="1">
      <c r="A42" s="28" t="s">
        <v>8</v>
      </c>
      <c r="B42" s="46">
        <v>11068105</v>
      </c>
      <c r="C42" s="47" t="s">
        <v>47</v>
      </c>
      <c r="D42" s="31" t="s">
        <v>10</v>
      </c>
      <c r="E42" s="32"/>
      <c r="F42" s="33"/>
      <c r="G42" s="32"/>
      <c r="H42" s="48"/>
      <c r="I42" s="44"/>
      <c r="J42" s="25">
        <f t="shared" si="0"/>
        <v>0</v>
      </c>
      <c r="K42" s="25"/>
      <c r="L42" s="35"/>
    </row>
    <row r="43" spans="1:13">
      <c r="A43" s="28" t="s">
        <v>8</v>
      </c>
      <c r="B43" s="46">
        <v>11068104</v>
      </c>
      <c r="C43" s="47" t="s">
        <v>48</v>
      </c>
      <c r="D43" s="31" t="s">
        <v>10</v>
      </c>
      <c r="E43" s="32">
        <v>11</v>
      </c>
      <c r="F43" s="33"/>
      <c r="G43" s="32"/>
      <c r="H43" s="48"/>
      <c r="I43" s="44"/>
      <c r="J43" s="25">
        <f t="shared" si="0"/>
        <v>11</v>
      </c>
      <c r="K43" s="25"/>
      <c r="L43" s="35"/>
    </row>
    <row r="44" spans="1:13" ht="14.25" customHeight="1">
      <c r="A44" s="28"/>
      <c r="B44" s="55"/>
      <c r="C44" s="56"/>
      <c r="D44" s="57"/>
      <c r="E44" s="32"/>
      <c r="F44" s="33"/>
      <c r="G44" s="32"/>
      <c r="H44" s="48"/>
      <c r="I44" s="44"/>
      <c r="J44" s="25">
        <f t="shared" si="0"/>
        <v>0</v>
      </c>
      <c r="K44" s="25">
        <v>10.45</v>
      </c>
      <c r="L44" s="35"/>
    </row>
    <row r="45" spans="1:13">
      <c r="A45" s="28" t="s">
        <v>8</v>
      </c>
      <c r="B45" s="55">
        <v>69628041</v>
      </c>
      <c r="C45" s="56" t="s">
        <v>49</v>
      </c>
      <c r="D45" s="57" t="s">
        <v>10</v>
      </c>
      <c r="E45" s="32">
        <v>25</v>
      </c>
      <c r="F45" s="33"/>
      <c r="G45" s="32"/>
      <c r="H45" s="48"/>
      <c r="I45" s="44"/>
      <c r="J45" s="25">
        <f t="shared" si="0"/>
        <v>25</v>
      </c>
      <c r="K45" s="25"/>
      <c r="L45" s="35"/>
    </row>
    <row r="46" spans="1:13">
      <c r="A46" s="28" t="s">
        <v>8</v>
      </c>
      <c r="B46" s="55">
        <v>11057361</v>
      </c>
      <c r="C46" s="56" t="s">
        <v>50</v>
      </c>
      <c r="D46" s="57" t="s">
        <v>10</v>
      </c>
      <c r="E46" s="32">
        <v>25</v>
      </c>
      <c r="F46" s="33"/>
      <c r="G46" s="32"/>
      <c r="H46" s="48"/>
      <c r="I46" s="44"/>
      <c r="J46" s="25">
        <f t="shared" si="0"/>
        <v>25</v>
      </c>
      <c r="K46" s="25"/>
      <c r="L46" s="35"/>
    </row>
    <row r="47" spans="1:13">
      <c r="A47" s="28"/>
      <c r="B47" s="58"/>
      <c r="C47" s="59"/>
      <c r="D47" s="57"/>
      <c r="E47" s="32"/>
      <c r="F47" s="33"/>
      <c r="G47" s="32"/>
      <c r="H47" s="48"/>
      <c r="I47" s="44"/>
      <c r="J47" s="25">
        <f t="shared" si="0"/>
        <v>0</v>
      </c>
      <c r="K47" s="25"/>
      <c r="L47" s="35"/>
    </row>
    <row r="48" spans="1:13" ht="15">
      <c r="A48" s="60" t="s">
        <v>51</v>
      </c>
      <c r="B48" s="61">
        <v>94010257</v>
      </c>
      <c r="C48" s="62" t="s">
        <v>52</v>
      </c>
      <c r="D48" s="63"/>
      <c r="E48" s="64"/>
      <c r="F48" s="65"/>
      <c r="G48" s="64"/>
      <c r="H48" s="64"/>
      <c r="I48" s="66"/>
      <c r="J48" s="25">
        <f t="shared" si="0"/>
        <v>0</v>
      </c>
      <c r="K48" s="25"/>
      <c r="L48" s="35"/>
    </row>
    <row r="49" spans="1:14">
      <c r="A49" s="28" t="s">
        <v>53</v>
      </c>
      <c r="B49" s="46">
        <v>11511490</v>
      </c>
      <c r="C49" s="47" t="s">
        <v>54</v>
      </c>
      <c r="D49" s="31" t="s">
        <v>55</v>
      </c>
      <c r="E49" s="32">
        <f>50*1000</f>
        <v>50000</v>
      </c>
      <c r="F49" s="33"/>
      <c r="G49" s="32"/>
      <c r="H49" s="48"/>
      <c r="I49" s="44"/>
      <c r="J49" s="25">
        <f t="shared" si="0"/>
        <v>50000</v>
      </c>
      <c r="K49" s="25"/>
      <c r="L49" s="35"/>
    </row>
    <row r="50" spans="1:14">
      <c r="A50" s="28" t="s">
        <v>53</v>
      </c>
      <c r="B50" s="46">
        <v>68441968</v>
      </c>
      <c r="C50" s="47" t="s">
        <v>56</v>
      </c>
      <c r="D50" s="31" t="s">
        <v>57</v>
      </c>
      <c r="E50" s="32">
        <f>17*1500+2000</f>
        <v>27500</v>
      </c>
      <c r="F50" s="33"/>
      <c r="G50" s="32"/>
      <c r="H50" s="48"/>
      <c r="I50" s="44"/>
      <c r="J50" s="25">
        <f t="shared" si="0"/>
        <v>27500</v>
      </c>
      <c r="K50" s="67"/>
      <c r="L50" s="68"/>
    </row>
    <row r="51" spans="1:14">
      <c r="A51" s="28" t="s">
        <v>53</v>
      </c>
      <c r="B51" s="46">
        <v>68441966</v>
      </c>
      <c r="C51" s="47" t="s">
        <v>58</v>
      </c>
      <c r="D51" s="31" t="s">
        <v>57</v>
      </c>
      <c r="E51" s="32">
        <f>289+15*300</f>
        <v>4789</v>
      </c>
      <c r="F51" s="71"/>
      <c r="G51" s="32"/>
      <c r="H51" s="48"/>
      <c r="I51" s="44"/>
      <c r="J51" s="25">
        <f t="shared" si="0"/>
        <v>4789</v>
      </c>
      <c r="K51" s="69">
        <f>4098+2000</f>
        <v>6098</v>
      </c>
      <c r="L51" s="35"/>
    </row>
    <row r="52" spans="1:14">
      <c r="A52" s="28" t="s">
        <v>53</v>
      </c>
      <c r="B52" s="46" t="s">
        <v>59</v>
      </c>
      <c r="C52" s="74" t="s">
        <v>60</v>
      </c>
      <c r="D52" s="31" t="s">
        <v>57</v>
      </c>
      <c r="E52" s="32">
        <v>36000</v>
      </c>
      <c r="F52" s="75"/>
      <c r="G52" s="32"/>
      <c r="H52" s="48"/>
      <c r="I52" s="44"/>
      <c r="J52" s="25">
        <f t="shared" si="0"/>
        <v>36000</v>
      </c>
      <c r="K52" s="70">
        <v>8076</v>
      </c>
      <c r="L52" s="35"/>
    </row>
    <row r="53" spans="1:14" s="72" customFormat="1">
      <c r="A53" s="76" t="s">
        <v>53</v>
      </c>
      <c r="B53" s="77">
        <v>68441965</v>
      </c>
      <c r="C53" s="78" t="s">
        <v>61</v>
      </c>
      <c r="D53" s="79" t="s">
        <v>57</v>
      </c>
      <c r="E53" s="80">
        <f>60000+2500*8</f>
        <v>80000</v>
      </c>
      <c r="F53" s="81"/>
      <c r="G53" s="82"/>
      <c r="H53" s="83"/>
      <c r="I53" s="44"/>
      <c r="J53" s="25">
        <f t="shared" si="0"/>
        <v>80000</v>
      </c>
      <c r="K53" s="25"/>
      <c r="L53" s="35"/>
      <c r="N53" s="73"/>
    </row>
    <row r="54" spans="1:14" ht="14.25" customHeight="1">
      <c r="A54" s="28" t="s">
        <v>53</v>
      </c>
      <c r="B54" s="46">
        <v>69713625</v>
      </c>
      <c r="C54" s="47" t="s">
        <v>62</v>
      </c>
      <c r="D54" s="31" t="s">
        <v>57</v>
      </c>
      <c r="E54" s="32">
        <v>73</v>
      </c>
      <c r="F54" s="75"/>
      <c r="G54" s="32"/>
      <c r="H54" s="48"/>
      <c r="I54" s="44"/>
      <c r="J54" s="25">
        <f t="shared" si="0"/>
        <v>73</v>
      </c>
      <c r="K54" s="25"/>
      <c r="L54" s="70"/>
      <c r="N54" s="27"/>
    </row>
    <row r="55" spans="1:14" s="86" customFormat="1">
      <c r="A55" s="28" t="s">
        <v>53</v>
      </c>
      <c r="B55" s="46">
        <v>68441969</v>
      </c>
      <c r="C55" s="47" t="s">
        <v>63</v>
      </c>
      <c r="D55" s="31" t="s">
        <v>57</v>
      </c>
      <c r="E55" s="32">
        <f>18+1081+120</f>
        <v>1219</v>
      </c>
      <c r="F55" s="33"/>
      <c r="G55" s="32"/>
      <c r="H55" s="48"/>
      <c r="I55" s="44"/>
      <c r="J55" s="25">
        <f t="shared" si="0"/>
        <v>1219</v>
      </c>
      <c r="K55" s="84">
        <v>0</v>
      </c>
      <c r="L55" s="85"/>
    </row>
    <row r="56" spans="1:14">
      <c r="A56" s="28" t="s">
        <v>53</v>
      </c>
      <c r="B56" s="46">
        <v>68441963</v>
      </c>
      <c r="C56" s="47" t="s">
        <v>64</v>
      </c>
      <c r="D56" s="31" t="s">
        <v>57</v>
      </c>
      <c r="E56" s="32">
        <f>106+1900+100+15*100</f>
        <v>3606</v>
      </c>
      <c r="F56" s="33"/>
      <c r="G56" s="32"/>
      <c r="H56" s="48"/>
      <c r="I56" s="44"/>
      <c r="J56" s="25">
        <f t="shared" si="0"/>
        <v>3606</v>
      </c>
      <c r="K56" s="25"/>
      <c r="L56" s="35"/>
      <c r="M56" s="87"/>
    </row>
    <row r="57" spans="1:14">
      <c r="A57" s="28" t="s">
        <v>53</v>
      </c>
      <c r="B57" s="46">
        <v>11490701</v>
      </c>
      <c r="C57" s="47" t="s">
        <v>65</v>
      </c>
      <c r="D57" s="31" t="s">
        <v>57</v>
      </c>
      <c r="E57" s="32"/>
      <c r="F57" s="33"/>
      <c r="G57" s="32"/>
      <c r="H57" s="48"/>
      <c r="I57" s="44"/>
      <c r="J57" s="25">
        <f t="shared" si="0"/>
        <v>0</v>
      </c>
      <c r="K57" s="25"/>
      <c r="L57" s="35"/>
    </row>
    <row r="58" spans="1:14" ht="16.5" customHeight="1">
      <c r="A58" s="28" t="s">
        <v>53</v>
      </c>
      <c r="B58" s="46">
        <v>67998286</v>
      </c>
      <c r="C58" s="47" t="s">
        <v>66</v>
      </c>
      <c r="D58" s="31" t="s">
        <v>55</v>
      </c>
      <c r="E58" s="32">
        <f>44*50+2400*2</f>
        <v>7000</v>
      </c>
      <c r="F58" s="33"/>
      <c r="G58" s="32"/>
      <c r="H58" s="48"/>
      <c r="I58" s="44"/>
      <c r="J58" s="25">
        <f t="shared" si="0"/>
        <v>7000</v>
      </c>
      <c r="K58" s="25"/>
      <c r="L58" s="35"/>
    </row>
    <row r="59" spans="1:14" ht="15">
      <c r="A59" s="28" t="s">
        <v>53</v>
      </c>
      <c r="B59" s="88">
        <v>67998292</v>
      </c>
      <c r="C59" s="89" t="s">
        <v>67</v>
      </c>
      <c r="D59" s="31" t="s">
        <v>55</v>
      </c>
      <c r="E59" s="32"/>
      <c r="F59" s="33"/>
      <c r="G59" s="32"/>
      <c r="H59" s="48"/>
      <c r="I59" s="44"/>
      <c r="J59" s="25">
        <f t="shared" si="0"/>
        <v>0</v>
      </c>
      <c r="K59" s="25">
        <f>265+400</f>
        <v>665</v>
      </c>
      <c r="L59" s="35"/>
    </row>
    <row r="60" spans="1:14" ht="15">
      <c r="A60" s="28"/>
      <c r="B60" s="88"/>
      <c r="C60" s="89"/>
      <c r="D60" s="31"/>
      <c r="E60" s="32"/>
      <c r="F60" s="33"/>
      <c r="G60" s="32"/>
      <c r="H60" s="90"/>
      <c r="I60" s="44"/>
      <c r="J60" s="25">
        <f t="shared" si="0"/>
        <v>0</v>
      </c>
      <c r="K60" s="25"/>
      <c r="L60" s="35"/>
    </row>
    <row r="61" spans="1:14" ht="15">
      <c r="A61" s="60" t="s">
        <v>51</v>
      </c>
      <c r="B61" s="61">
        <v>94012468</v>
      </c>
      <c r="C61" s="62" t="s">
        <v>68</v>
      </c>
      <c r="D61" s="63"/>
      <c r="E61" s="64"/>
      <c r="F61" s="91"/>
      <c r="G61" s="92"/>
      <c r="H61" s="93"/>
      <c r="I61" s="67"/>
      <c r="J61" s="25">
        <f t="shared" si="0"/>
        <v>0</v>
      </c>
      <c r="K61" s="25"/>
      <c r="L61" s="35"/>
    </row>
    <row r="62" spans="1:14">
      <c r="A62" s="28" t="s">
        <v>53</v>
      </c>
      <c r="B62" s="46">
        <v>64344224</v>
      </c>
      <c r="C62" s="47" t="s">
        <v>69</v>
      </c>
      <c r="D62" s="31" t="s">
        <v>57</v>
      </c>
      <c r="E62" s="32">
        <f>224+14*224+16*224</f>
        <v>6944</v>
      </c>
      <c r="F62" s="94"/>
      <c r="G62" s="41"/>
      <c r="H62" s="43"/>
      <c r="I62" s="95"/>
      <c r="J62" s="25">
        <f t="shared" si="0"/>
        <v>6944</v>
      </c>
      <c r="K62" s="25"/>
      <c r="L62" s="35"/>
    </row>
    <row r="63" spans="1:14">
      <c r="A63" s="28" t="s">
        <v>53</v>
      </c>
      <c r="B63" s="46">
        <v>64872138</v>
      </c>
      <c r="C63" s="47" t="s">
        <v>70</v>
      </c>
      <c r="D63" s="31" t="s">
        <v>57</v>
      </c>
      <c r="E63" s="96">
        <v>22000</v>
      </c>
      <c r="F63" s="94"/>
      <c r="G63" s="41"/>
      <c r="H63" s="43"/>
      <c r="I63" s="95"/>
      <c r="J63" s="25">
        <f t="shared" si="0"/>
        <v>22000</v>
      </c>
      <c r="K63" s="68"/>
      <c r="L63" s="68"/>
    </row>
    <row r="64" spans="1:14">
      <c r="A64" s="28" t="s">
        <v>53</v>
      </c>
      <c r="B64" s="46">
        <v>64344223</v>
      </c>
      <c r="C64" s="47" t="s">
        <v>71</v>
      </c>
      <c r="D64" s="31" t="s">
        <v>57</v>
      </c>
      <c r="E64" s="32">
        <f>360+360+177</f>
        <v>897</v>
      </c>
      <c r="F64" s="97"/>
      <c r="G64" s="41"/>
      <c r="H64" s="43"/>
      <c r="I64" s="95"/>
      <c r="J64" s="25">
        <f t="shared" si="0"/>
        <v>897</v>
      </c>
      <c r="K64" s="35">
        <v>2541</v>
      </c>
      <c r="L64" s="35"/>
    </row>
    <row r="65" spans="1:13">
      <c r="A65" s="28" t="s">
        <v>53</v>
      </c>
      <c r="B65" s="46">
        <v>64344225</v>
      </c>
      <c r="C65" s="47" t="s">
        <v>72</v>
      </c>
      <c r="D65" s="31" t="s">
        <v>57</v>
      </c>
      <c r="E65" s="32">
        <f>8+20*4+20+20*12+10</f>
        <v>358</v>
      </c>
      <c r="F65" s="97"/>
      <c r="G65" s="41"/>
      <c r="H65" s="43"/>
      <c r="I65" s="95"/>
      <c r="J65" s="25">
        <f t="shared" si="0"/>
        <v>358</v>
      </c>
      <c r="K65" s="35"/>
      <c r="L65" s="35"/>
    </row>
    <row r="66" spans="1:13">
      <c r="A66" s="28" t="s">
        <v>53</v>
      </c>
      <c r="B66" s="46">
        <v>64344220</v>
      </c>
      <c r="C66" s="47" t="s">
        <v>73</v>
      </c>
      <c r="D66" s="31" t="s">
        <v>57</v>
      </c>
      <c r="E66" s="32">
        <f>42+49+2+100</f>
        <v>193</v>
      </c>
      <c r="F66" s="97"/>
      <c r="G66" s="41"/>
      <c r="H66" s="43"/>
      <c r="I66" s="95"/>
      <c r="J66" s="25">
        <f t="shared" si="0"/>
        <v>193</v>
      </c>
      <c r="K66" s="35"/>
      <c r="L66" s="35"/>
      <c r="M66" s="27"/>
    </row>
    <row r="67" spans="1:13">
      <c r="A67" s="28" t="s">
        <v>53</v>
      </c>
      <c r="B67" s="46">
        <v>64344217</v>
      </c>
      <c r="C67" s="47" t="s">
        <v>74</v>
      </c>
      <c r="D67" s="31" t="s">
        <v>57</v>
      </c>
      <c r="E67" s="32"/>
      <c r="F67" s="94"/>
      <c r="G67" s="41"/>
      <c r="H67" s="43"/>
      <c r="I67" s="95"/>
      <c r="J67" s="25">
        <f t="shared" ref="J67:J130" si="1">+E67+F67-G67+H67</f>
        <v>0</v>
      </c>
      <c r="K67" s="35"/>
      <c r="L67" s="35"/>
    </row>
    <row r="68" spans="1:13">
      <c r="A68" s="28" t="s">
        <v>53</v>
      </c>
      <c r="B68" s="1">
        <v>64893688</v>
      </c>
      <c r="C68" s="98" t="s">
        <v>75</v>
      </c>
      <c r="D68" s="31" t="s">
        <v>57</v>
      </c>
      <c r="E68" s="32">
        <f>3*228+228*32+2.517/0.0085</f>
        <v>8276.1176470588234</v>
      </c>
      <c r="F68" s="94"/>
      <c r="G68" s="41"/>
      <c r="H68" s="43"/>
      <c r="I68" s="95"/>
      <c r="J68" s="25">
        <f t="shared" si="1"/>
        <v>8276.1176470588234</v>
      </c>
      <c r="K68" s="35"/>
      <c r="L68" s="35"/>
    </row>
    <row r="69" spans="1:13" ht="15">
      <c r="A69" s="60" t="s">
        <v>51</v>
      </c>
      <c r="B69" s="61">
        <v>94012905</v>
      </c>
      <c r="C69" s="62" t="s">
        <v>76</v>
      </c>
      <c r="D69" s="63" t="s">
        <v>57</v>
      </c>
      <c r="E69" s="64"/>
      <c r="F69" s="91"/>
      <c r="G69" s="64"/>
      <c r="H69" s="93"/>
      <c r="I69" s="67"/>
      <c r="J69" s="25">
        <f t="shared" si="1"/>
        <v>0</v>
      </c>
      <c r="K69" s="35">
        <v>680</v>
      </c>
      <c r="L69" s="35"/>
    </row>
    <row r="70" spans="1:13">
      <c r="A70" s="28" t="s">
        <v>53</v>
      </c>
      <c r="B70" s="100">
        <v>64781795</v>
      </c>
      <c r="C70" s="47" t="s">
        <v>77</v>
      </c>
      <c r="D70" s="31" t="s">
        <v>57</v>
      </c>
      <c r="E70" s="32">
        <f>25*8+19</f>
        <v>219</v>
      </c>
      <c r="F70" s="94"/>
      <c r="G70" s="32"/>
      <c r="H70" s="43"/>
      <c r="I70" s="25"/>
      <c r="J70" s="25">
        <f t="shared" si="1"/>
        <v>219</v>
      </c>
      <c r="K70" s="35"/>
      <c r="L70" s="35"/>
    </row>
    <row r="71" spans="1:13">
      <c r="A71" s="28" t="s">
        <v>53</v>
      </c>
      <c r="B71" s="100">
        <v>64781792</v>
      </c>
      <c r="C71" s="47" t="s">
        <v>78</v>
      </c>
      <c r="D71" s="31" t="s">
        <v>57</v>
      </c>
      <c r="E71" s="32">
        <v>618</v>
      </c>
      <c r="F71" s="94"/>
      <c r="G71" s="32"/>
      <c r="H71" s="43"/>
      <c r="I71" s="25"/>
      <c r="J71" s="25">
        <f t="shared" si="1"/>
        <v>618</v>
      </c>
      <c r="K71" s="99"/>
      <c r="L71" s="68"/>
    </row>
    <row r="72" spans="1:13">
      <c r="A72" s="28" t="s">
        <v>53</v>
      </c>
      <c r="B72" s="100">
        <v>64781796</v>
      </c>
      <c r="C72" s="47" t="s">
        <v>79</v>
      </c>
      <c r="D72" s="31" t="s">
        <v>57</v>
      </c>
      <c r="E72" s="32">
        <f>100+67+13</f>
        <v>180</v>
      </c>
      <c r="F72" s="94"/>
      <c r="G72" s="32"/>
      <c r="H72" s="43"/>
      <c r="I72" s="25"/>
      <c r="J72" s="25">
        <f t="shared" si="1"/>
        <v>180</v>
      </c>
      <c r="K72" s="34"/>
      <c r="L72" s="35"/>
    </row>
    <row r="73" spans="1:13">
      <c r="A73" s="28" t="s">
        <v>53</v>
      </c>
      <c r="B73" s="100">
        <v>64781794</v>
      </c>
      <c r="C73" s="47" t="s">
        <v>80</v>
      </c>
      <c r="D73" s="31" t="s">
        <v>57</v>
      </c>
      <c r="E73" s="32">
        <v>4690</v>
      </c>
      <c r="F73" s="94"/>
      <c r="G73" s="32"/>
      <c r="H73" s="43"/>
      <c r="I73" s="25"/>
      <c r="J73" s="25">
        <f t="shared" si="1"/>
        <v>4690</v>
      </c>
      <c r="K73" s="34"/>
      <c r="L73" s="35"/>
    </row>
    <row r="74" spans="1:13">
      <c r="A74" s="28" t="s">
        <v>53</v>
      </c>
      <c r="B74" s="100">
        <v>64781790</v>
      </c>
      <c r="C74" s="47" t="s">
        <v>81</v>
      </c>
      <c r="D74" s="31" t="s">
        <v>57</v>
      </c>
      <c r="E74" s="32">
        <v>15966</v>
      </c>
      <c r="F74" s="94"/>
      <c r="G74" s="32"/>
      <c r="H74" s="43"/>
      <c r="I74" s="25"/>
      <c r="J74" s="25">
        <f t="shared" si="1"/>
        <v>15966</v>
      </c>
      <c r="K74" s="34"/>
      <c r="L74" s="35"/>
    </row>
    <row r="75" spans="1:13" ht="15">
      <c r="A75" s="28"/>
      <c r="B75" s="88"/>
      <c r="C75" s="89"/>
      <c r="D75" s="31"/>
      <c r="E75" s="32"/>
      <c r="F75" s="94"/>
      <c r="G75" s="32"/>
      <c r="H75" s="43"/>
      <c r="I75" s="25"/>
      <c r="J75" s="25">
        <f t="shared" si="1"/>
        <v>0</v>
      </c>
      <c r="K75" s="34">
        <v>225</v>
      </c>
      <c r="L75" s="35"/>
    </row>
    <row r="76" spans="1:13" ht="15">
      <c r="A76" s="60" t="s">
        <v>51</v>
      </c>
      <c r="B76" s="61">
        <v>94012262</v>
      </c>
      <c r="C76" s="62" t="s">
        <v>82</v>
      </c>
      <c r="D76" s="101"/>
      <c r="E76" s="102"/>
      <c r="F76" s="65"/>
      <c r="G76" s="64"/>
      <c r="H76" s="103"/>
      <c r="I76" s="104"/>
      <c r="J76" s="25">
        <f t="shared" si="1"/>
        <v>0</v>
      </c>
      <c r="K76" s="34"/>
      <c r="L76" s="35"/>
    </row>
    <row r="77" spans="1:13">
      <c r="A77" s="28" t="s">
        <v>53</v>
      </c>
      <c r="B77" s="46">
        <v>68590192</v>
      </c>
      <c r="C77" s="47" t="s">
        <v>83</v>
      </c>
      <c r="D77" s="31" t="s">
        <v>57</v>
      </c>
      <c r="E77" s="41">
        <v>4610</v>
      </c>
      <c r="F77" s="33"/>
      <c r="G77" s="32"/>
      <c r="H77" s="32"/>
      <c r="I77" s="44"/>
      <c r="J77" s="25">
        <f t="shared" si="1"/>
        <v>4610</v>
      </c>
      <c r="K77" s="34"/>
      <c r="L77" s="35"/>
    </row>
    <row r="78" spans="1:13">
      <c r="A78" s="28" t="s">
        <v>53</v>
      </c>
      <c r="B78" s="46">
        <v>62752759</v>
      </c>
      <c r="C78" s="47" t="s">
        <v>84</v>
      </c>
      <c r="D78" s="31" t="s">
        <v>57</v>
      </c>
      <c r="E78" s="96">
        <f>5676+1000+750+443</f>
        <v>7869</v>
      </c>
      <c r="F78" s="33"/>
      <c r="G78" s="32"/>
      <c r="H78" s="48"/>
      <c r="I78" s="44"/>
      <c r="J78" s="25">
        <f t="shared" si="1"/>
        <v>7869</v>
      </c>
      <c r="K78" s="67"/>
      <c r="L78" s="68"/>
    </row>
    <row r="79" spans="1:13">
      <c r="A79" s="28" t="s">
        <v>53</v>
      </c>
      <c r="B79" s="46">
        <v>62760450</v>
      </c>
      <c r="C79" s="47" t="s">
        <v>85</v>
      </c>
      <c r="D79" s="31" t="s">
        <v>57</v>
      </c>
      <c r="E79" s="96">
        <v>9285</v>
      </c>
      <c r="F79" s="33"/>
      <c r="G79" s="32"/>
      <c r="H79" s="48"/>
      <c r="I79" s="44"/>
      <c r="J79" s="25">
        <f t="shared" si="1"/>
        <v>9285</v>
      </c>
      <c r="K79" s="25">
        <v>67</v>
      </c>
      <c r="L79" s="25"/>
    </row>
    <row r="80" spans="1:13">
      <c r="A80" s="28" t="s">
        <v>53</v>
      </c>
      <c r="B80" s="46">
        <v>62752762</v>
      </c>
      <c r="C80" s="47" t="s">
        <v>86</v>
      </c>
      <c r="D80" s="31" t="s">
        <v>57</v>
      </c>
      <c r="E80" s="96">
        <v>160</v>
      </c>
      <c r="F80" s="33"/>
      <c r="G80" s="32"/>
      <c r="H80" s="48"/>
      <c r="I80" s="44"/>
      <c r="J80" s="25">
        <f t="shared" si="1"/>
        <v>160</v>
      </c>
      <c r="K80" s="25"/>
      <c r="L80" s="35"/>
    </row>
    <row r="81" spans="1:12">
      <c r="A81" s="28" t="s">
        <v>53</v>
      </c>
      <c r="B81" s="46">
        <v>62752761</v>
      </c>
      <c r="C81" s="47" t="s">
        <v>87</v>
      </c>
      <c r="D81" s="31" t="s">
        <v>57</v>
      </c>
      <c r="E81" s="96">
        <f>3548+160</f>
        <v>3708</v>
      </c>
      <c r="F81" s="33"/>
      <c r="G81" s="32"/>
      <c r="H81" s="48"/>
      <c r="I81" s="44"/>
      <c r="J81" s="25">
        <f t="shared" si="1"/>
        <v>3708</v>
      </c>
      <c r="K81" s="25"/>
      <c r="L81" s="35"/>
    </row>
    <row r="82" spans="1:12" ht="15">
      <c r="A82" s="28"/>
      <c r="B82" s="88"/>
      <c r="C82" s="89"/>
      <c r="D82" s="31"/>
      <c r="E82" s="32"/>
      <c r="F82" s="33"/>
      <c r="G82" s="32"/>
      <c r="H82" s="48"/>
      <c r="I82" s="44"/>
      <c r="J82" s="25">
        <f t="shared" si="1"/>
        <v>0</v>
      </c>
      <c r="K82" s="25"/>
      <c r="L82" s="35"/>
    </row>
    <row r="83" spans="1:12" ht="15">
      <c r="A83" s="61"/>
      <c r="B83" s="61">
        <v>94012791</v>
      </c>
      <c r="C83" s="62" t="s">
        <v>88</v>
      </c>
      <c r="D83" s="105"/>
      <c r="E83" s="105"/>
      <c r="F83" s="106"/>
      <c r="G83" s="105"/>
      <c r="H83" s="105"/>
      <c r="I83" s="107"/>
      <c r="J83" s="25">
        <f t="shared" si="1"/>
        <v>0</v>
      </c>
      <c r="K83" s="25">
        <f>7+4</f>
        <v>11</v>
      </c>
      <c r="L83" s="35"/>
    </row>
    <row r="84" spans="1:12">
      <c r="A84" s="28" t="s">
        <v>53</v>
      </c>
      <c r="B84" s="46">
        <v>64411783</v>
      </c>
      <c r="C84" s="109" t="s">
        <v>89</v>
      </c>
      <c r="D84" s="31" t="s">
        <v>57</v>
      </c>
      <c r="E84" s="32"/>
      <c r="F84" s="33"/>
      <c r="G84" s="32"/>
      <c r="H84" s="48"/>
      <c r="I84" s="44"/>
      <c r="J84" s="25">
        <f t="shared" si="1"/>
        <v>0</v>
      </c>
      <c r="K84" s="25"/>
      <c r="L84" s="35"/>
    </row>
    <row r="85" spans="1:12" ht="15" customHeight="1">
      <c r="A85" s="28" t="s">
        <v>53</v>
      </c>
      <c r="B85" s="46">
        <v>64411784</v>
      </c>
      <c r="C85" s="109" t="s">
        <v>90</v>
      </c>
      <c r="D85" s="31" t="s">
        <v>57</v>
      </c>
      <c r="E85" s="32">
        <v>180</v>
      </c>
      <c r="F85" s="33"/>
      <c r="G85" s="32"/>
      <c r="H85" s="48"/>
      <c r="I85" s="44"/>
      <c r="J85" s="25">
        <f t="shared" si="1"/>
        <v>180</v>
      </c>
      <c r="K85" s="108"/>
      <c r="L85" s="105"/>
    </row>
    <row r="86" spans="1:12" ht="15" customHeight="1">
      <c r="A86" s="28" t="s">
        <v>53</v>
      </c>
      <c r="B86" s="46">
        <v>64411785</v>
      </c>
      <c r="C86" s="109" t="s">
        <v>91</v>
      </c>
      <c r="D86" s="31" t="s">
        <v>57</v>
      </c>
      <c r="E86" s="32">
        <v>68</v>
      </c>
      <c r="F86" s="33"/>
      <c r="G86" s="32"/>
      <c r="H86" s="48"/>
      <c r="I86" s="44"/>
      <c r="J86" s="25">
        <f t="shared" si="1"/>
        <v>68</v>
      </c>
      <c r="K86" s="25"/>
      <c r="L86" s="35"/>
    </row>
    <row r="87" spans="1:12" ht="15" customHeight="1">
      <c r="A87" s="28"/>
      <c r="B87" s="46"/>
      <c r="C87" s="109"/>
      <c r="D87" s="31"/>
      <c r="E87" s="32"/>
      <c r="F87" s="33"/>
      <c r="G87" s="32"/>
      <c r="H87" s="48"/>
      <c r="I87" s="44"/>
      <c r="J87" s="25">
        <f t="shared" si="1"/>
        <v>0</v>
      </c>
      <c r="K87" s="25">
        <v>160</v>
      </c>
      <c r="L87" s="35"/>
    </row>
    <row r="88" spans="1:12" ht="15" customHeight="1">
      <c r="A88" s="60" t="s">
        <v>51</v>
      </c>
      <c r="B88" s="61">
        <v>94010254</v>
      </c>
      <c r="C88" s="62" t="s">
        <v>92</v>
      </c>
      <c r="D88" s="101"/>
      <c r="E88" s="64"/>
      <c r="F88" s="65"/>
      <c r="G88" s="64"/>
      <c r="H88" s="103"/>
      <c r="I88" s="66"/>
      <c r="J88" s="25">
        <f t="shared" si="1"/>
        <v>0</v>
      </c>
      <c r="K88" s="25"/>
      <c r="L88" s="35"/>
    </row>
    <row r="89" spans="1:12" ht="15" customHeight="1">
      <c r="A89" s="28" t="s">
        <v>53</v>
      </c>
      <c r="B89" s="110">
        <v>69713618</v>
      </c>
      <c r="C89" s="47" t="s">
        <v>93</v>
      </c>
      <c r="D89" s="31" t="s">
        <v>57</v>
      </c>
      <c r="E89" s="32"/>
      <c r="F89" s="33"/>
      <c r="G89" s="32"/>
      <c r="H89" s="90"/>
      <c r="I89" s="44"/>
      <c r="J89" s="25">
        <f t="shared" si="1"/>
        <v>0</v>
      </c>
      <c r="K89" s="25"/>
      <c r="L89" s="35"/>
    </row>
    <row r="90" spans="1:12" ht="15" customHeight="1">
      <c r="A90" s="28" t="s">
        <v>53</v>
      </c>
      <c r="B90" s="45">
        <v>64872143</v>
      </c>
      <c r="C90" s="98" t="s">
        <v>94</v>
      </c>
      <c r="D90" s="31" t="s">
        <v>57</v>
      </c>
      <c r="E90" s="32">
        <v>2400</v>
      </c>
      <c r="F90" s="33"/>
      <c r="G90" s="32"/>
      <c r="H90" s="90"/>
      <c r="I90" s="44"/>
      <c r="J90" s="25">
        <f t="shared" si="1"/>
        <v>2400</v>
      </c>
      <c r="K90" s="67"/>
      <c r="L90" s="68"/>
    </row>
    <row r="91" spans="1:12" ht="15.75" customHeight="1">
      <c r="A91" s="28" t="s">
        <v>53</v>
      </c>
      <c r="B91" s="46">
        <v>11490700</v>
      </c>
      <c r="C91" s="47" t="s">
        <v>95</v>
      </c>
      <c r="D91" s="31" t="s">
        <v>57</v>
      </c>
      <c r="E91" s="32"/>
      <c r="F91" s="33"/>
      <c r="G91" s="32"/>
      <c r="H91" s="90"/>
      <c r="I91" s="44"/>
      <c r="J91" s="25">
        <f t="shared" si="1"/>
        <v>0</v>
      </c>
      <c r="K91" s="25">
        <f>38*2400</f>
        <v>91200</v>
      </c>
      <c r="L91" s="35"/>
    </row>
    <row r="92" spans="1:12" ht="15.75" customHeight="1">
      <c r="A92" s="28" t="s">
        <v>53</v>
      </c>
      <c r="B92" s="46">
        <v>11490699</v>
      </c>
      <c r="C92" s="47" t="s">
        <v>96</v>
      </c>
      <c r="D92" s="31" t="s">
        <v>55</v>
      </c>
      <c r="E92" s="32">
        <v>11000</v>
      </c>
      <c r="F92" s="33"/>
      <c r="G92" s="32"/>
      <c r="H92" s="90"/>
      <c r="I92" s="44"/>
      <c r="J92" s="25">
        <f t="shared" si="1"/>
        <v>11000</v>
      </c>
      <c r="K92" s="25"/>
      <c r="L92" s="35"/>
    </row>
    <row r="93" spans="1:12" ht="15">
      <c r="A93" s="28" t="s">
        <v>53</v>
      </c>
      <c r="B93" s="110">
        <v>69713627</v>
      </c>
      <c r="C93" s="47" t="s">
        <v>97</v>
      </c>
      <c r="D93" s="31" t="s">
        <v>57</v>
      </c>
      <c r="E93" s="32">
        <v>9000</v>
      </c>
      <c r="F93" s="33"/>
      <c r="G93" s="32"/>
      <c r="H93" s="90"/>
      <c r="I93" s="44"/>
      <c r="J93" s="25">
        <f t="shared" si="1"/>
        <v>9000</v>
      </c>
      <c r="K93" s="25"/>
      <c r="L93" s="35"/>
    </row>
    <row r="94" spans="1:12" ht="15">
      <c r="A94" s="28" t="s">
        <v>53</v>
      </c>
      <c r="B94" s="111">
        <v>64872144</v>
      </c>
      <c r="C94" s="98" t="s">
        <v>98</v>
      </c>
      <c r="D94" s="31" t="s">
        <v>57</v>
      </c>
      <c r="E94" s="32">
        <f>600*28</f>
        <v>16800</v>
      </c>
      <c r="F94" s="33"/>
      <c r="G94" s="32"/>
      <c r="H94" s="90"/>
      <c r="I94" s="44"/>
      <c r="J94" s="25">
        <f t="shared" si="1"/>
        <v>16800</v>
      </c>
      <c r="K94" s="25">
        <f>4665+4000</f>
        <v>8665</v>
      </c>
      <c r="L94" s="35"/>
    </row>
    <row r="95" spans="1:12">
      <c r="A95" s="28" t="s">
        <v>53</v>
      </c>
      <c r="B95" s="112">
        <v>69713617</v>
      </c>
      <c r="C95" s="47" t="s">
        <v>99</v>
      </c>
      <c r="D95" s="31" t="s">
        <v>57</v>
      </c>
      <c r="E95" s="32">
        <v>50</v>
      </c>
      <c r="F95" s="33"/>
      <c r="G95" s="32"/>
      <c r="H95" s="90"/>
      <c r="I95" s="44"/>
      <c r="J95" s="25">
        <f t="shared" si="1"/>
        <v>50</v>
      </c>
      <c r="K95" s="25">
        <f>155+68</f>
        <v>223</v>
      </c>
      <c r="L95" s="35"/>
    </row>
    <row r="96" spans="1:12" ht="15">
      <c r="A96" s="61" t="s">
        <v>51</v>
      </c>
      <c r="B96" s="61">
        <v>94010256</v>
      </c>
      <c r="C96" s="113" t="s">
        <v>100</v>
      </c>
      <c r="D96" s="61"/>
      <c r="E96" s="61"/>
      <c r="F96" s="61"/>
      <c r="G96" s="61"/>
      <c r="H96" s="61"/>
      <c r="I96" s="61"/>
      <c r="J96" s="25">
        <f t="shared" si="1"/>
        <v>0</v>
      </c>
      <c r="K96" s="25">
        <f>54+17+10</f>
        <v>81</v>
      </c>
      <c r="L96" s="35"/>
    </row>
    <row r="97" spans="1:12">
      <c r="A97" s="28" t="s">
        <v>53</v>
      </c>
      <c r="B97" s="29">
        <v>68744068</v>
      </c>
      <c r="C97" s="30" t="s">
        <v>101</v>
      </c>
      <c r="D97" s="31" t="s">
        <v>57</v>
      </c>
      <c r="E97" s="32">
        <f>9*25+20</f>
        <v>245</v>
      </c>
      <c r="F97" s="33"/>
      <c r="G97" s="32"/>
      <c r="H97" s="48"/>
      <c r="I97" s="44"/>
      <c r="J97" s="25">
        <f t="shared" si="1"/>
        <v>245</v>
      </c>
      <c r="K97" s="25">
        <v>4</v>
      </c>
      <c r="L97" s="35"/>
    </row>
    <row r="98" spans="1:12" ht="15">
      <c r="A98" s="28" t="s">
        <v>53</v>
      </c>
      <c r="B98" s="29">
        <v>68880148</v>
      </c>
      <c r="C98" s="30" t="s">
        <v>102</v>
      </c>
      <c r="D98" s="31" t="s">
        <v>57</v>
      </c>
      <c r="E98" s="32">
        <f>2*13333+1599</f>
        <v>28265</v>
      </c>
      <c r="F98" s="33"/>
      <c r="G98" s="32"/>
      <c r="H98" s="48"/>
      <c r="I98" s="44"/>
      <c r="J98" s="25">
        <f t="shared" si="1"/>
        <v>28265</v>
      </c>
      <c r="K98" s="61"/>
      <c r="L98" s="61"/>
    </row>
    <row r="99" spans="1:12">
      <c r="A99" s="28"/>
      <c r="B99" s="29"/>
      <c r="C99" s="30"/>
      <c r="D99" s="31"/>
      <c r="E99" s="32"/>
      <c r="F99" s="33"/>
      <c r="G99" s="32"/>
      <c r="H99" s="48"/>
      <c r="I99" s="44"/>
      <c r="J99" s="25">
        <f t="shared" si="1"/>
        <v>0</v>
      </c>
      <c r="K99" s="25"/>
      <c r="L99" s="35"/>
    </row>
    <row r="100" spans="1:12" ht="15">
      <c r="A100" s="60" t="s">
        <v>51</v>
      </c>
      <c r="B100" s="61">
        <v>94010255</v>
      </c>
      <c r="C100" s="113" t="s">
        <v>103</v>
      </c>
      <c r="D100" s="101"/>
      <c r="E100" s="64"/>
      <c r="F100" s="65"/>
      <c r="G100" s="64"/>
      <c r="H100" s="103"/>
      <c r="I100" s="66"/>
      <c r="J100" s="25">
        <f t="shared" si="1"/>
        <v>0</v>
      </c>
      <c r="K100" s="25"/>
      <c r="L100" s="35">
        <f>13333+165</f>
        <v>13498</v>
      </c>
    </row>
    <row r="101" spans="1:12">
      <c r="A101" s="28" t="s">
        <v>53</v>
      </c>
      <c r="B101" s="29">
        <v>67567207</v>
      </c>
      <c r="C101" s="30" t="s">
        <v>104</v>
      </c>
      <c r="D101" s="31" t="s">
        <v>55</v>
      </c>
      <c r="E101" s="32">
        <f>7000+2000+2101</f>
        <v>11101</v>
      </c>
      <c r="F101" s="33"/>
      <c r="G101" s="32"/>
      <c r="H101" s="48"/>
      <c r="I101" s="44"/>
      <c r="J101" s="25">
        <f t="shared" si="1"/>
        <v>11101</v>
      </c>
      <c r="K101" s="25"/>
      <c r="L101" s="35"/>
    </row>
    <row r="102" spans="1:12">
      <c r="A102" s="28" t="s">
        <v>53</v>
      </c>
      <c r="B102" s="29">
        <v>69713619</v>
      </c>
      <c r="C102" s="30" t="s">
        <v>105</v>
      </c>
      <c r="D102" s="31" t="s">
        <v>57</v>
      </c>
      <c r="E102" s="32">
        <v>0</v>
      </c>
      <c r="F102" s="40"/>
      <c r="G102" s="41"/>
      <c r="H102" s="48"/>
      <c r="I102" s="44"/>
      <c r="J102" s="25">
        <f t="shared" si="1"/>
        <v>0</v>
      </c>
      <c r="K102" s="67"/>
      <c r="L102" s="68"/>
    </row>
    <row r="103" spans="1:12">
      <c r="A103" s="28" t="s">
        <v>53</v>
      </c>
      <c r="B103" s="29">
        <v>64872137</v>
      </c>
      <c r="C103" s="30" t="s">
        <v>106</v>
      </c>
      <c r="D103" s="31" t="s">
        <v>57</v>
      </c>
      <c r="E103" s="32">
        <v>1600</v>
      </c>
      <c r="F103" s="33"/>
      <c r="G103" s="32"/>
      <c r="H103" s="48"/>
      <c r="I103" s="44"/>
      <c r="J103" s="25">
        <f t="shared" si="1"/>
        <v>1600</v>
      </c>
      <c r="K103" s="25">
        <f>2751+2000*2+1438</f>
        <v>8189</v>
      </c>
      <c r="L103" s="35"/>
    </row>
    <row r="104" spans="1:12">
      <c r="A104" s="28" t="s">
        <v>53</v>
      </c>
      <c r="B104" s="29">
        <v>68784034</v>
      </c>
      <c r="C104" s="30" t="s">
        <v>107</v>
      </c>
      <c r="D104" s="31" t="s">
        <v>57</v>
      </c>
      <c r="E104" s="114">
        <f>20*100+100</f>
        <v>2100</v>
      </c>
      <c r="F104" s="33"/>
      <c r="G104" s="32"/>
      <c r="H104" s="48"/>
      <c r="I104" s="44"/>
      <c r="J104" s="25">
        <f t="shared" si="1"/>
        <v>2100</v>
      </c>
      <c r="K104" s="25">
        <v>4422</v>
      </c>
      <c r="L104" s="35"/>
    </row>
    <row r="105" spans="1:12">
      <c r="A105" s="28" t="s">
        <v>53</v>
      </c>
      <c r="B105" s="29">
        <v>68784036</v>
      </c>
      <c r="C105" s="30" t="s">
        <v>108</v>
      </c>
      <c r="D105" s="31" t="s">
        <v>57</v>
      </c>
      <c r="E105" s="32">
        <f>82+1240</f>
        <v>1322</v>
      </c>
      <c r="F105" s="33"/>
      <c r="G105" s="32"/>
      <c r="H105" s="48"/>
      <c r="I105" s="44"/>
      <c r="J105" s="25">
        <f t="shared" si="1"/>
        <v>1322</v>
      </c>
      <c r="K105" s="25">
        <f>56+309</f>
        <v>365</v>
      </c>
      <c r="L105" s="35"/>
    </row>
    <row r="106" spans="1:12">
      <c r="A106" s="28" t="s">
        <v>53</v>
      </c>
      <c r="B106" s="29">
        <v>69713623</v>
      </c>
      <c r="C106" s="30" t="s">
        <v>109</v>
      </c>
      <c r="D106" s="31" t="s">
        <v>57</v>
      </c>
      <c r="E106" s="32">
        <f>148+538+61</f>
        <v>747</v>
      </c>
      <c r="F106" s="33"/>
      <c r="G106" s="32"/>
      <c r="H106" s="48"/>
      <c r="I106" s="44"/>
      <c r="J106" s="25">
        <f t="shared" si="1"/>
        <v>747</v>
      </c>
      <c r="K106" s="25"/>
      <c r="L106" s="35"/>
    </row>
    <row r="107" spans="1:12" ht="15">
      <c r="A107" s="60" t="s">
        <v>51</v>
      </c>
      <c r="B107" s="115">
        <v>94010565</v>
      </c>
      <c r="C107" s="116" t="s">
        <v>110</v>
      </c>
      <c r="D107" s="101"/>
      <c r="E107" s="64"/>
      <c r="F107" s="65"/>
      <c r="G107" s="64"/>
      <c r="H107" s="103"/>
      <c r="I107" s="66"/>
      <c r="J107" s="25">
        <f t="shared" si="1"/>
        <v>0</v>
      </c>
      <c r="K107" s="25"/>
      <c r="L107" s="35"/>
    </row>
    <row r="108" spans="1:12">
      <c r="A108" s="28" t="s">
        <v>53</v>
      </c>
      <c r="B108" s="29">
        <v>68386279</v>
      </c>
      <c r="C108" s="30" t="s">
        <v>111</v>
      </c>
      <c r="D108" s="31" t="s">
        <v>55</v>
      </c>
      <c r="E108" s="41">
        <f>6049+2850*2+1805</f>
        <v>13554</v>
      </c>
      <c r="F108" s="33"/>
      <c r="G108" s="32"/>
      <c r="H108" s="48"/>
      <c r="I108" s="44"/>
      <c r="J108" s="25">
        <f t="shared" si="1"/>
        <v>13554</v>
      </c>
      <c r="K108" s="25"/>
      <c r="L108" s="35"/>
    </row>
    <row r="109" spans="1:12">
      <c r="A109" s="28" t="s">
        <v>53</v>
      </c>
      <c r="B109" s="29">
        <v>68501610</v>
      </c>
      <c r="C109" s="30" t="s">
        <v>112</v>
      </c>
      <c r="D109" s="31" t="s">
        <v>57</v>
      </c>
      <c r="E109" s="32">
        <f>10*100+159</f>
        <v>1159</v>
      </c>
      <c r="F109" s="33"/>
      <c r="G109" s="117"/>
      <c r="H109" s="48"/>
      <c r="I109" s="44"/>
      <c r="J109" s="25">
        <f t="shared" si="1"/>
        <v>1159</v>
      </c>
      <c r="K109" s="67"/>
      <c r="L109" s="68"/>
    </row>
    <row r="110" spans="1:12">
      <c r="A110" s="28" t="s">
        <v>53</v>
      </c>
      <c r="B110" s="29">
        <v>68794566</v>
      </c>
      <c r="C110" s="30" t="s">
        <v>113</v>
      </c>
      <c r="D110" s="31" t="s">
        <v>57</v>
      </c>
      <c r="E110" s="32">
        <f>26+25*4</f>
        <v>126</v>
      </c>
      <c r="F110" s="33"/>
      <c r="G110" s="32"/>
      <c r="H110" s="48"/>
      <c r="I110" s="44"/>
      <c r="J110" s="25">
        <f t="shared" si="1"/>
        <v>126</v>
      </c>
      <c r="K110" s="25">
        <v>574</v>
      </c>
      <c r="L110" s="35"/>
    </row>
    <row r="111" spans="1:12">
      <c r="A111" s="28" t="s">
        <v>53</v>
      </c>
      <c r="B111" s="46">
        <v>68939930</v>
      </c>
      <c r="C111" s="47" t="s">
        <v>114</v>
      </c>
      <c r="D111" s="31" t="s">
        <v>57</v>
      </c>
      <c r="E111" s="32">
        <f>5*1800+294</f>
        <v>9294</v>
      </c>
      <c r="F111" s="33"/>
      <c r="G111" s="32"/>
      <c r="H111" s="48"/>
      <c r="I111" s="44"/>
      <c r="J111" s="25">
        <f t="shared" si="1"/>
        <v>9294</v>
      </c>
      <c r="K111" s="25"/>
      <c r="L111" s="35"/>
    </row>
    <row r="112" spans="1:12" ht="15">
      <c r="A112" s="60" t="s">
        <v>51</v>
      </c>
      <c r="B112" s="61" t="s">
        <v>115</v>
      </c>
      <c r="C112" s="116" t="s">
        <v>116</v>
      </c>
      <c r="D112" s="101"/>
      <c r="E112" s="64"/>
      <c r="F112" s="65"/>
      <c r="G112" s="64"/>
      <c r="H112" s="103"/>
      <c r="I112" s="66"/>
      <c r="J112" s="25">
        <f t="shared" si="1"/>
        <v>0</v>
      </c>
      <c r="K112" s="25"/>
      <c r="L112" s="35"/>
    </row>
    <row r="113" spans="1:12">
      <c r="A113" s="28" t="s">
        <v>53</v>
      </c>
      <c r="B113" s="46">
        <v>68471141</v>
      </c>
      <c r="C113" s="47" t="s">
        <v>117</v>
      </c>
      <c r="D113" s="31" t="s">
        <v>57</v>
      </c>
      <c r="E113" s="32">
        <v>917</v>
      </c>
      <c r="F113" s="33"/>
      <c r="G113" s="32"/>
      <c r="H113" s="48"/>
      <c r="I113" s="44"/>
      <c r="J113" s="25">
        <f t="shared" si="1"/>
        <v>917</v>
      </c>
      <c r="K113" s="25">
        <v>320</v>
      </c>
      <c r="L113" s="35"/>
    </row>
    <row r="114" spans="1:12">
      <c r="A114" s="28" t="s">
        <v>53</v>
      </c>
      <c r="B114" s="46">
        <v>68471138</v>
      </c>
      <c r="C114" s="47" t="s">
        <v>118</v>
      </c>
      <c r="D114" s="31" t="s">
        <v>57</v>
      </c>
      <c r="E114" s="32">
        <v>100</v>
      </c>
      <c r="F114" s="71"/>
      <c r="G114" s="118"/>
      <c r="H114" s="119"/>
      <c r="I114" s="120"/>
      <c r="J114" s="25">
        <f t="shared" si="1"/>
        <v>100</v>
      </c>
      <c r="K114" s="67"/>
      <c r="L114" s="68"/>
    </row>
    <row r="115" spans="1:12">
      <c r="A115" s="28" t="s">
        <v>53</v>
      </c>
      <c r="B115" s="46">
        <v>68737941</v>
      </c>
      <c r="C115" s="47" t="s">
        <v>119</v>
      </c>
      <c r="D115" s="31" t="s">
        <v>57</v>
      </c>
      <c r="E115" s="32">
        <v>54</v>
      </c>
      <c r="F115" s="71"/>
      <c r="G115" s="118"/>
      <c r="H115" s="119"/>
      <c r="I115" s="120"/>
      <c r="J115" s="25">
        <f t="shared" si="1"/>
        <v>54</v>
      </c>
      <c r="K115" s="25"/>
      <c r="L115" s="35"/>
    </row>
    <row r="116" spans="1:12" s="72" customFormat="1">
      <c r="A116" s="28" t="s">
        <v>53</v>
      </c>
      <c r="B116" s="46">
        <v>68737939</v>
      </c>
      <c r="C116" s="47" t="s">
        <v>120</v>
      </c>
      <c r="D116" s="31" t="s">
        <v>57</v>
      </c>
      <c r="E116" s="32">
        <v>10000</v>
      </c>
      <c r="F116" s="33"/>
      <c r="G116" s="32"/>
      <c r="H116" s="48"/>
      <c r="I116" s="44"/>
      <c r="J116" s="25">
        <f t="shared" si="1"/>
        <v>10000</v>
      </c>
      <c r="K116" s="25"/>
      <c r="L116" s="121"/>
    </row>
    <row r="117" spans="1:12" s="72" customFormat="1">
      <c r="A117" s="28" t="s">
        <v>53</v>
      </c>
      <c r="B117" s="46">
        <v>68471139</v>
      </c>
      <c r="C117" s="47" t="s">
        <v>121</v>
      </c>
      <c r="D117" s="31" t="s">
        <v>57</v>
      </c>
      <c r="E117" s="32">
        <v>67666</v>
      </c>
      <c r="F117" s="33"/>
      <c r="G117" s="32"/>
      <c r="H117" s="48"/>
      <c r="I117" s="44"/>
      <c r="J117" s="25">
        <f t="shared" si="1"/>
        <v>67666</v>
      </c>
      <c r="K117" s="25"/>
      <c r="L117" s="121"/>
    </row>
    <row r="118" spans="1:12">
      <c r="A118" s="28" t="s">
        <v>53</v>
      </c>
      <c r="B118" s="46">
        <v>68695611</v>
      </c>
      <c r="C118" s="47" t="s">
        <v>121</v>
      </c>
      <c r="D118" s="31" t="s">
        <v>57</v>
      </c>
      <c r="E118" s="32">
        <f>6*5000+5000</f>
        <v>35000</v>
      </c>
      <c r="F118" s="33"/>
      <c r="G118" s="32"/>
      <c r="H118" s="48"/>
      <c r="I118" s="44"/>
      <c r="J118" s="25">
        <f t="shared" si="1"/>
        <v>35000</v>
      </c>
      <c r="K118" s="25"/>
      <c r="L118" s="35"/>
    </row>
    <row r="119" spans="1:12">
      <c r="A119" s="28"/>
      <c r="B119" s="46"/>
      <c r="C119" s="47"/>
      <c r="D119" s="31"/>
      <c r="E119" s="32"/>
      <c r="F119" s="33"/>
      <c r="G119" s="32"/>
      <c r="H119" s="48"/>
      <c r="I119" s="122"/>
      <c r="J119" s="25">
        <f t="shared" si="1"/>
        <v>0</v>
      </c>
      <c r="K119" s="25"/>
      <c r="L119" s="35"/>
    </row>
    <row r="120" spans="1:12" ht="15">
      <c r="A120" s="123" t="s">
        <v>51</v>
      </c>
      <c r="B120" s="124">
        <v>94010325</v>
      </c>
      <c r="C120" s="125" t="s">
        <v>122</v>
      </c>
      <c r="D120" s="126"/>
      <c r="E120" s="127"/>
      <c r="F120" s="128"/>
      <c r="G120" s="127"/>
      <c r="H120" s="129"/>
      <c r="I120" s="130"/>
      <c r="J120" s="25">
        <f t="shared" si="1"/>
        <v>0</v>
      </c>
      <c r="K120" s="25"/>
      <c r="L120" s="35">
        <f>5000*12</f>
        <v>60000</v>
      </c>
    </row>
    <row r="121" spans="1:12">
      <c r="A121" s="28" t="s">
        <v>53</v>
      </c>
      <c r="B121" s="46">
        <v>69663057</v>
      </c>
      <c r="C121" s="134" t="s">
        <v>123</v>
      </c>
      <c r="D121" s="31" t="s">
        <v>57</v>
      </c>
      <c r="E121" s="32">
        <f>6*200+13*200+90+75</f>
        <v>3965</v>
      </c>
      <c r="F121" s="33"/>
      <c r="G121" s="32"/>
      <c r="H121" s="48"/>
      <c r="I121" s="44"/>
      <c r="J121" s="25">
        <f t="shared" si="1"/>
        <v>3965</v>
      </c>
      <c r="K121" s="25"/>
      <c r="L121" s="35"/>
    </row>
    <row r="122" spans="1:12" s="133" customFormat="1">
      <c r="A122" s="28" t="s">
        <v>53</v>
      </c>
      <c r="B122" s="46">
        <v>69663059</v>
      </c>
      <c r="C122" s="47" t="s">
        <v>124</v>
      </c>
      <c r="D122" s="31" t="s">
        <v>57</v>
      </c>
      <c r="E122" s="32">
        <f>18*25+14*25+5</f>
        <v>805</v>
      </c>
      <c r="F122" s="33"/>
      <c r="G122" s="32"/>
      <c r="H122" s="48"/>
      <c r="I122" s="44"/>
      <c r="J122" s="25">
        <f t="shared" si="1"/>
        <v>805</v>
      </c>
      <c r="K122" s="131"/>
      <c r="L122" s="132"/>
    </row>
    <row r="123" spans="1:12">
      <c r="A123" s="28" t="s">
        <v>53</v>
      </c>
      <c r="B123" s="46">
        <v>69663058</v>
      </c>
      <c r="C123" s="47" t="s">
        <v>125</v>
      </c>
      <c r="D123" s="31" t="s">
        <v>57</v>
      </c>
      <c r="E123" s="32">
        <f>600+62+32</f>
        <v>694</v>
      </c>
      <c r="F123" s="33"/>
      <c r="G123" s="32"/>
      <c r="H123" s="48"/>
      <c r="I123" s="44"/>
      <c r="J123" s="25">
        <f t="shared" si="1"/>
        <v>694</v>
      </c>
      <c r="K123" s="25">
        <v>554</v>
      </c>
      <c r="L123" s="35">
        <f>672+810+6387+2260</f>
        <v>10129</v>
      </c>
    </row>
    <row r="124" spans="1:12">
      <c r="A124" s="28" t="s">
        <v>53</v>
      </c>
      <c r="B124" s="46">
        <v>69663055</v>
      </c>
      <c r="C124" s="47" t="s">
        <v>126</v>
      </c>
      <c r="D124" s="31" t="s">
        <v>57</v>
      </c>
      <c r="E124" s="32">
        <v>29</v>
      </c>
      <c r="F124" s="33"/>
      <c r="G124" s="32"/>
      <c r="H124" s="48"/>
      <c r="I124" s="44"/>
      <c r="J124" s="25">
        <f t="shared" si="1"/>
        <v>29</v>
      </c>
      <c r="K124" s="25"/>
      <c r="L124" s="35"/>
    </row>
    <row r="125" spans="1:12">
      <c r="A125" s="28"/>
      <c r="B125" s="46"/>
      <c r="C125" s="135"/>
      <c r="D125" s="31"/>
      <c r="E125" s="32"/>
      <c r="F125" s="33"/>
      <c r="G125" s="32"/>
      <c r="H125" s="48"/>
      <c r="I125" s="122"/>
      <c r="J125" s="25">
        <f t="shared" si="1"/>
        <v>0</v>
      </c>
      <c r="K125" s="25"/>
      <c r="L125" s="35"/>
    </row>
    <row r="126" spans="1:12" ht="15">
      <c r="A126" s="136" t="s">
        <v>51</v>
      </c>
      <c r="B126" s="137">
        <v>94011735</v>
      </c>
      <c r="C126" s="138" t="s">
        <v>127</v>
      </c>
      <c r="D126" s="139"/>
      <c r="E126" s="140"/>
      <c r="F126" s="141"/>
      <c r="G126" s="142"/>
      <c r="H126" s="143"/>
      <c r="I126" s="144"/>
      <c r="J126" s="25">
        <f t="shared" si="1"/>
        <v>0</v>
      </c>
      <c r="K126" s="25"/>
      <c r="L126" s="35"/>
    </row>
    <row r="127" spans="1:12">
      <c r="A127" s="28" t="s">
        <v>53</v>
      </c>
      <c r="B127" s="46">
        <v>62720910</v>
      </c>
      <c r="C127" s="47" t="s">
        <v>128</v>
      </c>
      <c r="D127" s="31" t="s">
        <v>57</v>
      </c>
      <c r="E127" s="96">
        <f>600+119</f>
        <v>719</v>
      </c>
      <c r="F127" s="33"/>
      <c r="G127" s="32"/>
      <c r="H127" s="48"/>
      <c r="I127" s="122"/>
      <c r="J127" s="25">
        <f t="shared" si="1"/>
        <v>719</v>
      </c>
      <c r="K127" s="25"/>
      <c r="L127" s="35"/>
    </row>
    <row r="128" spans="1:12" s="133" customFormat="1">
      <c r="A128" s="28" t="s">
        <v>53</v>
      </c>
      <c r="B128" s="46">
        <v>69713624</v>
      </c>
      <c r="C128" s="47" t="s">
        <v>129</v>
      </c>
      <c r="D128" s="31" t="s">
        <v>57</v>
      </c>
      <c r="E128" s="96">
        <f>23*25+14</f>
        <v>589</v>
      </c>
      <c r="F128" s="33"/>
      <c r="G128" s="32"/>
      <c r="H128" s="48"/>
      <c r="I128" s="122"/>
      <c r="J128" s="25">
        <f t="shared" si="1"/>
        <v>589</v>
      </c>
      <c r="K128" s="145"/>
      <c r="L128" s="146"/>
    </row>
    <row r="129" spans="1:12" s="133" customFormat="1">
      <c r="A129" s="28" t="s">
        <v>53</v>
      </c>
      <c r="B129" s="46">
        <v>69780142</v>
      </c>
      <c r="C129" s="47" t="s">
        <v>130</v>
      </c>
      <c r="D129" s="31" t="s">
        <v>57</v>
      </c>
      <c r="E129" s="41">
        <f>43*1000+1202</f>
        <v>44202</v>
      </c>
      <c r="F129" s="33"/>
      <c r="G129" s="32"/>
      <c r="H129" s="48"/>
      <c r="I129" s="122"/>
      <c r="J129" s="25">
        <f t="shared" si="1"/>
        <v>44202</v>
      </c>
      <c r="K129" s="25">
        <v>6</v>
      </c>
      <c r="L129" s="35"/>
    </row>
    <row r="130" spans="1:12">
      <c r="A130" s="28" t="s">
        <v>53</v>
      </c>
      <c r="B130" s="46">
        <v>69713621</v>
      </c>
      <c r="C130" s="47" t="s">
        <v>131</v>
      </c>
      <c r="D130" s="31" t="s">
        <v>57</v>
      </c>
      <c r="E130" s="96">
        <f>7*2400+3786</f>
        <v>20586</v>
      </c>
      <c r="F130" s="33"/>
      <c r="G130" s="32"/>
      <c r="H130" s="48"/>
      <c r="I130" s="122"/>
      <c r="J130" s="25">
        <f t="shared" si="1"/>
        <v>20586</v>
      </c>
      <c r="K130" s="25"/>
      <c r="L130" s="35"/>
    </row>
    <row r="131" spans="1:12">
      <c r="A131" s="28" t="s">
        <v>53</v>
      </c>
      <c r="B131" s="46">
        <v>69788556</v>
      </c>
      <c r="C131" s="47" t="s">
        <v>132</v>
      </c>
      <c r="D131" s="31" t="s">
        <v>57</v>
      </c>
      <c r="E131" s="96">
        <f>3966+5000</f>
        <v>8966</v>
      </c>
      <c r="F131" s="33"/>
      <c r="G131" s="32"/>
      <c r="H131" s="48"/>
      <c r="I131" s="122"/>
      <c r="J131" s="25">
        <f t="shared" ref="J131:J194" si="2">+E131+F131-G131+H131</f>
        <v>8966</v>
      </c>
      <c r="K131" s="25"/>
      <c r="L131" s="35"/>
    </row>
    <row r="132" spans="1:12">
      <c r="A132" s="28"/>
      <c r="B132" s="46"/>
      <c r="C132" s="135"/>
      <c r="D132" s="31"/>
      <c r="E132" s="32"/>
      <c r="F132" s="33"/>
      <c r="G132" s="32"/>
      <c r="H132" s="48"/>
      <c r="I132" s="44"/>
      <c r="J132" s="25">
        <f t="shared" si="2"/>
        <v>0</v>
      </c>
      <c r="K132" s="25">
        <f>1770+2400</f>
        <v>4170</v>
      </c>
      <c r="L132" s="35"/>
    </row>
    <row r="133" spans="1:12" ht="15">
      <c r="A133" s="105" t="s">
        <v>51</v>
      </c>
      <c r="B133" s="61">
        <v>94011438</v>
      </c>
      <c r="C133" s="147" t="s">
        <v>133</v>
      </c>
      <c r="D133" s="101"/>
      <c r="E133" s="64"/>
      <c r="F133" s="65"/>
      <c r="G133" s="64"/>
      <c r="H133" s="103"/>
      <c r="I133" s="66"/>
      <c r="J133" s="25">
        <f t="shared" si="2"/>
        <v>0</v>
      </c>
      <c r="K133" s="25">
        <v>1423.2432432432399</v>
      </c>
      <c r="L133" s="35"/>
    </row>
    <row r="134" spans="1:12">
      <c r="A134" s="28" t="s">
        <v>53</v>
      </c>
      <c r="B134" s="148">
        <v>64852690</v>
      </c>
      <c r="C134" s="47" t="s">
        <v>134</v>
      </c>
      <c r="D134" s="19" t="s">
        <v>57</v>
      </c>
      <c r="E134" s="32">
        <f>249+3500+1400</f>
        <v>5149</v>
      </c>
      <c r="F134" s="33"/>
      <c r="G134" s="32"/>
      <c r="H134" s="49"/>
      <c r="I134" s="34"/>
      <c r="J134" s="25">
        <f t="shared" si="2"/>
        <v>5149</v>
      </c>
      <c r="K134" s="25"/>
      <c r="L134" s="35"/>
    </row>
    <row r="135" spans="1:12">
      <c r="A135" s="28" t="s">
        <v>53</v>
      </c>
      <c r="B135" s="46">
        <v>69672874</v>
      </c>
      <c r="C135" s="135" t="s">
        <v>135</v>
      </c>
      <c r="D135" s="31" t="s">
        <v>57</v>
      </c>
      <c r="E135" s="32">
        <f>11+25*10+40</f>
        <v>301</v>
      </c>
      <c r="F135" s="33"/>
      <c r="G135" s="32"/>
      <c r="H135" s="49"/>
      <c r="I135" s="34"/>
      <c r="J135" s="25">
        <f t="shared" si="2"/>
        <v>301</v>
      </c>
      <c r="K135" s="67"/>
      <c r="L135" s="68"/>
    </row>
    <row r="136" spans="1:12">
      <c r="A136" s="28" t="s">
        <v>53</v>
      </c>
      <c r="B136" s="46">
        <v>69672875</v>
      </c>
      <c r="C136" s="135" t="s">
        <v>136</v>
      </c>
      <c r="D136" s="31" t="s">
        <v>57</v>
      </c>
      <c r="E136" s="32">
        <f>100+200</f>
        <v>300</v>
      </c>
      <c r="F136" s="33"/>
      <c r="G136" s="32"/>
      <c r="H136" s="49"/>
      <c r="I136" s="34"/>
      <c r="J136" s="25">
        <f t="shared" si="2"/>
        <v>300</v>
      </c>
      <c r="K136" s="25"/>
      <c r="L136" s="35"/>
    </row>
    <row r="137" spans="1:12">
      <c r="A137" s="28" t="s">
        <v>53</v>
      </c>
      <c r="B137" s="148">
        <v>69779314</v>
      </c>
      <c r="C137" s="47" t="s">
        <v>137</v>
      </c>
      <c r="D137" s="31" t="s">
        <v>57</v>
      </c>
      <c r="E137" s="41">
        <v>86</v>
      </c>
      <c r="F137" s="33"/>
      <c r="G137" s="32"/>
      <c r="H137" s="49"/>
      <c r="I137" s="34"/>
      <c r="J137" s="25">
        <f t="shared" si="2"/>
        <v>86</v>
      </c>
      <c r="K137" s="25"/>
      <c r="L137" s="35"/>
    </row>
    <row r="138" spans="1:12">
      <c r="A138" s="28"/>
      <c r="B138" s="148"/>
      <c r="C138" s="47"/>
      <c r="D138" s="31"/>
      <c r="E138" s="32"/>
      <c r="F138" s="33"/>
      <c r="G138" s="32"/>
      <c r="H138" s="49"/>
      <c r="I138" s="34"/>
      <c r="J138" s="25">
        <f t="shared" si="2"/>
        <v>0</v>
      </c>
      <c r="K138" s="25"/>
      <c r="L138" s="35"/>
    </row>
    <row r="139" spans="1:12" ht="15">
      <c r="A139" s="149" t="s">
        <v>51</v>
      </c>
      <c r="B139" s="137">
        <v>94013777</v>
      </c>
      <c r="C139" s="150" t="s">
        <v>138</v>
      </c>
      <c r="D139" s="139"/>
      <c r="E139" s="142"/>
      <c r="F139" s="141"/>
      <c r="G139" s="142"/>
      <c r="H139" s="143"/>
      <c r="I139" s="151"/>
      <c r="J139" s="25">
        <f t="shared" si="2"/>
        <v>0</v>
      </c>
      <c r="K139" s="25"/>
      <c r="L139" s="35"/>
    </row>
    <row r="140" spans="1:12">
      <c r="A140" s="28" t="s">
        <v>53</v>
      </c>
      <c r="B140" s="45">
        <v>64852691</v>
      </c>
      <c r="C140" s="98" t="s">
        <v>139</v>
      </c>
      <c r="D140" s="31" t="s">
        <v>57</v>
      </c>
      <c r="E140" s="32">
        <v>300</v>
      </c>
      <c r="F140" s="33"/>
      <c r="G140" s="32"/>
      <c r="H140" s="49"/>
      <c r="I140" s="34"/>
      <c r="J140" s="25">
        <f t="shared" si="2"/>
        <v>300</v>
      </c>
      <c r="K140" s="25"/>
      <c r="L140" s="35"/>
    </row>
    <row r="141" spans="1:12" s="133" customFormat="1">
      <c r="A141" s="28" t="s">
        <v>53</v>
      </c>
      <c r="B141" s="45">
        <v>64874799</v>
      </c>
      <c r="C141" s="98" t="s">
        <v>140</v>
      </c>
      <c r="D141" s="31" t="s">
        <v>57</v>
      </c>
      <c r="E141" s="32">
        <v>56</v>
      </c>
      <c r="F141" s="33"/>
      <c r="G141" s="32"/>
      <c r="H141" s="49"/>
      <c r="I141" s="49"/>
      <c r="J141" s="25">
        <f t="shared" si="2"/>
        <v>56</v>
      </c>
      <c r="K141" s="145"/>
      <c r="L141" s="146"/>
    </row>
    <row r="142" spans="1:12">
      <c r="A142" s="28"/>
      <c r="B142" s="148"/>
      <c r="C142" s="47"/>
      <c r="D142" s="31"/>
      <c r="E142" s="32"/>
      <c r="F142" s="33"/>
      <c r="G142" s="32"/>
      <c r="H142" s="49"/>
      <c r="I142" s="34"/>
      <c r="J142" s="25">
        <f t="shared" si="2"/>
        <v>0</v>
      </c>
      <c r="K142" s="25"/>
      <c r="L142" s="35"/>
    </row>
    <row r="143" spans="1:12" ht="15">
      <c r="A143" s="60" t="s">
        <v>51</v>
      </c>
      <c r="B143" s="61">
        <v>94010488</v>
      </c>
      <c r="C143" s="62" t="s">
        <v>141</v>
      </c>
      <c r="D143" s="101"/>
      <c r="E143" s="64"/>
      <c r="F143" s="65"/>
      <c r="G143" s="64"/>
      <c r="H143" s="103"/>
      <c r="I143" s="104"/>
      <c r="J143" s="25">
        <f t="shared" si="2"/>
        <v>0</v>
      </c>
      <c r="K143" s="25"/>
      <c r="L143" s="35"/>
    </row>
    <row r="144" spans="1:12">
      <c r="A144" s="28" t="s">
        <v>53</v>
      </c>
      <c r="B144" s="29">
        <v>11061724</v>
      </c>
      <c r="C144" s="30" t="s">
        <v>142</v>
      </c>
      <c r="D144" s="31" t="s">
        <v>10</v>
      </c>
      <c r="E144" s="152">
        <f>3*840</f>
        <v>2520</v>
      </c>
      <c r="F144" s="153"/>
      <c r="G144" s="152"/>
      <c r="H144" s="154"/>
      <c r="I144" s="154"/>
      <c r="J144" s="25">
        <f t="shared" si="2"/>
        <v>2520</v>
      </c>
      <c r="K144" s="25"/>
      <c r="L144" s="35"/>
    </row>
    <row r="145" spans="1:12">
      <c r="A145" s="28" t="s">
        <v>53</v>
      </c>
      <c r="B145" s="46">
        <v>68762505</v>
      </c>
      <c r="C145" s="47" t="s">
        <v>143</v>
      </c>
      <c r="D145" s="31" t="s">
        <v>57</v>
      </c>
      <c r="E145" s="41">
        <f>6272*3+2*6272</f>
        <v>31360</v>
      </c>
      <c r="F145" s="33"/>
      <c r="G145" s="32"/>
      <c r="H145" s="156"/>
      <c r="I145" s="154"/>
      <c r="J145" s="25">
        <f t="shared" si="2"/>
        <v>31360</v>
      </c>
      <c r="K145" s="67"/>
      <c r="L145" s="68"/>
    </row>
    <row r="146" spans="1:12" s="72" customFormat="1">
      <c r="A146" s="28" t="s">
        <v>53</v>
      </c>
      <c r="B146" s="46">
        <v>68762504</v>
      </c>
      <c r="C146" s="47" t="s">
        <v>144</v>
      </c>
      <c r="D146" s="31" t="s">
        <v>57</v>
      </c>
      <c r="E146" s="41">
        <f>500+0.72/0.0059+17*500+500*12+100</f>
        <v>15222.033898305084</v>
      </c>
      <c r="F146" s="33"/>
      <c r="G146" s="32"/>
      <c r="H146" s="156"/>
      <c r="I146" s="154"/>
      <c r="J146" s="25">
        <f t="shared" si="2"/>
        <v>15222.033898305084</v>
      </c>
      <c r="K146" s="25">
        <f>840*4+9*35</f>
        <v>3675</v>
      </c>
      <c r="L146" s="155">
        <f>182.48+6*35</f>
        <v>392.48</v>
      </c>
    </row>
    <row r="147" spans="1:12">
      <c r="A147" s="28" t="s">
        <v>53</v>
      </c>
      <c r="B147" s="46">
        <v>11505718</v>
      </c>
      <c r="C147" s="47" t="s">
        <v>145</v>
      </c>
      <c r="D147" s="31" t="s">
        <v>57</v>
      </c>
      <c r="E147" s="41">
        <f>37186+13750*4+7500</f>
        <v>99686</v>
      </c>
      <c r="F147" s="33"/>
      <c r="G147" s="32"/>
      <c r="H147" s="156"/>
      <c r="I147" s="154"/>
      <c r="J147" s="25">
        <f t="shared" si="2"/>
        <v>99686</v>
      </c>
      <c r="K147" s="155">
        <f>6272+1929+6272+2856+6272*3</f>
        <v>36145</v>
      </c>
      <c r="L147" s="121">
        <v>5488</v>
      </c>
    </row>
    <row r="148" spans="1:12">
      <c r="A148" s="28" t="s">
        <v>53</v>
      </c>
      <c r="B148" s="45">
        <v>64872146</v>
      </c>
      <c r="C148" s="47" t="s">
        <v>146</v>
      </c>
      <c r="D148" s="31" t="s">
        <v>57</v>
      </c>
      <c r="E148" s="114">
        <f>336+263+36000+35000</f>
        <v>71599</v>
      </c>
      <c r="F148" s="33"/>
      <c r="G148" s="32"/>
      <c r="H148" s="156"/>
      <c r="I148" s="154"/>
      <c r="J148" s="25">
        <f t="shared" si="2"/>
        <v>71599</v>
      </c>
      <c r="K148" s="155"/>
      <c r="L148" s="157"/>
    </row>
    <row r="149" spans="1:12" ht="15.75" customHeight="1">
      <c r="A149" s="28" t="s">
        <v>53</v>
      </c>
      <c r="B149" s="46">
        <v>69713695</v>
      </c>
      <c r="C149" s="47" t="s">
        <v>147</v>
      </c>
      <c r="D149" s="31" t="s">
        <v>57</v>
      </c>
      <c r="E149" s="32">
        <v>135</v>
      </c>
      <c r="F149" s="33"/>
      <c r="G149" s="32"/>
      <c r="H149" s="152"/>
      <c r="I149" s="154"/>
      <c r="J149" s="25">
        <f t="shared" si="2"/>
        <v>135</v>
      </c>
      <c r="K149" s="25"/>
      <c r="L149" s="35"/>
    </row>
    <row r="150" spans="1:12" ht="15">
      <c r="A150" s="60" t="s">
        <v>51</v>
      </c>
      <c r="B150" s="61"/>
      <c r="C150" s="62" t="s">
        <v>141</v>
      </c>
      <c r="D150" s="101"/>
      <c r="E150" s="64"/>
      <c r="F150" s="65"/>
      <c r="G150" s="64"/>
      <c r="H150" s="103"/>
      <c r="I150" s="104"/>
      <c r="J150" s="25">
        <f t="shared" si="2"/>
        <v>0</v>
      </c>
      <c r="K150" s="25">
        <v>123</v>
      </c>
      <c r="L150" s="35"/>
    </row>
    <row r="151" spans="1:12" ht="15">
      <c r="A151" s="28" t="s">
        <v>53</v>
      </c>
      <c r="B151" s="158">
        <v>64928063</v>
      </c>
      <c r="C151" s="159" t="s">
        <v>148</v>
      </c>
      <c r="D151" s="31" t="s">
        <v>57</v>
      </c>
      <c r="E151" s="32">
        <v>106</v>
      </c>
      <c r="F151" s="33"/>
      <c r="G151" s="32"/>
      <c r="H151" s="156"/>
      <c r="I151" s="154"/>
      <c r="J151" s="25">
        <f t="shared" si="2"/>
        <v>106</v>
      </c>
      <c r="K151" s="25"/>
      <c r="L151" s="35"/>
    </row>
    <row r="152" spans="1:12" ht="15">
      <c r="A152" s="28" t="s">
        <v>53</v>
      </c>
      <c r="B152" s="158">
        <v>64928068</v>
      </c>
      <c r="C152" s="159" t="s">
        <v>149</v>
      </c>
      <c r="D152" s="31" t="s">
        <v>57</v>
      </c>
      <c r="E152" s="32"/>
      <c r="F152" s="33"/>
      <c r="G152" s="32"/>
      <c r="H152" s="156"/>
      <c r="I152" s="154"/>
      <c r="J152" s="25">
        <f t="shared" si="2"/>
        <v>0</v>
      </c>
      <c r="K152" s="67"/>
      <c r="L152" s="68"/>
    </row>
    <row r="153" spans="1:12" ht="15">
      <c r="A153" s="28" t="s">
        <v>53</v>
      </c>
      <c r="B153" s="158">
        <v>64928060</v>
      </c>
      <c r="C153" s="159" t="s">
        <v>150</v>
      </c>
      <c r="D153" s="31" t="s">
        <v>57</v>
      </c>
      <c r="E153" s="32">
        <v>500</v>
      </c>
      <c r="F153" s="33"/>
      <c r="G153" s="32"/>
      <c r="H153" s="156"/>
      <c r="I153" s="154"/>
      <c r="J153" s="25">
        <f t="shared" si="2"/>
        <v>500</v>
      </c>
      <c r="K153" s="25"/>
      <c r="L153" s="35"/>
    </row>
    <row r="154" spans="1:12">
      <c r="A154" s="28"/>
      <c r="B154" s="46"/>
      <c r="C154" s="47"/>
      <c r="D154" s="31"/>
      <c r="E154" s="32"/>
      <c r="F154" s="33"/>
      <c r="G154" s="32"/>
      <c r="H154" s="156"/>
      <c r="I154" s="154"/>
      <c r="J154" s="25">
        <f t="shared" si="2"/>
        <v>0</v>
      </c>
      <c r="K154" s="25"/>
      <c r="L154" s="35"/>
    </row>
    <row r="155" spans="1:12" ht="15">
      <c r="A155" s="60" t="s">
        <v>51</v>
      </c>
      <c r="B155" s="160">
        <v>94010489</v>
      </c>
      <c r="C155" s="116" t="s">
        <v>151</v>
      </c>
      <c r="D155" s="101"/>
      <c r="E155" s="64"/>
      <c r="F155" s="65"/>
      <c r="G155" s="64"/>
      <c r="H155" s="161"/>
      <c r="I155" s="66"/>
      <c r="J155" s="25">
        <f t="shared" si="2"/>
        <v>0</v>
      </c>
      <c r="K155" s="25"/>
      <c r="L155" s="35"/>
    </row>
    <row r="156" spans="1:12">
      <c r="A156" s="28" t="s">
        <v>53</v>
      </c>
      <c r="B156" s="29">
        <v>69713689</v>
      </c>
      <c r="C156" s="30" t="s">
        <v>152</v>
      </c>
      <c r="D156" s="31" t="s">
        <v>57</v>
      </c>
      <c r="E156" s="32">
        <f>21+207</f>
        <v>228</v>
      </c>
      <c r="F156" s="33"/>
      <c r="G156" s="32"/>
      <c r="H156" s="48"/>
      <c r="I156" s="44"/>
      <c r="J156" s="25">
        <f t="shared" si="2"/>
        <v>228</v>
      </c>
      <c r="K156" s="25"/>
      <c r="L156" s="35"/>
    </row>
    <row r="157" spans="1:12">
      <c r="A157" s="28" t="s">
        <v>53</v>
      </c>
      <c r="B157" s="29">
        <v>68762503</v>
      </c>
      <c r="C157" s="30" t="s">
        <v>153</v>
      </c>
      <c r="D157" s="31" t="s">
        <v>57</v>
      </c>
      <c r="E157" s="32">
        <f>5*4116</f>
        <v>20580</v>
      </c>
      <c r="F157" s="33"/>
      <c r="G157" s="32"/>
      <c r="H157" s="48"/>
      <c r="I157" s="44"/>
      <c r="J157" s="25">
        <f t="shared" si="2"/>
        <v>20580</v>
      </c>
      <c r="K157" s="67"/>
      <c r="L157" s="68"/>
    </row>
    <row r="158" spans="1:12">
      <c r="A158" s="28" t="s">
        <v>53</v>
      </c>
      <c r="B158" s="29">
        <v>68762508</v>
      </c>
      <c r="C158" s="30" t="s">
        <v>154</v>
      </c>
      <c r="D158" s="31" t="s">
        <v>57</v>
      </c>
      <c r="E158" s="38">
        <f>14*500+2.81/0.0071</f>
        <v>7395.7746478873241</v>
      </c>
      <c r="F158" s="33"/>
      <c r="G158" s="32"/>
      <c r="H158" s="48"/>
      <c r="I158" s="44"/>
      <c r="J158" s="25">
        <f t="shared" si="2"/>
        <v>7395.7746478873241</v>
      </c>
      <c r="K158" s="25"/>
      <c r="L158" s="35"/>
    </row>
    <row r="159" spans="1:12">
      <c r="A159" s="28" t="s">
        <v>53</v>
      </c>
      <c r="B159" s="29">
        <v>11505712</v>
      </c>
      <c r="C159" s="30" t="s">
        <v>155</v>
      </c>
      <c r="D159" s="31" t="s">
        <v>57</v>
      </c>
      <c r="E159" s="38">
        <f>8500*5</f>
        <v>42500</v>
      </c>
      <c r="F159" s="33"/>
      <c r="G159" s="162"/>
      <c r="H159" s="48"/>
      <c r="I159" s="44"/>
      <c r="J159" s="25">
        <f t="shared" si="2"/>
        <v>42500</v>
      </c>
      <c r="K159" s="25">
        <f>17071+1026</f>
        <v>18097</v>
      </c>
      <c r="L159" s="35">
        <f>2604+4116*3+4116*2+1092</f>
        <v>24276</v>
      </c>
    </row>
    <row r="160" spans="1:12">
      <c r="A160" s="28" t="s">
        <v>53</v>
      </c>
      <c r="B160" s="45">
        <v>64872140</v>
      </c>
      <c r="C160" s="30" t="s">
        <v>156</v>
      </c>
      <c r="D160" s="31" t="s">
        <v>57</v>
      </c>
      <c r="E160" s="38"/>
      <c r="F160" s="33"/>
      <c r="G160" s="32"/>
      <c r="H160" s="48"/>
      <c r="I160" s="44"/>
      <c r="J160" s="25">
        <f t="shared" si="2"/>
        <v>0</v>
      </c>
      <c r="K160" s="25">
        <f>500*9</f>
        <v>4500</v>
      </c>
      <c r="L160" s="35"/>
    </row>
    <row r="161" spans="1:12" ht="15.75" customHeight="1">
      <c r="A161" s="60" t="s">
        <v>51</v>
      </c>
      <c r="B161" s="160">
        <v>94013627</v>
      </c>
      <c r="C161" s="116" t="s">
        <v>151</v>
      </c>
      <c r="D161" s="101"/>
      <c r="E161" s="64"/>
      <c r="F161" s="65"/>
      <c r="G161" s="64"/>
      <c r="H161" s="161"/>
      <c r="I161" s="66"/>
      <c r="J161" s="25">
        <f t="shared" si="2"/>
        <v>0</v>
      </c>
      <c r="K161" s="25"/>
      <c r="L161" s="35"/>
    </row>
    <row r="162" spans="1:12">
      <c r="A162" s="28" t="s">
        <v>53</v>
      </c>
      <c r="B162" s="29">
        <v>64928066</v>
      </c>
      <c r="C162" s="163" t="s">
        <v>157</v>
      </c>
      <c r="D162" s="31" t="s">
        <v>57</v>
      </c>
      <c r="E162" s="38">
        <v>12</v>
      </c>
      <c r="F162" s="33"/>
      <c r="G162" s="32"/>
      <c r="H162" s="48"/>
      <c r="I162" s="44"/>
      <c r="J162" s="25">
        <f t="shared" si="2"/>
        <v>12</v>
      </c>
      <c r="K162" s="25"/>
      <c r="L162" s="35"/>
    </row>
    <row r="163" spans="1:12">
      <c r="A163" s="28" t="s">
        <v>53</v>
      </c>
      <c r="B163" s="29">
        <v>64928061</v>
      </c>
      <c r="C163" s="163" t="s">
        <v>158</v>
      </c>
      <c r="D163" s="31" t="s">
        <v>57</v>
      </c>
      <c r="E163" s="38">
        <v>12862</v>
      </c>
      <c r="F163" s="33"/>
      <c r="G163" s="32"/>
      <c r="H163" s="48"/>
      <c r="I163" s="44"/>
      <c r="J163" s="25">
        <f t="shared" si="2"/>
        <v>12862</v>
      </c>
      <c r="K163" s="67"/>
      <c r="L163" s="68"/>
    </row>
    <row r="164" spans="1:12">
      <c r="A164" s="28" t="s">
        <v>53</v>
      </c>
      <c r="B164" s="29">
        <v>64928062</v>
      </c>
      <c r="C164" s="163" t="s">
        <v>159</v>
      </c>
      <c r="D164" s="31" t="s">
        <v>57</v>
      </c>
      <c r="E164" s="38"/>
      <c r="F164" s="33"/>
      <c r="G164" s="32"/>
      <c r="H164" s="48"/>
      <c r="I164" s="44"/>
      <c r="J164" s="25">
        <f t="shared" si="2"/>
        <v>0</v>
      </c>
      <c r="K164" s="25"/>
      <c r="L164" s="35"/>
    </row>
    <row r="165" spans="1:12">
      <c r="A165" s="28"/>
      <c r="B165" s="148"/>
      <c r="C165" s="30"/>
      <c r="D165" s="31"/>
      <c r="E165" s="38"/>
      <c r="F165" s="33"/>
      <c r="G165" s="32"/>
      <c r="H165" s="48"/>
      <c r="I165" s="44"/>
      <c r="J165" s="25">
        <f t="shared" si="2"/>
        <v>0</v>
      </c>
      <c r="K165" s="25"/>
      <c r="L165" s="35"/>
    </row>
    <row r="166" spans="1:12" ht="15">
      <c r="A166" s="136" t="s">
        <v>51</v>
      </c>
      <c r="B166" s="164">
        <v>94010303</v>
      </c>
      <c r="C166" s="138" t="s">
        <v>151</v>
      </c>
      <c r="D166" s="139"/>
      <c r="E166" s="165"/>
      <c r="F166" s="141"/>
      <c r="G166" s="142"/>
      <c r="H166" s="143"/>
      <c r="I166" s="151"/>
      <c r="J166" s="25">
        <f t="shared" si="2"/>
        <v>0</v>
      </c>
      <c r="K166" s="25"/>
      <c r="L166" s="35"/>
    </row>
    <row r="167" spans="1:12">
      <c r="A167" s="28" t="s">
        <v>53</v>
      </c>
      <c r="B167" s="46">
        <v>69596310</v>
      </c>
      <c r="C167" s="30" t="s">
        <v>160</v>
      </c>
      <c r="D167" s="31" t="s">
        <v>57</v>
      </c>
      <c r="E167" s="166">
        <v>27819</v>
      </c>
      <c r="F167" s="33"/>
      <c r="G167" s="32"/>
      <c r="H167" s="48"/>
      <c r="I167" s="44"/>
      <c r="J167" s="25">
        <f t="shared" si="2"/>
        <v>27819</v>
      </c>
      <c r="K167" s="25"/>
      <c r="L167" s="35"/>
    </row>
    <row r="168" spans="1:12" s="133" customFormat="1">
      <c r="A168" s="28" t="s">
        <v>53</v>
      </c>
      <c r="B168" s="46">
        <v>69596311</v>
      </c>
      <c r="C168" s="30" t="s">
        <v>161</v>
      </c>
      <c r="D168" s="31" t="s">
        <v>57</v>
      </c>
      <c r="E168" s="166">
        <v>404</v>
      </c>
      <c r="F168" s="33"/>
      <c r="G168" s="32"/>
      <c r="H168" s="48"/>
      <c r="I168" s="44"/>
      <c r="J168" s="25">
        <f t="shared" si="2"/>
        <v>404</v>
      </c>
      <c r="K168" s="145"/>
      <c r="L168" s="146"/>
    </row>
    <row r="169" spans="1:12" ht="15">
      <c r="A169" s="60" t="s">
        <v>51</v>
      </c>
      <c r="B169" s="115">
        <v>94010490</v>
      </c>
      <c r="C169" s="116" t="s">
        <v>162</v>
      </c>
      <c r="D169" s="101"/>
      <c r="E169" s="64"/>
      <c r="F169" s="65"/>
      <c r="G169" s="64"/>
      <c r="H169" s="103"/>
      <c r="I169" s="66"/>
      <c r="J169" s="25">
        <f t="shared" si="2"/>
        <v>0</v>
      </c>
      <c r="K169" s="25"/>
      <c r="L169" s="35"/>
    </row>
    <row r="170" spans="1:12">
      <c r="A170" s="28" t="s">
        <v>53</v>
      </c>
      <c r="B170" s="46">
        <v>69713694</v>
      </c>
      <c r="C170" s="135" t="s">
        <v>163</v>
      </c>
      <c r="D170" s="31" t="s">
        <v>57</v>
      </c>
      <c r="E170" s="32">
        <f>12+61+11</f>
        <v>84</v>
      </c>
      <c r="F170" s="33"/>
      <c r="G170" s="32"/>
      <c r="H170" s="48"/>
      <c r="I170" s="157"/>
      <c r="J170" s="25">
        <f t="shared" si="2"/>
        <v>84</v>
      </c>
      <c r="K170" s="25"/>
      <c r="L170" s="35"/>
    </row>
    <row r="171" spans="1:12">
      <c r="A171" s="28" t="s">
        <v>53</v>
      </c>
      <c r="B171" s="46">
        <v>68762507</v>
      </c>
      <c r="C171" s="47" t="s">
        <v>164</v>
      </c>
      <c r="D171" s="31" t="s">
        <v>57</v>
      </c>
      <c r="E171" s="32">
        <f>2688*2</f>
        <v>5376</v>
      </c>
      <c r="F171" s="33"/>
      <c r="G171" s="32"/>
      <c r="H171" s="41"/>
      <c r="I171" s="157"/>
      <c r="J171" s="25">
        <f t="shared" si="2"/>
        <v>5376</v>
      </c>
      <c r="K171" s="67"/>
      <c r="L171" s="68"/>
    </row>
    <row r="172" spans="1:12">
      <c r="A172" s="28" t="s">
        <v>53</v>
      </c>
      <c r="B172" s="46">
        <v>68762510</v>
      </c>
      <c r="C172" s="47" t="s">
        <v>165</v>
      </c>
      <c r="D172" s="31" t="s">
        <v>57</v>
      </c>
      <c r="E172" s="32">
        <f>500*10+100</f>
        <v>5100</v>
      </c>
      <c r="F172" s="33"/>
      <c r="G172" s="32"/>
      <c r="H172" s="41"/>
      <c r="I172" s="157"/>
      <c r="J172" s="25">
        <f t="shared" si="2"/>
        <v>5100</v>
      </c>
      <c r="K172" s="25">
        <v>3</v>
      </c>
      <c r="L172" s="49"/>
    </row>
    <row r="173" spans="1:12">
      <c r="A173" s="28" t="s">
        <v>53</v>
      </c>
      <c r="B173" s="46">
        <v>11505714</v>
      </c>
      <c r="C173" s="47" t="s">
        <v>166</v>
      </c>
      <c r="D173" s="31" t="s">
        <v>57</v>
      </c>
      <c r="E173" s="32">
        <f>5598+4174</f>
        <v>9772</v>
      </c>
      <c r="F173" s="33"/>
      <c r="G173" s="32"/>
      <c r="H173" s="41"/>
      <c r="I173" s="157"/>
      <c r="J173" s="25">
        <f t="shared" si="2"/>
        <v>9772</v>
      </c>
      <c r="K173" s="25">
        <v>10813</v>
      </c>
      <c r="L173" s="167">
        <f>384+1472+928+894+256+2560+2688+192+64</f>
        <v>9438</v>
      </c>
    </row>
    <row r="174" spans="1:12">
      <c r="A174" s="28" t="s">
        <v>53</v>
      </c>
      <c r="B174" s="45">
        <v>64872147</v>
      </c>
      <c r="C174" s="47" t="s">
        <v>167</v>
      </c>
      <c r="D174" s="31" t="s">
        <v>57</v>
      </c>
      <c r="E174" s="32">
        <f>600*13</f>
        <v>7800</v>
      </c>
      <c r="F174" s="33"/>
      <c r="G174" s="32"/>
      <c r="H174" s="41"/>
      <c r="I174" s="157"/>
      <c r="J174" s="25">
        <f t="shared" si="2"/>
        <v>7800</v>
      </c>
      <c r="K174" s="25">
        <f>10*500+24*500</f>
        <v>17000</v>
      </c>
      <c r="L174" s="48"/>
    </row>
    <row r="175" spans="1:12" ht="15">
      <c r="A175" s="136" t="s">
        <v>51</v>
      </c>
      <c r="B175" s="164">
        <v>94013628</v>
      </c>
      <c r="C175" s="138" t="s">
        <v>162</v>
      </c>
      <c r="D175" s="139"/>
      <c r="E175" s="142"/>
      <c r="F175" s="141"/>
      <c r="G175" s="142"/>
      <c r="H175" s="143"/>
      <c r="I175" s="151"/>
      <c r="J175" s="25">
        <f t="shared" si="2"/>
        <v>0</v>
      </c>
      <c r="K175" s="25"/>
      <c r="L175" s="35"/>
    </row>
    <row r="176" spans="1:12">
      <c r="A176" s="28" t="s">
        <v>53</v>
      </c>
      <c r="B176" s="148">
        <v>64928064</v>
      </c>
      <c r="C176" s="98" t="s">
        <v>168</v>
      </c>
      <c r="D176" s="31" t="s">
        <v>57</v>
      </c>
      <c r="E176" s="32">
        <v>46</v>
      </c>
      <c r="F176" s="33"/>
      <c r="G176" s="32"/>
      <c r="H176" s="41"/>
      <c r="I176" s="157"/>
      <c r="J176" s="25">
        <f t="shared" si="2"/>
        <v>46</v>
      </c>
      <c r="K176" s="25"/>
      <c r="L176" s="35"/>
    </row>
    <row r="177" spans="1:12" s="133" customFormat="1">
      <c r="A177" s="28" t="s">
        <v>53</v>
      </c>
      <c r="B177" s="45">
        <v>64928067</v>
      </c>
      <c r="C177" s="98" t="s">
        <v>166</v>
      </c>
      <c r="D177" s="31" t="s">
        <v>57</v>
      </c>
      <c r="E177" s="32">
        <f>5500*2+11861</f>
        <v>22861</v>
      </c>
      <c r="F177" s="33"/>
      <c r="G177" s="32"/>
      <c r="H177" s="41"/>
      <c r="I177" s="157"/>
      <c r="J177" s="25">
        <f t="shared" si="2"/>
        <v>22861</v>
      </c>
      <c r="K177" s="145"/>
      <c r="L177" s="146"/>
    </row>
    <row r="178" spans="1:12">
      <c r="A178" s="28" t="s">
        <v>53</v>
      </c>
      <c r="B178" s="148">
        <v>64928065</v>
      </c>
      <c r="C178" s="98" t="s">
        <v>167</v>
      </c>
      <c r="D178" s="31" t="s">
        <v>57</v>
      </c>
      <c r="E178" s="32">
        <f>600*7+350</f>
        <v>4550</v>
      </c>
      <c r="F178" s="33"/>
      <c r="G178" s="32"/>
      <c r="H178" s="41"/>
      <c r="I178" s="157"/>
      <c r="J178" s="25">
        <f t="shared" si="2"/>
        <v>4550</v>
      </c>
      <c r="K178" s="25"/>
      <c r="L178" s="35"/>
    </row>
    <row r="179" spans="1:12" ht="15">
      <c r="A179" s="60" t="s">
        <v>51</v>
      </c>
      <c r="B179" s="115">
        <v>94011180</v>
      </c>
      <c r="C179" s="116" t="s">
        <v>169</v>
      </c>
      <c r="D179" s="101"/>
      <c r="E179" s="64"/>
      <c r="F179" s="65"/>
      <c r="G179" s="64"/>
      <c r="H179" s="103"/>
      <c r="I179" s="66"/>
      <c r="J179" s="25">
        <f t="shared" si="2"/>
        <v>0</v>
      </c>
      <c r="K179" s="25"/>
      <c r="L179" s="35"/>
    </row>
    <row r="180" spans="1:12">
      <c r="A180" s="28" t="s">
        <v>53</v>
      </c>
      <c r="B180" s="46">
        <v>69601422</v>
      </c>
      <c r="C180" s="47" t="s">
        <v>170</v>
      </c>
      <c r="D180" s="31" t="s">
        <v>57</v>
      </c>
      <c r="E180" s="32"/>
      <c r="F180" s="33"/>
      <c r="G180" s="32"/>
      <c r="H180" s="168"/>
      <c r="I180" s="169"/>
      <c r="J180" s="25">
        <f t="shared" si="2"/>
        <v>0</v>
      </c>
      <c r="K180" s="25"/>
      <c r="L180" s="35"/>
    </row>
    <row r="181" spans="1:12">
      <c r="A181" s="28" t="s">
        <v>53</v>
      </c>
      <c r="B181" s="46">
        <v>68196482</v>
      </c>
      <c r="C181" s="170" t="s">
        <v>171</v>
      </c>
      <c r="D181" s="31" t="s">
        <v>57</v>
      </c>
      <c r="E181" s="32">
        <f>11254+20000</f>
        <v>31254</v>
      </c>
      <c r="F181" s="33"/>
      <c r="G181" s="32"/>
      <c r="H181" s="168"/>
      <c r="I181" s="169"/>
      <c r="J181" s="25">
        <f t="shared" si="2"/>
        <v>31254</v>
      </c>
      <c r="K181" s="67"/>
      <c r="L181" s="68"/>
    </row>
    <row r="182" spans="1:12">
      <c r="A182" s="28" t="s">
        <v>53</v>
      </c>
      <c r="B182" s="46">
        <v>68304164</v>
      </c>
      <c r="C182" s="47" t="s">
        <v>172</v>
      </c>
      <c r="D182" s="31" t="s">
        <v>57</v>
      </c>
      <c r="E182" s="32">
        <f>4*200+214+238</f>
        <v>1252</v>
      </c>
      <c r="F182" s="33"/>
      <c r="G182" s="32"/>
      <c r="H182" s="168"/>
      <c r="I182" s="169"/>
      <c r="J182" s="25">
        <f t="shared" si="2"/>
        <v>1252</v>
      </c>
      <c r="K182" s="25">
        <v>835</v>
      </c>
      <c r="L182" s="35">
        <f>6*2500+618</f>
        <v>15618</v>
      </c>
    </row>
    <row r="183" spans="1:12">
      <c r="A183" s="28" t="s">
        <v>53</v>
      </c>
      <c r="B183" s="46">
        <v>68304165</v>
      </c>
      <c r="C183" s="47" t="s">
        <v>173</v>
      </c>
      <c r="D183" s="31" t="s">
        <v>57</v>
      </c>
      <c r="E183" s="32">
        <f>25*5+23</f>
        <v>148</v>
      </c>
      <c r="F183" s="33"/>
      <c r="G183" s="32"/>
      <c r="H183" s="168"/>
      <c r="I183" s="169"/>
      <c r="J183" s="25">
        <f t="shared" si="2"/>
        <v>148</v>
      </c>
      <c r="K183" s="25"/>
      <c r="L183" s="35"/>
    </row>
    <row r="184" spans="1:12">
      <c r="A184" s="28" t="s">
        <v>53</v>
      </c>
      <c r="B184" s="46">
        <v>68295361</v>
      </c>
      <c r="C184" s="47" t="s">
        <v>174</v>
      </c>
      <c r="D184" s="31" t="s">
        <v>57</v>
      </c>
      <c r="E184" s="32">
        <f>91+300+10</f>
        <v>401</v>
      </c>
      <c r="F184" s="33"/>
      <c r="G184" s="32"/>
      <c r="H184" s="168"/>
      <c r="I184" s="169"/>
      <c r="J184" s="25">
        <f t="shared" si="2"/>
        <v>401</v>
      </c>
      <c r="K184" s="25"/>
      <c r="L184" s="35"/>
    </row>
    <row r="185" spans="1:12">
      <c r="A185" s="28"/>
      <c r="B185" s="46"/>
      <c r="C185" s="135"/>
      <c r="D185" s="31"/>
      <c r="E185" s="32"/>
      <c r="F185" s="33"/>
      <c r="G185" s="32"/>
      <c r="H185" s="168"/>
      <c r="I185" s="169"/>
      <c r="J185" s="25">
        <f t="shared" si="2"/>
        <v>0</v>
      </c>
      <c r="K185" s="25"/>
      <c r="L185" s="35"/>
    </row>
    <row r="186" spans="1:12" ht="15">
      <c r="A186" s="60" t="s">
        <v>51</v>
      </c>
      <c r="B186" s="115">
        <v>94012069</v>
      </c>
      <c r="C186" s="116" t="s">
        <v>175</v>
      </c>
      <c r="D186" s="101"/>
      <c r="E186" s="102"/>
      <c r="F186" s="91"/>
      <c r="G186" s="102"/>
      <c r="H186" s="103"/>
      <c r="I186" s="66"/>
      <c r="J186" s="25">
        <f t="shared" si="2"/>
        <v>0</v>
      </c>
      <c r="K186" s="25"/>
      <c r="L186" s="35"/>
    </row>
    <row r="187" spans="1:12">
      <c r="A187" s="28" t="s">
        <v>53</v>
      </c>
      <c r="B187" s="46">
        <v>69998456</v>
      </c>
      <c r="C187" s="47" t="s">
        <v>176</v>
      </c>
      <c r="D187" s="31" t="s">
        <v>57</v>
      </c>
      <c r="E187" s="96"/>
      <c r="F187" s="94"/>
      <c r="G187" s="171"/>
      <c r="H187" s="168"/>
      <c r="I187" s="169"/>
      <c r="J187" s="25">
        <f t="shared" si="2"/>
        <v>0</v>
      </c>
      <c r="K187" s="25"/>
      <c r="L187" s="35"/>
    </row>
    <row r="188" spans="1:12">
      <c r="A188" s="28" t="s">
        <v>53</v>
      </c>
      <c r="B188" s="46">
        <v>64376619</v>
      </c>
      <c r="C188" s="47" t="s">
        <v>177</v>
      </c>
      <c r="D188" s="31" t="s">
        <v>57</v>
      </c>
      <c r="E188" s="96">
        <f>9*10+220</f>
        <v>310</v>
      </c>
      <c r="F188" s="97"/>
      <c r="G188" s="96"/>
      <c r="H188" s="168"/>
      <c r="I188" s="172"/>
      <c r="J188" s="25">
        <f t="shared" si="2"/>
        <v>310</v>
      </c>
      <c r="K188" s="67"/>
      <c r="L188" s="68"/>
    </row>
    <row r="189" spans="1:12">
      <c r="A189" s="28" t="s">
        <v>53</v>
      </c>
      <c r="B189" s="46">
        <v>69998455</v>
      </c>
      <c r="C189" s="47" t="s">
        <v>178</v>
      </c>
      <c r="D189" s="31" t="s">
        <v>57</v>
      </c>
      <c r="E189" s="96">
        <f>15*9+12</f>
        <v>147</v>
      </c>
      <c r="F189" s="94"/>
      <c r="G189" s="171"/>
      <c r="H189" s="168"/>
      <c r="I189" s="169"/>
      <c r="J189" s="25">
        <f t="shared" si="2"/>
        <v>147</v>
      </c>
      <c r="K189" s="25"/>
      <c r="L189" s="35"/>
    </row>
    <row r="190" spans="1:12">
      <c r="A190" s="28" t="s">
        <v>53</v>
      </c>
      <c r="B190" s="46">
        <v>69998451</v>
      </c>
      <c r="C190" s="47" t="s">
        <v>179</v>
      </c>
      <c r="D190" s="31" t="s">
        <v>57</v>
      </c>
      <c r="E190" s="96">
        <f>2766+5500*3+4500+4500*2+1500</f>
        <v>34266</v>
      </c>
      <c r="F190" s="97"/>
      <c r="G190" s="96"/>
      <c r="H190" s="168"/>
      <c r="I190" s="169"/>
      <c r="J190" s="25">
        <f t="shared" si="2"/>
        <v>34266</v>
      </c>
      <c r="K190" s="25"/>
      <c r="L190" s="35"/>
    </row>
    <row r="191" spans="1:12">
      <c r="A191" s="28" t="s">
        <v>53</v>
      </c>
      <c r="B191" s="46">
        <v>64376613</v>
      </c>
      <c r="C191" s="135" t="s">
        <v>180</v>
      </c>
      <c r="D191" s="31" t="s">
        <v>57</v>
      </c>
      <c r="E191" s="96">
        <v>4976</v>
      </c>
      <c r="F191" s="97"/>
      <c r="G191" s="96"/>
      <c r="H191" s="168"/>
      <c r="I191" s="169"/>
      <c r="J191" s="25">
        <f t="shared" si="2"/>
        <v>4976</v>
      </c>
      <c r="K191" s="25"/>
      <c r="L191" s="35"/>
    </row>
    <row r="192" spans="1:12">
      <c r="A192" s="28"/>
      <c r="B192" s="46"/>
      <c r="C192" s="135"/>
      <c r="D192" s="31"/>
      <c r="E192" s="96"/>
      <c r="F192" s="97"/>
      <c r="G192" s="96"/>
      <c r="H192" s="168"/>
      <c r="I192" s="172"/>
      <c r="J192" s="25">
        <f t="shared" si="2"/>
        <v>0</v>
      </c>
      <c r="K192" s="25"/>
      <c r="L192" s="35"/>
    </row>
    <row r="193" spans="1:13" ht="15">
      <c r="A193" s="60" t="s">
        <v>51</v>
      </c>
      <c r="B193" s="115">
        <v>94012068</v>
      </c>
      <c r="C193" s="116" t="s">
        <v>181</v>
      </c>
      <c r="D193" s="101"/>
      <c r="E193" s="102"/>
      <c r="F193" s="91"/>
      <c r="G193" s="102"/>
      <c r="H193" s="103"/>
      <c r="I193" s="66"/>
      <c r="J193" s="25">
        <f t="shared" si="2"/>
        <v>0</v>
      </c>
      <c r="K193" s="25"/>
      <c r="L193" s="35"/>
    </row>
    <row r="194" spans="1:13">
      <c r="A194" s="28" t="s">
        <v>53</v>
      </c>
      <c r="B194" s="46">
        <v>64376621</v>
      </c>
      <c r="C194" s="47" t="s">
        <v>182</v>
      </c>
      <c r="D194" s="31" t="s">
        <v>57</v>
      </c>
      <c r="E194" s="96">
        <f>151+30</f>
        <v>181</v>
      </c>
      <c r="F194" s="97"/>
      <c r="G194" s="96"/>
      <c r="H194" s="168"/>
      <c r="I194" s="172"/>
      <c r="J194" s="25">
        <f t="shared" si="2"/>
        <v>181</v>
      </c>
      <c r="K194" s="25"/>
      <c r="L194" s="35"/>
    </row>
    <row r="195" spans="1:13">
      <c r="A195" s="28" t="s">
        <v>53</v>
      </c>
      <c r="B195" s="46">
        <v>69998450</v>
      </c>
      <c r="C195" s="47" t="s">
        <v>183</v>
      </c>
      <c r="D195" s="31" t="s">
        <v>57</v>
      </c>
      <c r="E195" s="96">
        <f>15*17</f>
        <v>255</v>
      </c>
      <c r="F195" s="97"/>
      <c r="G195" s="96"/>
      <c r="H195" s="168"/>
      <c r="I195" s="172"/>
      <c r="J195" s="25">
        <f t="shared" ref="J195:J258" si="3">+E195+F195-G195+H195</f>
        <v>255</v>
      </c>
      <c r="K195" s="67"/>
      <c r="L195" s="68"/>
    </row>
    <row r="196" spans="1:13">
      <c r="A196" s="28" t="s">
        <v>53</v>
      </c>
      <c r="B196" s="46">
        <v>69998453</v>
      </c>
      <c r="C196" s="47" t="s">
        <v>184</v>
      </c>
      <c r="D196" s="31" t="s">
        <v>57</v>
      </c>
      <c r="E196" s="96">
        <f>54+500</f>
        <v>554</v>
      </c>
      <c r="F196" s="97"/>
      <c r="G196" s="96"/>
      <c r="H196" s="168"/>
      <c r="I196" s="172"/>
      <c r="J196" s="25">
        <f t="shared" si="3"/>
        <v>554</v>
      </c>
      <c r="K196" s="25"/>
      <c r="L196" s="35"/>
    </row>
    <row r="197" spans="1:13">
      <c r="A197" s="28" t="s">
        <v>53</v>
      </c>
      <c r="B197" s="46">
        <v>69998461</v>
      </c>
      <c r="C197" s="47" t="s">
        <v>185</v>
      </c>
      <c r="D197" s="31" t="s">
        <v>57</v>
      </c>
      <c r="E197" s="96">
        <f>8500*2+4500*2+8500*2+7843</f>
        <v>50843</v>
      </c>
      <c r="F197" s="97"/>
      <c r="G197" s="96"/>
      <c r="H197" s="173"/>
      <c r="I197" s="172"/>
      <c r="J197" s="25">
        <f t="shared" si="3"/>
        <v>50843</v>
      </c>
      <c r="K197" s="25"/>
      <c r="L197" s="35"/>
    </row>
    <row r="198" spans="1:13">
      <c r="A198" s="28" t="s">
        <v>53</v>
      </c>
      <c r="B198" s="46">
        <v>69998460</v>
      </c>
      <c r="C198" s="47" t="s">
        <v>186</v>
      </c>
      <c r="D198" s="31" t="s">
        <v>57</v>
      </c>
      <c r="E198" s="96"/>
      <c r="F198" s="94"/>
      <c r="G198" s="171"/>
      <c r="H198" s="173"/>
      <c r="I198" s="169"/>
      <c r="J198" s="25">
        <f t="shared" si="3"/>
        <v>0</v>
      </c>
      <c r="K198" s="25"/>
      <c r="L198" s="35"/>
    </row>
    <row r="199" spans="1:13">
      <c r="A199" s="28" t="s">
        <v>53</v>
      </c>
      <c r="B199" s="46">
        <v>64376612</v>
      </c>
      <c r="C199" s="135" t="s">
        <v>187</v>
      </c>
      <c r="D199" s="31" t="s">
        <v>57</v>
      </c>
      <c r="E199" s="96">
        <v>2823</v>
      </c>
      <c r="F199" s="94"/>
      <c r="G199" s="171"/>
      <c r="H199" s="173"/>
      <c r="I199" s="169"/>
      <c r="J199" s="25">
        <f t="shared" si="3"/>
        <v>2823</v>
      </c>
      <c r="K199" s="25"/>
      <c r="L199" s="35"/>
    </row>
    <row r="200" spans="1:13" hidden="1">
      <c r="A200" s="28"/>
      <c r="B200" s="46"/>
      <c r="C200" s="135"/>
      <c r="D200" s="31"/>
      <c r="E200" s="96"/>
      <c r="F200" s="94"/>
      <c r="G200" s="171"/>
      <c r="H200" s="168"/>
      <c r="I200" s="169"/>
      <c r="J200" s="25">
        <f t="shared" si="3"/>
        <v>0</v>
      </c>
      <c r="K200" s="25"/>
      <c r="L200" s="35"/>
    </row>
    <row r="201" spans="1:13" ht="15">
      <c r="A201" s="60" t="s">
        <v>51</v>
      </c>
      <c r="B201" s="115">
        <v>94012395</v>
      </c>
      <c r="C201" s="116" t="s">
        <v>188</v>
      </c>
      <c r="D201" s="174"/>
      <c r="E201" s="101"/>
      <c r="F201" s="91"/>
      <c r="G201" s="102"/>
      <c r="H201" s="175"/>
      <c r="I201" s="176"/>
      <c r="J201" s="25">
        <f t="shared" si="3"/>
        <v>0</v>
      </c>
      <c r="K201" s="25">
        <v>5647</v>
      </c>
      <c r="L201" s="35"/>
    </row>
    <row r="202" spans="1:13">
      <c r="A202" s="28" t="s">
        <v>53</v>
      </c>
      <c r="B202" s="46">
        <v>64376615</v>
      </c>
      <c r="C202" s="47" t="s">
        <v>189</v>
      </c>
      <c r="D202" s="31" t="s">
        <v>57</v>
      </c>
      <c r="E202" s="96">
        <f>2+10</f>
        <v>12</v>
      </c>
      <c r="F202" s="97"/>
      <c r="G202" s="96"/>
      <c r="H202" s="168"/>
      <c r="I202" s="169"/>
      <c r="J202" s="25">
        <f t="shared" si="3"/>
        <v>12</v>
      </c>
      <c r="K202" s="25"/>
      <c r="L202" s="35"/>
    </row>
    <row r="203" spans="1:13">
      <c r="A203" s="28" t="s">
        <v>53</v>
      </c>
      <c r="B203" s="46">
        <v>64316583</v>
      </c>
      <c r="C203" s="47" t="s">
        <v>190</v>
      </c>
      <c r="D203" s="31" t="s">
        <v>57</v>
      </c>
      <c r="E203" s="177">
        <f>33*20</f>
        <v>660</v>
      </c>
      <c r="F203" s="97"/>
      <c r="G203" s="96"/>
      <c r="H203" s="168"/>
      <c r="I203" s="169"/>
      <c r="J203" s="25">
        <f t="shared" si="3"/>
        <v>660</v>
      </c>
      <c r="K203" s="67"/>
      <c r="L203" s="68"/>
    </row>
    <row r="204" spans="1:13">
      <c r="A204" s="28" t="s">
        <v>53</v>
      </c>
      <c r="B204" s="46">
        <v>64316581</v>
      </c>
      <c r="C204" s="47" t="s">
        <v>191</v>
      </c>
      <c r="D204" s="31" t="s">
        <v>57</v>
      </c>
      <c r="E204" s="96">
        <f>1152*2+1152*2+1152+800+414</f>
        <v>6974</v>
      </c>
      <c r="F204" s="97"/>
      <c r="G204" s="96"/>
      <c r="H204" s="168"/>
      <c r="I204" s="169"/>
      <c r="J204" s="25">
        <f t="shared" si="3"/>
        <v>6974</v>
      </c>
      <c r="K204" s="25"/>
      <c r="L204" s="35"/>
    </row>
    <row r="205" spans="1:13">
      <c r="A205" s="28" t="s">
        <v>53</v>
      </c>
      <c r="B205" s="46">
        <v>64316582</v>
      </c>
      <c r="C205" s="47" t="s">
        <v>192</v>
      </c>
      <c r="D205" s="31" t="s">
        <v>57</v>
      </c>
      <c r="E205" s="96">
        <v>1000</v>
      </c>
      <c r="F205" s="97"/>
      <c r="G205" s="96"/>
      <c r="H205" s="168"/>
      <c r="I205" s="169"/>
      <c r="J205" s="25">
        <f t="shared" si="3"/>
        <v>1000</v>
      </c>
      <c r="K205" s="25"/>
      <c r="L205" s="35"/>
    </row>
    <row r="206" spans="1:13">
      <c r="A206" s="28" t="s">
        <v>53</v>
      </c>
      <c r="B206" s="46">
        <v>64316587</v>
      </c>
      <c r="C206" s="47" t="s">
        <v>193</v>
      </c>
      <c r="D206" s="31" t="s">
        <v>57</v>
      </c>
      <c r="E206" s="96">
        <f>6000+3000+2736</f>
        <v>11736</v>
      </c>
      <c r="F206" s="97"/>
      <c r="G206" s="96"/>
      <c r="H206" s="168"/>
      <c r="I206" s="169"/>
      <c r="J206" s="25">
        <f t="shared" si="3"/>
        <v>11736</v>
      </c>
      <c r="K206" s="25">
        <f>1152+414+630+864+1296+1152+450+1080+1044+1152+1296+620+1440+738</f>
        <v>13328</v>
      </c>
      <c r="L206" s="178">
        <f>116+139+803+1440+9954</f>
        <v>12452</v>
      </c>
      <c r="M206" s="27"/>
    </row>
    <row r="207" spans="1:13" ht="16.5" customHeight="1">
      <c r="A207" s="28" t="s">
        <v>53</v>
      </c>
      <c r="B207" s="46">
        <v>64376618</v>
      </c>
      <c r="C207" s="47" t="s">
        <v>194</v>
      </c>
      <c r="D207" s="31" t="s">
        <v>57</v>
      </c>
      <c r="E207" s="96">
        <v>3004</v>
      </c>
      <c r="F207" s="97"/>
      <c r="G207" s="96"/>
      <c r="H207" s="168"/>
      <c r="I207" s="169"/>
      <c r="J207" s="25">
        <f t="shared" si="3"/>
        <v>3004</v>
      </c>
      <c r="K207" s="25"/>
      <c r="L207" s="35"/>
    </row>
    <row r="208" spans="1:13">
      <c r="A208" s="28" t="s">
        <v>53</v>
      </c>
      <c r="B208" s="46">
        <v>64376617</v>
      </c>
      <c r="C208" s="47" t="s">
        <v>195</v>
      </c>
      <c r="D208" s="31" t="s">
        <v>57</v>
      </c>
      <c r="E208" s="96">
        <v>1000</v>
      </c>
      <c r="F208" s="97"/>
      <c r="G208" s="96"/>
      <c r="H208" s="168"/>
      <c r="I208" s="169"/>
      <c r="J208" s="25">
        <f t="shared" si="3"/>
        <v>1000</v>
      </c>
      <c r="K208" s="25"/>
      <c r="L208" s="35"/>
      <c r="M208" s="27"/>
    </row>
    <row r="209" spans="1:13">
      <c r="A209" s="28"/>
      <c r="B209" s="46"/>
      <c r="C209" s="135"/>
      <c r="D209" s="31"/>
      <c r="E209" s="32"/>
      <c r="F209" s="33"/>
      <c r="G209" s="32"/>
      <c r="H209" s="168"/>
      <c r="I209" s="169"/>
      <c r="J209" s="25">
        <f t="shared" si="3"/>
        <v>0</v>
      </c>
      <c r="K209" s="25"/>
      <c r="L209" s="35"/>
      <c r="M209" s="27"/>
    </row>
    <row r="210" spans="1:13" ht="15">
      <c r="A210" s="60" t="s">
        <v>51</v>
      </c>
      <c r="B210" s="115">
        <v>94012617</v>
      </c>
      <c r="C210" s="116" t="s">
        <v>196</v>
      </c>
      <c r="D210" s="101"/>
      <c r="E210" s="102"/>
      <c r="F210" s="91"/>
      <c r="G210" s="102"/>
      <c r="H210" s="93"/>
      <c r="I210" s="66"/>
      <c r="J210" s="25">
        <f t="shared" si="3"/>
        <v>0</v>
      </c>
      <c r="K210" s="25"/>
      <c r="L210" s="35"/>
    </row>
    <row r="211" spans="1:13">
      <c r="A211" s="28" t="s">
        <v>53</v>
      </c>
      <c r="B211" s="100">
        <v>64368840</v>
      </c>
      <c r="C211" s="179" t="s">
        <v>197</v>
      </c>
      <c r="D211" s="31" t="s">
        <v>57</v>
      </c>
      <c r="E211" s="171">
        <f>10*10+16</f>
        <v>116</v>
      </c>
      <c r="F211" s="94"/>
      <c r="G211" s="171"/>
      <c r="H211" s="43"/>
      <c r="I211" s="169"/>
      <c r="J211" s="25">
        <f t="shared" si="3"/>
        <v>116</v>
      </c>
      <c r="K211" s="25"/>
      <c r="L211" s="35"/>
    </row>
    <row r="212" spans="1:13">
      <c r="A212" s="28" t="s">
        <v>53</v>
      </c>
      <c r="B212" s="100">
        <v>64390861</v>
      </c>
      <c r="C212" s="179" t="s">
        <v>198</v>
      </c>
      <c r="D212" s="31" t="s">
        <v>57</v>
      </c>
      <c r="E212" s="171"/>
      <c r="F212" s="94"/>
      <c r="G212" s="171"/>
      <c r="H212" s="43"/>
      <c r="I212" s="169"/>
      <c r="J212" s="25">
        <f t="shared" si="3"/>
        <v>0</v>
      </c>
      <c r="K212" s="67"/>
      <c r="L212" s="68"/>
    </row>
    <row r="213" spans="1:13">
      <c r="A213" s="28" t="s">
        <v>53</v>
      </c>
      <c r="B213" s="100">
        <v>64368841</v>
      </c>
      <c r="C213" s="47" t="s">
        <v>199</v>
      </c>
      <c r="D213" s="31" t="s">
        <v>57</v>
      </c>
      <c r="E213" s="171">
        <f>6*500+1.38/0.00887</f>
        <v>3155.5806087936867</v>
      </c>
      <c r="F213" s="180"/>
      <c r="G213" s="171"/>
      <c r="H213" s="43"/>
      <c r="I213" s="169"/>
      <c r="J213" s="25">
        <f t="shared" si="3"/>
        <v>3155.5806087936867</v>
      </c>
      <c r="K213" s="25"/>
      <c r="L213" s="35"/>
      <c r="M213" s="27"/>
    </row>
    <row r="214" spans="1:13">
      <c r="A214" s="28" t="s">
        <v>53</v>
      </c>
      <c r="B214" s="100">
        <v>64368839</v>
      </c>
      <c r="C214" s="179" t="s">
        <v>200</v>
      </c>
      <c r="D214" s="31" t="s">
        <v>57</v>
      </c>
      <c r="E214" s="171">
        <f>777+5500</f>
        <v>6277</v>
      </c>
      <c r="F214" s="180"/>
      <c r="G214" s="171"/>
      <c r="H214" s="43"/>
      <c r="I214" s="169"/>
      <c r="J214" s="25">
        <f t="shared" si="3"/>
        <v>6277</v>
      </c>
      <c r="K214" s="25"/>
      <c r="L214" s="35"/>
      <c r="M214" s="27"/>
    </row>
    <row r="215" spans="1:13">
      <c r="A215" s="28" t="s">
        <v>53</v>
      </c>
      <c r="B215" s="100">
        <v>64368842</v>
      </c>
      <c r="C215" s="179" t="s">
        <v>201</v>
      </c>
      <c r="D215" s="31" t="s">
        <v>57</v>
      </c>
      <c r="E215" s="171">
        <v>5712</v>
      </c>
      <c r="F215" s="180"/>
      <c r="G215" s="171"/>
      <c r="H215" s="43"/>
      <c r="I215" s="169"/>
      <c r="J215" s="25">
        <f t="shared" si="3"/>
        <v>5712</v>
      </c>
      <c r="K215" s="25"/>
      <c r="L215" s="35"/>
    </row>
    <row r="216" spans="1:13">
      <c r="A216" s="28"/>
      <c r="B216" s="46"/>
      <c r="C216" s="135"/>
      <c r="D216" s="31"/>
      <c r="E216" s="32"/>
      <c r="F216" s="33"/>
      <c r="G216" s="32"/>
      <c r="H216" s="168"/>
      <c r="I216" s="169"/>
      <c r="J216" s="25">
        <f t="shared" si="3"/>
        <v>0</v>
      </c>
      <c r="K216" s="25"/>
      <c r="L216" s="35"/>
    </row>
    <row r="217" spans="1:13" ht="15">
      <c r="A217" s="60" t="s">
        <v>51</v>
      </c>
      <c r="B217" s="115">
        <v>94010494</v>
      </c>
      <c r="C217" s="181" t="s">
        <v>202</v>
      </c>
      <c r="D217" s="101"/>
      <c r="E217" s="64"/>
      <c r="F217" s="65"/>
      <c r="G217" s="64"/>
      <c r="H217" s="103"/>
      <c r="I217" s="66"/>
      <c r="J217" s="25">
        <f t="shared" si="3"/>
        <v>0</v>
      </c>
      <c r="K217" s="25"/>
      <c r="L217" s="35"/>
    </row>
    <row r="218" spans="1:13">
      <c r="A218" s="28" t="s">
        <v>53</v>
      </c>
      <c r="B218" s="46">
        <v>69772142</v>
      </c>
      <c r="C218" s="47" t="s">
        <v>203</v>
      </c>
      <c r="D218" s="31" t="s">
        <v>57</v>
      </c>
      <c r="E218" s="32">
        <f>63+29*25+345+40</f>
        <v>1173</v>
      </c>
      <c r="F218" s="33"/>
      <c r="G218" s="32"/>
      <c r="H218" s="32"/>
      <c r="I218" s="44"/>
      <c r="J218" s="25">
        <f t="shared" si="3"/>
        <v>1173</v>
      </c>
      <c r="K218" s="25"/>
      <c r="L218" s="35"/>
    </row>
    <row r="219" spans="1:13">
      <c r="A219" s="28" t="s">
        <v>53</v>
      </c>
      <c r="B219" s="100">
        <v>64872134</v>
      </c>
      <c r="C219" s="47" t="s">
        <v>204</v>
      </c>
      <c r="D219" s="31" t="s">
        <v>57</v>
      </c>
      <c r="E219" s="32">
        <v>13888</v>
      </c>
      <c r="F219" s="33"/>
      <c r="G219" s="32"/>
      <c r="H219" s="32"/>
      <c r="I219" s="44"/>
      <c r="J219" s="25">
        <f t="shared" si="3"/>
        <v>13888</v>
      </c>
      <c r="K219" s="67"/>
      <c r="L219" s="68"/>
    </row>
    <row r="220" spans="1:13">
      <c r="A220" s="28"/>
      <c r="B220" s="46"/>
      <c r="C220" s="47"/>
      <c r="D220" s="31"/>
      <c r="E220" s="32"/>
      <c r="F220" s="33"/>
      <c r="G220" s="32"/>
      <c r="H220" s="48"/>
      <c r="I220" s="44"/>
      <c r="J220" s="25">
        <f t="shared" si="3"/>
        <v>0</v>
      </c>
      <c r="K220" s="25"/>
      <c r="L220" s="35"/>
    </row>
    <row r="221" spans="1:13" ht="15">
      <c r="A221" s="60" t="s">
        <v>51</v>
      </c>
      <c r="B221" s="115">
        <v>94011481</v>
      </c>
      <c r="C221" s="116" t="s">
        <v>205</v>
      </c>
      <c r="D221" s="101"/>
      <c r="E221" s="64"/>
      <c r="F221" s="65"/>
      <c r="G221" s="64"/>
      <c r="H221" s="103"/>
      <c r="I221" s="66"/>
      <c r="J221" s="25">
        <f t="shared" si="3"/>
        <v>0</v>
      </c>
      <c r="K221" s="25">
        <f>13888+10446</f>
        <v>24334</v>
      </c>
      <c r="L221" s="35"/>
    </row>
    <row r="222" spans="1:13">
      <c r="A222" s="28" t="s">
        <v>53</v>
      </c>
      <c r="B222" s="46">
        <v>69772132</v>
      </c>
      <c r="C222" s="135" t="s">
        <v>206</v>
      </c>
      <c r="D222" s="31" t="s">
        <v>57</v>
      </c>
      <c r="E222" s="32"/>
      <c r="F222" s="33"/>
      <c r="G222" s="32"/>
      <c r="H222" s="48"/>
      <c r="I222" s="44"/>
      <c r="J222" s="25">
        <f t="shared" si="3"/>
        <v>0</v>
      </c>
      <c r="K222" s="25"/>
      <c r="L222" s="35"/>
    </row>
    <row r="223" spans="1:13">
      <c r="A223" s="28" t="s">
        <v>53</v>
      </c>
      <c r="B223" s="46">
        <v>69772137</v>
      </c>
      <c r="C223" s="47" t="s">
        <v>207</v>
      </c>
      <c r="D223" s="31" t="s">
        <v>57</v>
      </c>
      <c r="E223" s="32">
        <f>10*25+10+37</f>
        <v>297</v>
      </c>
      <c r="F223" s="33"/>
      <c r="G223" s="32"/>
      <c r="H223" s="48"/>
      <c r="I223" s="44"/>
      <c r="J223" s="25">
        <f t="shared" si="3"/>
        <v>297</v>
      </c>
      <c r="K223" s="67"/>
      <c r="L223" s="68"/>
    </row>
    <row r="224" spans="1:13" hidden="1">
      <c r="A224" s="28" t="s">
        <v>53</v>
      </c>
      <c r="B224" s="46">
        <v>64978945</v>
      </c>
      <c r="C224" s="47" t="s">
        <v>208</v>
      </c>
      <c r="D224" s="31" t="s">
        <v>57</v>
      </c>
      <c r="E224" s="32">
        <f>13888+7*13888</f>
        <v>111104</v>
      </c>
      <c r="F224" s="33"/>
      <c r="G224" s="32"/>
      <c r="H224" s="48"/>
      <c r="I224" s="44"/>
      <c r="J224" s="25">
        <f t="shared" si="3"/>
        <v>111104</v>
      </c>
      <c r="K224" s="25"/>
      <c r="L224" s="35"/>
    </row>
    <row r="225" spans="1:13">
      <c r="A225" s="28"/>
      <c r="B225" s="46"/>
      <c r="C225" s="47"/>
      <c r="D225" s="31"/>
      <c r="E225" s="32"/>
      <c r="F225" s="33"/>
      <c r="G225" s="32"/>
      <c r="H225" s="48"/>
      <c r="I225" s="44"/>
      <c r="J225" s="25">
        <f t="shared" si="3"/>
        <v>0</v>
      </c>
      <c r="K225" s="25"/>
      <c r="L225" s="35"/>
    </row>
    <row r="226" spans="1:13" ht="15">
      <c r="A226" s="60" t="s">
        <v>51</v>
      </c>
      <c r="B226" s="115">
        <v>94012843</v>
      </c>
      <c r="C226" s="116" t="s">
        <v>209</v>
      </c>
      <c r="D226" s="63"/>
      <c r="E226" s="64"/>
      <c r="F226" s="65"/>
      <c r="G226" s="64"/>
      <c r="H226" s="103"/>
      <c r="I226" s="66"/>
      <c r="J226" s="25">
        <f t="shared" si="3"/>
        <v>0</v>
      </c>
      <c r="K226" s="25"/>
      <c r="L226" s="35"/>
    </row>
    <row r="227" spans="1:13">
      <c r="A227" s="28" t="s">
        <v>53</v>
      </c>
      <c r="B227" s="100">
        <v>64402588</v>
      </c>
      <c r="C227" s="47" t="s">
        <v>210</v>
      </c>
      <c r="D227" s="31" t="s">
        <v>57</v>
      </c>
      <c r="E227" s="32">
        <v>265</v>
      </c>
      <c r="F227" s="33"/>
      <c r="G227" s="32"/>
      <c r="H227" s="48"/>
      <c r="I227" s="44"/>
      <c r="J227" s="25">
        <f t="shared" si="3"/>
        <v>265</v>
      </c>
      <c r="K227" s="25"/>
      <c r="L227" s="35"/>
    </row>
    <row r="228" spans="1:13">
      <c r="A228" s="28" t="s">
        <v>53</v>
      </c>
      <c r="B228" s="100">
        <v>64874795</v>
      </c>
      <c r="C228" s="47" t="s">
        <v>211</v>
      </c>
      <c r="D228" s="31" t="s">
        <v>57</v>
      </c>
      <c r="E228" s="32">
        <f>105*3+10</f>
        <v>325</v>
      </c>
      <c r="F228" s="33"/>
      <c r="G228" s="32"/>
      <c r="H228" s="48"/>
      <c r="I228" s="44"/>
      <c r="J228" s="25">
        <f t="shared" si="3"/>
        <v>325</v>
      </c>
      <c r="K228" s="67"/>
      <c r="L228" s="68"/>
    </row>
    <row r="229" spans="1:13">
      <c r="A229" s="28"/>
      <c r="B229" s="46"/>
      <c r="C229" s="47"/>
      <c r="D229" s="31"/>
      <c r="E229" s="32"/>
      <c r="F229" s="33"/>
      <c r="G229" s="32"/>
      <c r="H229" s="48"/>
      <c r="I229" s="44"/>
      <c r="J229" s="25">
        <f t="shared" si="3"/>
        <v>0</v>
      </c>
      <c r="K229" s="25"/>
      <c r="L229" s="35"/>
    </row>
    <row r="230" spans="1:13" ht="15">
      <c r="A230" s="60" t="s">
        <v>51</v>
      </c>
      <c r="B230" s="61">
        <v>94010430</v>
      </c>
      <c r="C230" s="116" t="s">
        <v>212</v>
      </c>
      <c r="D230" s="101"/>
      <c r="E230" s="64"/>
      <c r="F230" s="65"/>
      <c r="G230" s="64"/>
      <c r="H230" s="103"/>
      <c r="I230" s="66"/>
      <c r="J230" s="25">
        <f t="shared" si="3"/>
        <v>0</v>
      </c>
      <c r="K230" s="25">
        <v>22</v>
      </c>
      <c r="L230" s="35"/>
    </row>
    <row r="231" spans="1:13">
      <c r="A231" s="28" t="s">
        <v>53</v>
      </c>
      <c r="B231" s="100">
        <v>69741616</v>
      </c>
      <c r="C231" s="47" t="s">
        <v>213</v>
      </c>
      <c r="D231" s="19" t="s">
        <v>57</v>
      </c>
      <c r="E231" s="32">
        <f>3+450</f>
        <v>453</v>
      </c>
      <c r="F231" s="33"/>
      <c r="G231" s="32"/>
      <c r="H231" s="48"/>
      <c r="I231" s="44"/>
      <c r="J231" s="25">
        <f t="shared" si="3"/>
        <v>453</v>
      </c>
      <c r="K231" s="25"/>
      <c r="L231" s="35"/>
    </row>
    <row r="232" spans="1:13">
      <c r="A232" s="28" t="s">
        <v>53</v>
      </c>
      <c r="B232" s="46">
        <v>69741585</v>
      </c>
      <c r="C232" s="47" t="s">
        <v>214</v>
      </c>
      <c r="D232" s="31" t="s">
        <v>57</v>
      </c>
      <c r="E232" s="32">
        <f>11+105*6+7+5*105</f>
        <v>1173</v>
      </c>
      <c r="F232" s="33"/>
      <c r="G232" s="32"/>
      <c r="H232" s="48"/>
      <c r="I232" s="44"/>
      <c r="J232" s="25">
        <f t="shared" si="3"/>
        <v>1173</v>
      </c>
      <c r="K232" s="67"/>
      <c r="L232" s="68"/>
    </row>
    <row r="233" spans="1:13">
      <c r="A233" s="28" t="s">
        <v>53</v>
      </c>
      <c r="B233" s="46">
        <v>64874793</v>
      </c>
      <c r="C233" s="47" t="s">
        <v>215</v>
      </c>
      <c r="D233" s="31" t="s">
        <v>57</v>
      </c>
      <c r="E233" s="32"/>
      <c r="F233" s="33"/>
      <c r="G233" s="32"/>
      <c r="H233" s="48"/>
      <c r="I233" s="44"/>
      <c r="J233" s="25">
        <f t="shared" si="3"/>
        <v>0</v>
      </c>
      <c r="K233" s="25"/>
      <c r="L233" s="35"/>
    </row>
    <row r="234" spans="1:13">
      <c r="A234" s="28" t="s">
        <v>53</v>
      </c>
      <c r="B234" s="46">
        <v>68889777</v>
      </c>
      <c r="C234" s="47" t="s">
        <v>216</v>
      </c>
      <c r="D234" s="31" t="s">
        <v>57</v>
      </c>
      <c r="E234" s="32">
        <f>21*450</f>
        <v>9450</v>
      </c>
      <c r="F234" s="33"/>
      <c r="G234" s="32"/>
      <c r="H234" s="44"/>
      <c r="I234" s="44"/>
      <c r="J234" s="25">
        <f t="shared" si="3"/>
        <v>9450</v>
      </c>
      <c r="K234" s="182">
        <f>16+1210+74+27</f>
        <v>1327</v>
      </c>
      <c r="L234" s="69"/>
    </row>
    <row r="235" spans="1:13">
      <c r="A235" s="28" t="s">
        <v>53</v>
      </c>
      <c r="B235" s="46">
        <v>68889778</v>
      </c>
      <c r="C235" s="47" t="s">
        <v>217</v>
      </c>
      <c r="D235" s="31" t="s">
        <v>57</v>
      </c>
      <c r="E235" s="32">
        <f>500*7</f>
        <v>3500</v>
      </c>
      <c r="F235" s="33"/>
      <c r="G235" s="32"/>
      <c r="H235" s="44"/>
      <c r="I235" s="44"/>
      <c r="J235" s="25">
        <f t="shared" si="3"/>
        <v>3500</v>
      </c>
      <c r="K235" s="182"/>
      <c r="L235" s="69"/>
    </row>
    <row r="236" spans="1:13">
      <c r="A236" s="28"/>
      <c r="B236" s="46"/>
      <c r="C236" s="47"/>
      <c r="D236" s="31"/>
      <c r="E236" s="32"/>
      <c r="F236" s="33"/>
      <c r="G236" s="32"/>
      <c r="H236" s="48"/>
      <c r="I236" s="44"/>
      <c r="J236" s="25">
        <f t="shared" si="3"/>
        <v>0</v>
      </c>
      <c r="K236" s="25">
        <v>23</v>
      </c>
      <c r="L236" s="35"/>
    </row>
    <row r="237" spans="1:13" ht="15">
      <c r="A237" s="60" t="s">
        <v>51</v>
      </c>
      <c r="B237" s="115">
        <v>94010431</v>
      </c>
      <c r="C237" s="116" t="s">
        <v>218</v>
      </c>
      <c r="D237" s="101"/>
      <c r="E237" s="64"/>
      <c r="F237" s="65"/>
      <c r="G237" s="64"/>
      <c r="H237" s="103"/>
      <c r="I237" s="66"/>
      <c r="J237" s="25">
        <f t="shared" si="3"/>
        <v>0</v>
      </c>
      <c r="K237" s="25"/>
      <c r="L237" s="35"/>
      <c r="M237" s="27"/>
    </row>
    <row r="238" spans="1:13">
      <c r="A238" s="28" t="s">
        <v>53</v>
      </c>
      <c r="B238" s="46">
        <v>69741620</v>
      </c>
      <c r="C238" s="47" t="s">
        <v>219</v>
      </c>
      <c r="D238" s="31" t="s">
        <v>57</v>
      </c>
      <c r="E238" s="32">
        <v>65</v>
      </c>
      <c r="F238" s="33"/>
      <c r="G238" s="32"/>
      <c r="H238" s="48"/>
      <c r="I238" s="183"/>
      <c r="J238" s="25">
        <f t="shared" si="3"/>
        <v>65</v>
      </c>
      <c r="K238" s="25"/>
      <c r="L238" s="35"/>
    </row>
    <row r="239" spans="1:13">
      <c r="A239" s="28" t="s">
        <v>53</v>
      </c>
      <c r="B239" s="46">
        <v>69741586</v>
      </c>
      <c r="C239" s="47" t="s">
        <v>220</v>
      </c>
      <c r="D239" s="31" t="s">
        <v>57</v>
      </c>
      <c r="E239" s="32">
        <f>150*20</f>
        <v>3000</v>
      </c>
      <c r="F239" s="33"/>
      <c r="G239" s="32"/>
      <c r="H239" s="48"/>
      <c r="I239" s="44"/>
      <c r="J239" s="25">
        <f t="shared" si="3"/>
        <v>3000</v>
      </c>
      <c r="K239" s="67"/>
      <c r="L239" s="68"/>
      <c r="M239" s="27"/>
    </row>
    <row r="240" spans="1:13">
      <c r="A240" s="28" t="s">
        <v>53</v>
      </c>
      <c r="B240" s="46">
        <v>68889776</v>
      </c>
      <c r="C240" s="47" t="s">
        <v>221</v>
      </c>
      <c r="D240" s="31" t="s">
        <v>57</v>
      </c>
      <c r="E240" s="38">
        <f>500*12</f>
        <v>6000</v>
      </c>
      <c r="F240" s="33"/>
      <c r="G240" s="32"/>
      <c r="H240" s="48"/>
      <c r="I240" s="44"/>
      <c r="J240" s="25">
        <f t="shared" si="3"/>
        <v>6000</v>
      </c>
      <c r="K240" s="25"/>
      <c r="L240" s="35"/>
      <c r="M240" s="27"/>
    </row>
    <row r="241" spans="1:13">
      <c r="A241" s="28"/>
      <c r="B241" s="46"/>
      <c r="C241" s="47"/>
      <c r="D241" s="31"/>
      <c r="E241" s="96"/>
      <c r="F241" s="33"/>
      <c r="G241" s="32"/>
      <c r="H241" s="48"/>
      <c r="I241" s="44"/>
      <c r="J241" s="25">
        <f t="shared" si="3"/>
        <v>0</v>
      </c>
      <c r="K241" s="70">
        <f>1252+63</f>
        <v>1315</v>
      </c>
      <c r="L241" s="35"/>
    </row>
    <row r="242" spans="1:13" ht="15.75" customHeight="1">
      <c r="A242" s="60" t="s">
        <v>51</v>
      </c>
      <c r="B242" s="184">
        <v>94013453</v>
      </c>
      <c r="C242" s="185" t="s">
        <v>222</v>
      </c>
      <c r="D242" s="63"/>
      <c r="E242" s="102"/>
      <c r="F242" s="65"/>
      <c r="G242" s="64"/>
      <c r="H242" s="103"/>
      <c r="I242" s="66"/>
      <c r="J242" s="25">
        <f t="shared" si="3"/>
        <v>0</v>
      </c>
      <c r="K242" s="25">
        <v>398</v>
      </c>
      <c r="L242" s="35"/>
      <c r="M242" s="27"/>
    </row>
    <row r="243" spans="1:13" ht="15.75" customHeight="1">
      <c r="A243" s="28" t="s">
        <v>53</v>
      </c>
      <c r="B243" s="45">
        <v>64405072</v>
      </c>
      <c r="C243" s="98" t="s">
        <v>223</v>
      </c>
      <c r="D243" s="31" t="s">
        <v>57</v>
      </c>
      <c r="E243" s="96">
        <v>60</v>
      </c>
      <c r="F243" s="33"/>
      <c r="G243" s="32"/>
      <c r="H243" s="48"/>
      <c r="I243" s="44"/>
      <c r="J243" s="25">
        <f t="shared" si="3"/>
        <v>60</v>
      </c>
      <c r="K243" s="25"/>
      <c r="L243" s="35"/>
      <c r="M243" s="27"/>
    </row>
    <row r="244" spans="1:13" ht="15.75" customHeight="1">
      <c r="A244" s="28" t="s">
        <v>53</v>
      </c>
      <c r="B244" s="45">
        <v>64405145</v>
      </c>
      <c r="C244" s="98" t="s">
        <v>224</v>
      </c>
      <c r="D244" s="31" t="s">
        <v>57</v>
      </c>
      <c r="E244" s="96">
        <f>75+160*4</f>
        <v>715</v>
      </c>
      <c r="F244" s="33"/>
      <c r="G244" s="32"/>
      <c r="H244" s="48"/>
      <c r="I244" s="44"/>
      <c r="J244" s="25">
        <f t="shared" si="3"/>
        <v>715</v>
      </c>
      <c r="K244" s="67"/>
      <c r="L244" s="68"/>
      <c r="M244" s="27"/>
    </row>
    <row r="245" spans="1:13" ht="15.75" customHeight="1">
      <c r="A245" s="28"/>
      <c r="B245" s="46"/>
      <c r="C245" s="47"/>
      <c r="D245" s="31"/>
      <c r="E245" s="96"/>
      <c r="F245" s="33"/>
      <c r="G245" s="32"/>
      <c r="H245" s="48"/>
      <c r="I245" s="44"/>
      <c r="J245" s="25">
        <f t="shared" si="3"/>
        <v>0</v>
      </c>
      <c r="K245" s="25"/>
      <c r="L245" s="35"/>
      <c r="M245" s="27"/>
    </row>
    <row r="246" spans="1:13" ht="15.75" customHeight="1">
      <c r="A246" s="60" t="s">
        <v>51</v>
      </c>
      <c r="B246" s="115">
        <v>94010433</v>
      </c>
      <c r="C246" s="116" t="s">
        <v>225</v>
      </c>
      <c r="D246" s="101"/>
      <c r="E246" s="64"/>
      <c r="F246" s="65"/>
      <c r="G246" s="64"/>
      <c r="H246" s="103"/>
      <c r="I246" s="66"/>
      <c r="J246" s="25">
        <f t="shared" si="3"/>
        <v>0</v>
      </c>
      <c r="K246" s="25"/>
      <c r="L246" s="35"/>
      <c r="M246" s="27"/>
    </row>
    <row r="247" spans="1:13" ht="15.75" customHeight="1">
      <c r="A247" s="28" t="s">
        <v>53</v>
      </c>
      <c r="B247" s="100">
        <v>69741622</v>
      </c>
      <c r="C247" s="47" t="s">
        <v>226</v>
      </c>
      <c r="D247" s="31" t="s">
        <v>57</v>
      </c>
      <c r="E247" s="32">
        <v>80</v>
      </c>
      <c r="F247" s="33"/>
      <c r="G247" s="32"/>
      <c r="H247" s="48"/>
      <c r="I247" s="44"/>
      <c r="J247" s="25">
        <f t="shared" si="3"/>
        <v>80</v>
      </c>
      <c r="K247" s="25"/>
      <c r="L247" s="35"/>
      <c r="M247" s="27"/>
    </row>
    <row r="248" spans="1:13">
      <c r="A248" s="28" t="s">
        <v>53</v>
      </c>
      <c r="B248" s="100">
        <v>69741590</v>
      </c>
      <c r="C248" s="47" t="s">
        <v>227</v>
      </c>
      <c r="D248" s="31" t="s">
        <v>57</v>
      </c>
      <c r="E248" s="32"/>
      <c r="F248" s="33"/>
      <c r="G248" s="32"/>
      <c r="H248" s="48"/>
      <c r="I248" s="44"/>
      <c r="J248" s="25">
        <f t="shared" si="3"/>
        <v>0</v>
      </c>
      <c r="K248" s="67"/>
      <c r="L248" s="68"/>
    </row>
    <row r="249" spans="1:13">
      <c r="A249" s="28"/>
      <c r="B249" s="46"/>
      <c r="C249" s="47"/>
      <c r="D249" s="31"/>
      <c r="E249" s="32"/>
      <c r="F249" s="33"/>
      <c r="G249" s="32"/>
      <c r="H249" s="48"/>
      <c r="I249" s="44"/>
      <c r="J249" s="25">
        <f t="shared" si="3"/>
        <v>0</v>
      </c>
      <c r="K249" s="25"/>
      <c r="L249" s="35"/>
    </row>
    <row r="250" spans="1:13" ht="15">
      <c r="A250" s="60" t="s">
        <v>51</v>
      </c>
      <c r="B250" s="115">
        <v>94010432</v>
      </c>
      <c r="C250" s="116" t="s">
        <v>228</v>
      </c>
      <c r="D250" s="101"/>
      <c r="E250" s="64"/>
      <c r="F250" s="65"/>
      <c r="G250" s="64"/>
      <c r="H250" s="103"/>
      <c r="I250" s="66"/>
      <c r="J250" s="25">
        <f t="shared" si="3"/>
        <v>0</v>
      </c>
      <c r="K250" s="25">
        <v>28</v>
      </c>
      <c r="L250" s="35"/>
    </row>
    <row r="251" spans="1:13">
      <c r="A251" s="28" t="s">
        <v>53</v>
      </c>
      <c r="B251" s="186" t="s">
        <v>229</v>
      </c>
      <c r="C251" s="47" t="s">
        <v>230</v>
      </c>
      <c r="D251" s="31" t="s">
        <v>57</v>
      </c>
      <c r="E251" s="32">
        <f>364+57+10</f>
        <v>431</v>
      </c>
      <c r="F251" s="33"/>
      <c r="G251" s="32"/>
      <c r="H251" s="48"/>
      <c r="I251" s="44"/>
      <c r="J251" s="25">
        <f t="shared" si="3"/>
        <v>431</v>
      </c>
      <c r="K251" s="25"/>
      <c r="L251" s="35"/>
    </row>
    <row r="252" spans="1:13">
      <c r="A252" s="28" t="s">
        <v>53</v>
      </c>
      <c r="B252" s="46">
        <v>69741588</v>
      </c>
      <c r="C252" s="47" t="s">
        <v>231</v>
      </c>
      <c r="D252" s="31" t="s">
        <v>57</v>
      </c>
      <c r="E252" s="32"/>
      <c r="F252" s="33"/>
      <c r="G252" s="32"/>
      <c r="H252" s="48"/>
      <c r="I252" s="44"/>
      <c r="J252" s="25">
        <f t="shared" si="3"/>
        <v>0</v>
      </c>
      <c r="K252" s="67"/>
      <c r="L252" s="68"/>
    </row>
    <row r="253" spans="1:13">
      <c r="A253" s="187" t="s">
        <v>53</v>
      </c>
      <c r="B253" s="188">
        <v>64874801</v>
      </c>
      <c r="C253" s="189" t="s">
        <v>232</v>
      </c>
      <c r="D253" s="190" t="s">
        <v>57</v>
      </c>
      <c r="E253" s="191">
        <f>105+192</f>
        <v>297</v>
      </c>
      <c r="F253" s="192"/>
      <c r="G253" s="191"/>
      <c r="H253" s="193"/>
      <c r="I253" s="194"/>
      <c r="J253" s="25">
        <f t="shared" si="3"/>
        <v>297</v>
      </c>
      <c r="K253" s="25"/>
      <c r="L253" s="35"/>
    </row>
    <row r="254" spans="1:13" hidden="1">
      <c r="A254" s="28" t="s">
        <v>53</v>
      </c>
      <c r="B254" s="46">
        <v>68846022</v>
      </c>
      <c r="C254" s="47" t="s">
        <v>233</v>
      </c>
      <c r="D254" s="31" t="s">
        <v>57</v>
      </c>
      <c r="E254" s="32"/>
      <c r="F254" s="33"/>
      <c r="G254" s="32"/>
      <c r="H254" s="48"/>
      <c r="I254" s="44"/>
      <c r="J254" s="25">
        <f t="shared" si="3"/>
        <v>0</v>
      </c>
      <c r="K254" s="25"/>
      <c r="L254" s="35"/>
    </row>
    <row r="255" spans="1:13" s="197" customFormat="1">
      <c r="A255" s="28"/>
      <c r="B255" s="46"/>
      <c r="C255" s="47"/>
      <c r="D255" s="31"/>
      <c r="E255" s="32"/>
      <c r="F255" s="33"/>
      <c r="G255" s="32"/>
      <c r="H255" s="48"/>
      <c r="I255" s="44"/>
      <c r="J255" s="25">
        <f t="shared" si="3"/>
        <v>0</v>
      </c>
      <c r="K255" s="195"/>
      <c r="L255" s="196"/>
    </row>
    <row r="256" spans="1:13" ht="15" hidden="1">
      <c r="A256" s="60" t="s">
        <v>51</v>
      </c>
      <c r="B256" s="115">
        <v>94013456</v>
      </c>
      <c r="C256" s="116" t="s">
        <v>234</v>
      </c>
      <c r="D256" s="101"/>
      <c r="E256" s="64"/>
      <c r="F256" s="65"/>
      <c r="G256" s="64"/>
      <c r="H256" s="103"/>
      <c r="I256" s="66"/>
      <c r="J256" s="25">
        <f t="shared" si="3"/>
        <v>0</v>
      </c>
      <c r="K256" s="25">
        <f>58+16+252+142</f>
        <v>468</v>
      </c>
      <c r="L256" s="35">
        <f>19*2+20</f>
        <v>58</v>
      </c>
    </row>
    <row r="257" spans="1:12">
      <c r="A257" s="46" t="s">
        <v>53</v>
      </c>
      <c r="B257" s="45">
        <v>64405073</v>
      </c>
      <c r="C257" s="98" t="s">
        <v>235</v>
      </c>
      <c r="D257" s="198" t="s">
        <v>57</v>
      </c>
      <c r="E257" s="32">
        <f>58+610</f>
        <v>668</v>
      </c>
      <c r="F257" s="33"/>
      <c r="G257" s="32"/>
      <c r="H257" s="48"/>
      <c r="I257" s="44"/>
      <c r="J257" s="25">
        <f t="shared" si="3"/>
        <v>668</v>
      </c>
      <c r="K257" s="25"/>
      <c r="L257" s="35"/>
    </row>
    <row r="258" spans="1:12">
      <c r="A258" s="46" t="s">
        <v>53</v>
      </c>
      <c r="B258" s="45">
        <v>64891261</v>
      </c>
      <c r="C258" s="98" t="s">
        <v>236</v>
      </c>
      <c r="D258" s="198" t="s">
        <v>57</v>
      </c>
      <c r="E258" s="32">
        <v>300</v>
      </c>
      <c r="F258" s="33"/>
      <c r="G258" s="32"/>
      <c r="H258" s="48"/>
      <c r="I258" s="44"/>
      <c r="J258" s="25">
        <f t="shared" si="3"/>
        <v>300</v>
      </c>
      <c r="K258" s="67"/>
      <c r="L258" s="68"/>
    </row>
    <row r="259" spans="1:12">
      <c r="A259" s="46" t="s">
        <v>53</v>
      </c>
      <c r="B259" s="45">
        <v>64405147</v>
      </c>
      <c r="C259" s="98" t="s">
        <v>237</v>
      </c>
      <c r="D259" s="198" t="s">
        <v>57</v>
      </c>
      <c r="E259" s="32">
        <f>14*160+40*160</f>
        <v>8640</v>
      </c>
      <c r="F259" s="33"/>
      <c r="G259" s="32"/>
      <c r="H259" s="48"/>
      <c r="I259" s="44"/>
      <c r="J259" s="25">
        <f t="shared" ref="J259:J278" si="4">+E259+F259-G259+H259</f>
        <v>8640</v>
      </c>
      <c r="K259" s="25"/>
      <c r="L259" s="35"/>
    </row>
    <row r="260" spans="1:12">
      <c r="A260" s="46" t="s">
        <v>53</v>
      </c>
      <c r="B260" s="45">
        <v>64405071</v>
      </c>
      <c r="C260" s="98" t="s">
        <v>238</v>
      </c>
      <c r="D260" s="198" t="s">
        <v>57</v>
      </c>
      <c r="E260" s="32">
        <f>320*15</f>
        <v>4800</v>
      </c>
      <c r="F260" s="33"/>
      <c r="G260" s="32"/>
      <c r="H260" s="48"/>
      <c r="I260" s="44"/>
      <c r="J260" s="25">
        <f t="shared" si="4"/>
        <v>4800</v>
      </c>
      <c r="K260" s="25"/>
      <c r="L260" s="35"/>
    </row>
    <row r="261" spans="1:12">
      <c r="A261" s="28" t="s">
        <v>53</v>
      </c>
      <c r="B261" s="45">
        <v>64957815</v>
      </c>
      <c r="C261" s="98" t="s">
        <v>239</v>
      </c>
      <c r="D261" s="31" t="s">
        <v>57</v>
      </c>
      <c r="E261" s="32">
        <f>6000+900</f>
        <v>6900</v>
      </c>
      <c r="F261" s="33"/>
      <c r="G261" s="32"/>
      <c r="H261" s="49"/>
      <c r="I261" s="44"/>
      <c r="J261" s="25">
        <f t="shared" si="4"/>
        <v>6900</v>
      </c>
      <c r="K261" s="25"/>
      <c r="L261" s="35"/>
    </row>
    <row r="262" spans="1:12">
      <c r="A262" s="28"/>
      <c r="B262" s="148"/>
      <c r="C262" s="199"/>
      <c r="D262" s="31"/>
      <c r="E262" s="32"/>
      <c r="F262" s="33"/>
      <c r="G262" s="32"/>
      <c r="H262" s="49"/>
      <c r="I262" s="34"/>
      <c r="J262" s="25">
        <f t="shared" si="4"/>
        <v>0</v>
      </c>
      <c r="K262" s="25"/>
      <c r="L262" s="35"/>
    </row>
    <row r="263" spans="1:12" ht="15">
      <c r="A263" s="60" t="s">
        <v>51</v>
      </c>
      <c r="B263" s="115">
        <v>94010566</v>
      </c>
      <c r="C263" s="116" t="s">
        <v>240</v>
      </c>
      <c r="D263" s="101"/>
      <c r="E263" s="64"/>
      <c r="F263" s="65"/>
      <c r="G263" s="64"/>
      <c r="H263" s="103"/>
      <c r="I263" s="66"/>
      <c r="J263" s="25">
        <f t="shared" si="4"/>
        <v>0</v>
      </c>
      <c r="K263" s="25"/>
      <c r="L263" s="35"/>
    </row>
    <row r="264" spans="1:12">
      <c r="A264" s="28" t="s">
        <v>53</v>
      </c>
      <c r="B264" s="46">
        <v>69772140</v>
      </c>
      <c r="C264" s="135" t="s">
        <v>241</v>
      </c>
      <c r="D264" s="31" t="s">
        <v>57</v>
      </c>
      <c r="E264" s="32">
        <f>54+5</f>
        <v>59</v>
      </c>
      <c r="F264" s="33"/>
      <c r="G264" s="32"/>
      <c r="H264" s="48"/>
      <c r="I264" s="44"/>
      <c r="J264" s="25">
        <f t="shared" si="4"/>
        <v>59</v>
      </c>
      <c r="K264" s="25"/>
      <c r="L264" s="35"/>
    </row>
    <row r="265" spans="1:12">
      <c r="A265" s="200" t="s">
        <v>53</v>
      </c>
      <c r="B265" s="46">
        <v>11490075</v>
      </c>
      <c r="C265" s="47" t="s">
        <v>242</v>
      </c>
      <c r="D265" s="201" t="s">
        <v>57</v>
      </c>
      <c r="E265" s="202">
        <f>89*100+42*100</f>
        <v>13100</v>
      </c>
      <c r="F265" s="71"/>
      <c r="G265" s="32"/>
      <c r="H265" s="48"/>
      <c r="I265" s="44"/>
      <c r="J265" s="25">
        <f t="shared" si="4"/>
        <v>13100</v>
      </c>
      <c r="K265" s="67"/>
      <c r="L265" s="68"/>
    </row>
    <row r="266" spans="1:12">
      <c r="A266" s="28" t="s">
        <v>53</v>
      </c>
      <c r="B266" s="46">
        <v>69772138</v>
      </c>
      <c r="C266" s="47" t="s">
        <v>243</v>
      </c>
      <c r="D266" s="31" t="s">
        <v>57</v>
      </c>
      <c r="E266" s="32"/>
      <c r="F266" s="33"/>
      <c r="G266" s="32"/>
      <c r="H266" s="203"/>
      <c r="I266" s="44"/>
      <c r="J266" s="25">
        <f t="shared" si="4"/>
        <v>0</v>
      </c>
      <c r="K266" s="25"/>
      <c r="L266" s="35"/>
    </row>
    <row r="267" spans="1:12" s="72" customFormat="1">
      <c r="A267" s="28" t="s">
        <v>53</v>
      </c>
      <c r="B267" s="46">
        <v>64872133</v>
      </c>
      <c r="C267" s="47" t="s">
        <v>244</v>
      </c>
      <c r="D267" s="31" t="s">
        <v>57</v>
      </c>
      <c r="E267" s="32">
        <f>2*7692+5287</f>
        <v>20671</v>
      </c>
      <c r="F267" s="33"/>
      <c r="G267" s="32"/>
      <c r="H267" s="48"/>
      <c r="I267" s="44"/>
      <c r="J267" s="25">
        <f t="shared" si="4"/>
        <v>20671</v>
      </c>
      <c r="K267" s="25"/>
      <c r="L267" s="121"/>
    </row>
    <row r="268" spans="1:12" hidden="1">
      <c r="A268" s="28" t="s">
        <v>53</v>
      </c>
      <c r="B268" s="46">
        <v>69772133</v>
      </c>
      <c r="C268" s="47" t="s">
        <v>245</v>
      </c>
      <c r="D268" s="31" t="s">
        <v>57</v>
      </c>
      <c r="E268" s="32"/>
      <c r="F268" s="33"/>
      <c r="G268" s="32"/>
      <c r="H268" s="48"/>
      <c r="I268" s="44"/>
      <c r="J268" s="25">
        <f t="shared" si="4"/>
        <v>0</v>
      </c>
      <c r="K268" s="25"/>
      <c r="L268" s="35">
        <v>3719</v>
      </c>
    </row>
    <row r="269" spans="1:12">
      <c r="A269" s="28" t="s">
        <v>53</v>
      </c>
      <c r="B269" s="46">
        <v>68794556</v>
      </c>
      <c r="C269" s="47" t="s">
        <v>246</v>
      </c>
      <c r="D269" s="31" t="s">
        <v>57</v>
      </c>
      <c r="E269" s="32">
        <v>184</v>
      </c>
      <c r="F269" s="33"/>
      <c r="G269" s="32"/>
      <c r="H269" s="48"/>
      <c r="I269" s="44"/>
      <c r="J269" s="25">
        <f t="shared" si="4"/>
        <v>184</v>
      </c>
      <c r="K269" s="25"/>
      <c r="L269" s="35"/>
    </row>
    <row r="270" spans="1:12" ht="15">
      <c r="A270" s="136" t="s">
        <v>51</v>
      </c>
      <c r="B270" s="164">
        <v>94010567</v>
      </c>
      <c r="C270" s="138" t="s">
        <v>247</v>
      </c>
      <c r="D270" s="139"/>
      <c r="E270" s="142"/>
      <c r="F270" s="141"/>
      <c r="G270" s="142"/>
      <c r="H270" s="143"/>
      <c r="I270" s="151"/>
      <c r="J270" s="25">
        <f t="shared" si="4"/>
        <v>0</v>
      </c>
      <c r="K270" s="25"/>
      <c r="L270" s="35"/>
    </row>
    <row r="271" spans="1:12">
      <c r="A271" s="28" t="s">
        <v>53</v>
      </c>
      <c r="B271" s="46">
        <v>69772135</v>
      </c>
      <c r="C271" s="47" t="s">
        <v>248</v>
      </c>
      <c r="D271" s="31" t="s">
        <v>57</v>
      </c>
      <c r="E271" s="32">
        <v>575</v>
      </c>
      <c r="F271" s="33"/>
      <c r="G271" s="32"/>
      <c r="H271" s="48"/>
      <c r="I271" s="44"/>
      <c r="J271" s="25">
        <f t="shared" si="4"/>
        <v>575</v>
      </c>
      <c r="K271" s="25"/>
      <c r="L271" s="35"/>
    </row>
    <row r="272" spans="1:12" s="204" customFormat="1">
      <c r="A272" s="28" t="s">
        <v>53</v>
      </c>
      <c r="B272" s="46">
        <v>64872141</v>
      </c>
      <c r="C272" s="47" t="s">
        <v>249</v>
      </c>
      <c r="D272" s="31" t="s">
        <v>57</v>
      </c>
      <c r="E272" s="205"/>
      <c r="F272" s="33"/>
      <c r="G272" s="32"/>
      <c r="H272" s="44"/>
      <c r="I272" s="44"/>
      <c r="J272" s="25">
        <f t="shared" si="4"/>
        <v>0</v>
      </c>
      <c r="K272" s="145"/>
      <c r="L272" s="146"/>
    </row>
    <row r="273" spans="1:12">
      <c r="A273" s="28" t="s">
        <v>53</v>
      </c>
      <c r="B273" s="206" t="s">
        <v>250</v>
      </c>
      <c r="C273" s="47" t="s">
        <v>251</v>
      </c>
      <c r="D273" s="31" t="s">
        <v>57</v>
      </c>
      <c r="E273" s="32">
        <f>3*7692</f>
        <v>23076</v>
      </c>
      <c r="F273" s="33"/>
      <c r="G273" s="32"/>
      <c r="H273" s="203"/>
      <c r="I273" s="44"/>
      <c r="J273" s="25">
        <f t="shared" si="4"/>
        <v>23076</v>
      </c>
      <c r="K273" s="25"/>
      <c r="L273" s="35"/>
    </row>
    <row r="274" spans="1:12" hidden="1">
      <c r="A274" s="28" t="s">
        <v>53</v>
      </c>
      <c r="B274" s="46">
        <v>69772139</v>
      </c>
      <c r="C274" s="47" t="s">
        <v>252</v>
      </c>
      <c r="D274" s="31" t="s">
        <v>57</v>
      </c>
      <c r="E274" s="32">
        <v>600</v>
      </c>
      <c r="F274" s="33"/>
      <c r="G274" s="32"/>
      <c r="H274" s="48"/>
      <c r="I274" s="44"/>
      <c r="J274" s="25">
        <f t="shared" si="4"/>
        <v>600</v>
      </c>
      <c r="K274" s="25"/>
      <c r="L274" s="35"/>
    </row>
    <row r="275" spans="1:12" ht="16.5" customHeight="1">
      <c r="A275" s="60" t="s">
        <v>51</v>
      </c>
      <c r="B275" s="115">
        <v>94010495</v>
      </c>
      <c r="C275" s="116" t="s">
        <v>253</v>
      </c>
      <c r="D275" s="101"/>
      <c r="E275" s="102"/>
      <c r="F275" s="65"/>
      <c r="G275" s="64"/>
      <c r="H275" s="103"/>
      <c r="I275" s="66"/>
      <c r="J275" s="25">
        <f t="shared" si="4"/>
        <v>0</v>
      </c>
      <c r="K275" s="25">
        <v>7692</v>
      </c>
      <c r="L275" s="35"/>
    </row>
    <row r="276" spans="1:12">
      <c r="A276" s="28" t="s">
        <v>53</v>
      </c>
      <c r="B276" s="46">
        <v>69772141</v>
      </c>
      <c r="C276" s="47" t="s">
        <v>254</v>
      </c>
      <c r="D276" s="31" t="s">
        <v>57</v>
      </c>
      <c r="E276" s="38">
        <f>25+7</f>
        <v>32</v>
      </c>
      <c r="F276" s="40"/>
      <c r="G276" s="41"/>
      <c r="H276" s="48"/>
      <c r="I276" s="122"/>
      <c r="J276" s="25">
        <f t="shared" si="4"/>
        <v>32</v>
      </c>
      <c r="K276" s="25"/>
      <c r="L276" s="35"/>
    </row>
    <row r="277" spans="1:12">
      <c r="A277" s="28" t="s">
        <v>53</v>
      </c>
      <c r="B277" s="46">
        <v>69772134</v>
      </c>
      <c r="C277" s="47" t="s">
        <v>255</v>
      </c>
      <c r="D277" s="31" t="s">
        <v>57</v>
      </c>
      <c r="E277" s="38">
        <v>3222</v>
      </c>
      <c r="F277" s="33"/>
      <c r="G277" s="32"/>
      <c r="H277" s="48"/>
      <c r="I277" s="44"/>
      <c r="J277" s="25">
        <f t="shared" si="4"/>
        <v>3222</v>
      </c>
      <c r="K277" s="67"/>
      <c r="L277" s="68"/>
    </row>
    <row r="278" spans="1:12">
      <c r="A278" s="28" t="s">
        <v>53</v>
      </c>
      <c r="B278" s="46">
        <v>64872142</v>
      </c>
      <c r="C278" s="47" t="s">
        <v>256</v>
      </c>
      <c r="D278" s="31" t="s">
        <v>57</v>
      </c>
      <c r="E278" s="38">
        <f>49+600*5+600</f>
        <v>3649</v>
      </c>
      <c r="F278" s="33"/>
      <c r="G278" s="32"/>
      <c r="H278" s="48"/>
      <c r="I278" s="48"/>
      <c r="J278" s="25">
        <f t="shared" si="4"/>
        <v>3649</v>
      </c>
      <c r="K278" s="207"/>
      <c r="L278" s="35"/>
    </row>
    <row r="279" spans="1:12" ht="15" thickBot="1">
      <c r="A279" s="208" t="s">
        <v>53</v>
      </c>
      <c r="B279" s="209">
        <v>69772130</v>
      </c>
      <c r="C279" s="210" t="s">
        <v>257</v>
      </c>
      <c r="D279" s="211" t="s">
        <v>57</v>
      </c>
      <c r="E279" s="212"/>
      <c r="F279" s="213"/>
      <c r="G279" s="214"/>
      <c r="H279" s="90"/>
      <c r="I279" s="215"/>
      <c r="J279" s="25">
        <f t="shared" ref="J279" si="5">+E279+F279+G279+H279+I279</f>
        <v>0</v>
      </c>
      <c r="K279" s="25"/>
      <c r="L279" s="35"/>
    </row>
    <row r="280" spans="1:12">
      <c r="K280" s="25"/>
      <c r="L280" s="35"/>
    </row>
    <row r="281" spans="1:12" ht="15" hidden="1" thickBot="1">
      <c r="J281" s="87"/>
      <c r="K281" s="216">
        <f>102+243</f>
        <v>345</v>
      </c>
      <c r="L281" s="217"/>
    </row>
    <row r="535" spans="2:10" s="133" customFormat="1">
      <c r="B535" s="218"/>
      <c r="C535" s="219"/>
      <c r="E535" s="218"/>
      <c r="F535" s="218"/>
      <c r="G535" s="218"/>
      <c r="J535" s="133">
        <v>2.4</v>
      </c>
    </row>
    <row r="538" spans="2:10">
      <c r="J538">
        <v>1551</v>
      </c>
    </row>
    <row r="540" spans="2:10">
      <c r="J540">
        <v>137</v>
      </c>
    </row>
    <row r="551" spans="10:10">
      <c r="J551">
        <v>335</v>
      </c>
    </row>
    <row r="559" spans="10:10">
      <c r="J559">
        <v>9.56</v>
      </c>
    </row>
  </sheetData>
  <conditionalFormatting sqref="B53">
    <cfRule type="duplicateValues" dxfId="13" priority="12"/>
  </conditionalFormatting>
  <conditionalFormatting sqref="B54">
    <cfRule type="duplicateValues" dxfId="12" priority="9"/>
  </conditionalFormatting>
  <conditionalFormatting sqref="B63">
    <cfRule type="duplicateValues" dxfId="11" priority="3"/>
  </conditionalFormatting>
  <conditionalFormatting sqref="B129">
    <cfRule type="duplicateValues" dxfId="10" priority="5"/>
  </conditionalFormatting>
  <conditionalFormatting sqref="B134">
    <cfRule type="duplicateValues" dxfId="9" priority="17"/>
  </conditionalFormatting>
  <conditionalFormatting sqref="B137:B138 B140:B142">
    <cfRule type="duplicateValues" dxfId="8" priority="18"/>
  </conditionalFormatting>
  <conditionalFormatting sqref="B145">
    <cfRule type="duplicateValues" dxfId="7" priority="11"/>
  </conditionalFormatting>
  <conditionalFormatting sqref="B261:B262">
    <cfRule type="duplicateValues" dxfId="6" priority="1"/>
  </conditionalFormatting>
  <conditionalFormatting sqref="B249:C249 B220:C220 B236:C236 C247:C248 C271:C272 C239:C24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">
    <cfRule type="duplicateValues" dxfId="5" priority="14" stopIfTrue="1"/>
    <cfRule type="duplicateValues" dxfId="4" priority="15" stopIfTrue="1"/>
  </conditionalFormatting>
  <conditionalFormatting sqref="C53">
    <cfRule type="duplicateValues" dxfId="3" priority="13"/>
  </conditionalFormatting>
  <conditionalFormatting sqref="C63">
    <cfRule type="duplicateValues" dxfId="2" priority="4"/>
  </conditionalFormatting>
  <conditionalFormatting sqref="C86:C87">
    <cfRule type="duplicateValues" dxfId="1" priority="2"/>
  </conditionalFormatting>
  <conditionalFormatting sqref="C129">
    <cfRule type="duplicateValues" dxfId="0" priority="6"/>
  </conditionalFormatting>
  <conditionalFormatting sqref="C13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Stores, RMCCube</dc:creator>
  <cp:lastModifiedBy>yomal lakshan</cp:lastModifiedBy>
  <dcterms:created xsi:type="dcterms:W3CDTF">2025-07-14T06:29:12Z</dcterms:created>
  <dcterms:modified xsi:type="dcterms:W3CDTF">2025-07-26T06:58:22Z</dcterms:modified>
</cp:coreProperties>
</file>