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y\Downloads\"/>
    </mc:Choice>
  </mc:AlternateContent>
  <xr:revisionPtr revIDLastSave="0" documentId="13_ncr:1_{CA929BA4-D743-4E92-B473-3F09CB95A14C}" xr6:coauthVersionLast="47" xr6:coauthVersionMax="47" xr10:uidLastSave="{00000000-0000-0000-0000-000000000000}"/>
  <bookViews>
    <workbookView xWindow="24390" yWindow="3540" windowWidth="23685" windowHeight="15585" activeTab="1" xr2:uid="{00000000-000D-0000-FFFF-FFFF00000000}"/>
  </bookViews>
  <sheets>
    <sheet name="Crowdfunding" sheetId="1" r:id="rId1"/>
    <sheet name="Crowdfunding Analysis" sheetId="2" r:id="rId2"/>
    <sheet name="Pivot 1 - Category" sheetId="3" r:id="rId3"/>
    <sheet name="Pivot 2 - Country" sheetId="4" r:id="rId4"/>
    <sheet name="Pivot 3 - Sub-Category" sheetId="5" r:id="rId5"/>
    <sheet name="Goal Analysis" sheetId="6" r:id="rId6"/>
    <sheet name="Backers" sheetId="11" r:id="rId7"/>
  </sheets>
  <definedNames>
    <definedName name="_xlchart.v1.0" hidden="1">Backers!$E$3:$E$366</definedName>
    <definedName name="_xlchart.v1.1" hidden="1">Backers!$B$3:$B$567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J11" i="11"/>
  <c r="J10" i="11"/>
  <c r="J9" i="11"/>
  <c r="I11" i="11"/>
  <c r="I9" i="11"/>
  <c r="I10" i="11"/>
  <c r="I12" i="11" l="1"/>
  <c r="I13" i="11" s="1"/>
  <c r="J13" i="11"/>
  <c r="J14" i="11"/>
  <c r="J12" i="11"/>
  <c r="F265" i="11"/>
  <c r="F298" i="11"/>
  <c r="F125" i="11"/>
  <c r="F50" i="11"/>
  <c r="F223" i="11"/>
  <c r="F180" i="11"/>
  <c r="F24" i="11"/>
  <c r="F106" i="11"/>
  <c r="F77" i="11"/>
  <c r="F139" i="11"/>
  <c r="F75" i="11"/>
  <c r="F66" i="11"/>
  <c r="F306" i="11"/>
  <c r="F208" i="11"/>
  <c r="F78" i="11"/>
  <c r="F318" i="11"/>
  <c r="F172" i="11"/>
  <c r="F30" i="11"/>
  <c r="F297" i="11"/>
  <c r="F259" i="11"/>
  <c r="F353" i="11"/>
  <c r="F177" i="11"/>
  <c r="F285" i="11"/>
  <c r="F81" i="11"/>
  <c r="F354" i="11"/>
  <c r="F286" i="11"/>
  <c r="F135" i="11"/>
  <c r="F266" i="11"/>
  <c r="F52" i="11"/>
  <c r="F328" i="11"/>
  <c r="F157" i="11"/>
  <c r="F111" i="11"/>
  <c r="F186" i="11"/>
  <c r="F48" i="11"/>
  <c r="F341" i="11"/>
  <c r="F136" i="11"/>
  <c r="F314" i="11"/>
  <c r="F19" i="11"/>
  <c r="F202" i="11"/>
  <c r="F73" i="11"/>
  <c r="F302" i="11"/>
  <c r="F38" i="11"/>
  <c r="F97" i="11"/>
  <c r="F194" i="11"/>
  <c r="F358" i="11"/>
  <c r="F9" i="11"/>
  <c r="F123" i="11"/>
  <c r="F331" i="11"/>
  <c r="F98" i="11"/>
  <c r="F80" i="11"/>
  <c r="F332" i="11"/>
  <c r="F108" i="11"/>
  <c r="F56" i="11"/>
  <c r="F153" i="11"/>
  <c r="F344" i="11"/>
  <c r="F292" i="11"/>
  <c r="F217" i="11"/>
  <c r="F361" i="11"/>
  <c r="F309" i="11"/>
  <c r="F40" i="11"/>
  <c r="F336" i="11"/>
  <c r="F126" i="11"/>
  <c r="F35" i="11"/>
  <c r="F61" i="11"/>
  <c r="F269" i="11"/>
  <c r="F169" i="11"/>
  <c r="F141" i="11"/>
  <c r="F42" i="11"/>
  <c r="F255" i="11"/>
  <c r="F307" i="11"/>
  <c r="F144" i="11"/>
  <c r="F237" i="11"/>
  <c r="F100" i="11"/>
  <c r="J8" i="11"/>
  <c r="F349" i="11" s="1"/>
  <c r="I8" i="11"/>
  <c r="I7" i="11"/>
  <c r="J6" i="11"/>
  <c r="J5" i="11"/>
  <c r="J4" i="11"/>
  <c r="J3" i="11"/>
  <c r="F62" i="11" s="1"/>
  <c r="I6" i="11"/>
  <c r="I5" i="11"/>
  <c r="I4" i="11"/>
  <c r="I3" i="11"/>
  <c r="C145" i="11" s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3" i="6"/>
  <c r="B2" i="6"/>
  <c r="E2" i="6" s="1"/>
  <c r="F2" i="6" s="1"/>
  <c r="B13" i="6"/>
  <c r="E13" i="6" s="1"/>
  <c r="F13" i="6" s="1"/>
  <c r="B12" i="6"/>
  <c r="E12" i="6" s="1"/>
  <c r="G12" i="6" s="1"/>
  <c r="B11" i="6"/>
  <c r="E11" i="6" s="1"/>
  <c r="F11" i="6" s="1"/>
  <c r="B10" i="6"/>
  <c r="E10" i="6" s="1"/>
  <c r="F10" i="6" s="1"/>
  <c r="B9" i="6"/>
  <c r="E9" i="6" s="1"/>
  <c r="F9" i="6" s="1"/>
  <c r="B8" i="6"/>
  <c r="E8" i="6" s="1"/>
  <c r="F8" i="6" s="1"/>
  <c r="B7" i="6"/>
  <c r="B6" i="6"/>
  <c r="B5" i="6"/>
  <c r="E5" i="6" s="1"/>
  <c r="F5" i="6" s="1"/>
  <c r="B4" i="6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4" i="6" l="1"/>
  <c r="F4" i="6" s="1"/>
  <c r="C426" i="11"/>
  <c r="C545" i="11"/>
  <c r="C289" i="11"/>
  <c r="C329" i="11"/>
  <c r="C137" i="11"/>
  <c r="C274" i="11"/>
  <c r="I14" i="11"/>
  <c r="C373" i="11"/>
  <c r="F334" i="11"/>
  <c r="F59" i="11"/>
  <c r="F339" i="11"/>
  <c r="F239" i="11"/>
  <c r="F39" i="11"/>
  <c r="F289" i="11"/>
  <c r="F10" i="11"/>
  <c r="F327" i="11"/>
  <c r="F184" i="11"/>
  <c r="F154" i="11"/>
  <c r="F159" i="11"/>
  <c r="F200" i="11"/>
  <c r="F47" i="11"/>
  <c r="F21" i="11"/>
  <c r="F244" i="11"/>
  <c r="F93" i="11"/>
  <c r="F303" i="11"/>
  <c r="F26" i="11"/>
  <c r="F183" i="11"/>
  <c r="F254" i="11"/>
  <c r="F258" i="11"/>
  <c r="F165" i="11"/>
  <c r="F31" i="11"/>
  <c r="F196" i="11"/>
  <c r="F246" i="11"/>
  <c r="F130" i="11"/>
  <c r="F343" i="11"/>
  <c r="F198" i="11"/>
  <c r="F277" i="11"/>
  <c r="F53" i="11"/>
  <c r="F37" i="11"/>
  <c r="F5" i="11"/>
  <c r="F288" i="11"/>
  <c r="F238" i="11"/>
  <c r="F121" i="11"/>
  <c r="F60" i="11"/>
  <c r="F44" i="11"/>
  <c r="F164" i="11"/>
  <c r="F366" i="11"/>
  <c r="F101" i="11"/>
  <c r="F146" i="11"/>
  <c r="F148" i="11"/>
  <c r="F105" i="11"/>
  <c r="F274" i="11"/>
  <c r="F248" i="11"/>
  <c r="F350" i="11"/>
  <c r="F94" i="11"/>
  <c r="F161" i="11"/>
  <c r="F250" i="11"/>
  <c r="F174" i="11"/>
  <c r="F92" i="11"/>
  <c r="F69" i="11"/>
  <c r="F271" i="11"/>
  <c r="F166" i="11"/>
  <c r="F32" i="11"/>
  <c r="F291" i="11"/>
  <c r="F118" i="11"/>
  <c r="F57" i="11"/>
  <c r="F149" i="11"/>
  <c r="F278" i="11"/>
  <c r="F163" i="11"/>
  <c r="F199" i="11"/>
  <c r="F220" i="11"/>
  <c r="F221" i="11"/>
  <c r="F67" i="11"/>
  <c r="F340" i="11"/>
  <c r="F233" i="11"/>
  <c r="F362" i="11"/>
  <c r="F36" i="11"/>
  <c r="F276" i="11"/>
  <c r="F364" i="11"/>
  <c r="F8" i="11"/>
  <c r="F252" i="11"/>
  <c r="F116" i="11"/>
  <c r="F335" i="11"/>
  <c r="F140" i="11"/>
  <c r="F51" i="11"/>
  <c r="F152" i="11"/>
  <c r="F333" i="11"/>
  <c r="F268" i="11"/>
  <c r="F170" i="11"/>
  <c r="F321" i="11"/>
  <c r="F132" i="11"/>
  <c r="F308" i="11"/>
  <c r="F46" i="11"/>
  <c r="F182" i="11"/>
  <c r="F65" i="11"/>
  <c r="F109" i="11"/>
  <c r="F134" i="11"/>
  <c r="F55" i="11"/>
  <c r="F282" i="11"/>
  <c r="F158" i="11"/>
  <c r="F142" i="11"/>
  <c r="F96" i="11"/>
  <c r="F41" i="11"/>
  <c r="F329" i="11"/>
  <c r="F25" i="11"/>
  <c r="F315" i="11"/>
  <c r="F293" i="11"/>
  <c r="F294" i="11"/>
  <c r="F330" i="11"/>
  <c r="F312" i="11"/>
  <c r="F203" i="11"/>
  <c r="F23" i="11"/>
  <c r="F325" i="11"/>
  <c r="F43" i="11"/>
  <c r="F13" i="11"/>
  <c r="F4" i="11"/>
  <c r="F171" i="11"/>
  <c r="F351" i="11"/>
  <c r="F352" i="11"/>
  <c r="F82" i="11"/>
  <c r="F290" i="11"/>
  <c r="F58" i="11"/>
  <c r="F225" i="11"/>
  <c r="F76" i="11"/>
  <c r="F162" i="11"/>
  <c r="F273" i="11"/>
  <c r="F310" i="11"/>
  <c r="F173" i="11"/>
  <c r="F219" i="11"/>
  <c r="F117" i="11"/>
  <c r="F213" i="11"/>
  <c r="F17" i="11"/>
  <c r="F175" i="11"/>
  <c r="F216" i="11"/>
  <c r="F156" i="11"/>
  <c r="F104" i="11"/>
  <c r="F28" i="11"/>
  <c r="F283" i="11"/>
  <c r="F191" i="11"/>
  <c r="F279" i="11"/>
  <c r="F91" i="11"/>
  <c r="F242" i="11"/>
  <c r="F365" i="11"/>
  <c r="F227" i="11"/>
  <c r="F72" i="11"/>
  <c r="F207" i="11"/>
  <c r="F270" i="11"/>
  <c r="F197" i="11"/>
  <c r="F337" i="11"/>
  <c r="F190" i="11"/>
  <c r="F138" i="11"/>
  <c r="F27" i="11"/>
  <c r="F355" i="11"/>
  <c r="F211" i="11"/>
  <c r="F263" i="11"/>
  <c r="F256" i="11"/>
  <c r="F86" i="11"/>
  <c r="F131" i="11"/>
  <c r="F240" i="11"/>
  <c r="F357" i="11"/>
  <c r="F6" i="11"/>
  <c r="F206" i="11"/>
  <c r="F83" i="11"/>
  <c r="F323" i="11"/>
  <c r="F89" i="11"/>
  <c r="F103" i="11"/>
  <c r="F245" i="11"/>
  <c r="F299" i="11"/>
  <c r="F187" i="11"/>
  <c r="F176" i="11"/>
  <c r="F243" i="11"/>
  <c r="F305" i="11"/>
  <c r="F205" i="11"/>
  <c r="F88" i="11"/>
  <c r="F12" i="11"/>
  <c r="F64" i="11"/>
  <c r="F313" i="11"/>
  <c r="F150" i="11"/>
  <c r="F54" i="11"/>
  <c r="F34" i="11"/>
  <c r="F296" i="11"/>
  <c r="F167" i="11"/>
  <c r="F127" i="11"/>
  <c r="F272" i="11"/>
  <c r="F99" i="11"/>
  <c r="F193" i="11"/>
  <c r="F181" i="11"/>
  <c r="F338" i="11"/>
  <c r="F260" i="11"/>
  <c r="F147" i="11"/>
  <c r="F63" i="11"/>
  <c r="F18" i="11"/>
  <c r="F71" i="11"/>
  <c r="F253" i="11"/>
  <c r="F320" i="11"/>
  <c r="F85" i="11"/>
  <c r="F280" i="11"/>
  <c r="F257" i="11"/>
  <c r="F261" i="11"/>
  <c r="F74" i="11"/>
  <c r="F107" i="11"/>
  <c r="F295" i="11"/>
  <c r="F84" i="11"/>
  <c r="F45" i="11"/>
  <c r="F326" i="11"/>
  <c r="F275" i="11"/>
  <c r="F319" i="11"/>
  <c r="F90" i="11"/>
  <c r="F304" i="11"/>
  <c r="F15" i="11"/>
  <c r="F210" i="11"/>
  <c r="F119" i="11"/>
  <c r="F114" i="11"/>
  <c r="F155" i="11"/>
  <c r="F160" i="11"/>
  <c r="F229" i="11"/>
  <c r="F110" i="11"/>
  <c r="F317" i="11"/>
  <c r="F222" i="11"/>
  <c r="F359" i="11"/>
  <c r="F284" i="11"/>
  <c r="F264" i="11"/>
  <c r="F262" i="11"/>
  <c r="F179" i="11"/>
  <c r="F363" i="11"/>
  <c r="F235" i="11"/>
  <c r="F185" i="11"/>
  <c r="F188" i="11"/>
  <c r="F316" i="11"/>
  <c r="F348" i="11"/>
  <c r="F49" i="11"/>
  <c r="F95" i="11"/>
  <c r="F224" i="11"/>
  <c r="F281" i="11"/>
  <c r="F168" i="11"/>
  <c r="F124" i="11"/>
  <c r="F195" i="11"/>
  <c r="F214" i="11"/>
  <c r="F137" i="11"/>
  <c r="F178" i="11"/>
  <c r="F128" i="11"/>
  <c r="F204" i="11"/>
  <c r="F322" i="11"/>
  <c r="F29" i="11"/>
  <c r="F33" i="11"/>
  <c r="F20" i="11"/>
  <c r="F267" i="11"/>
  <c r="F241" i="11"/>
  <c r="F112" i="11"/>
  <c r="F7" i="11"/>
  <c r="F212" i="11"/>
  <c r="F360" i="11"/>
  <c r="F345" i="11"/>
  <c r="F230" i="11"/>
  <c r="F234" i="11"/>
  <c r="F324" i="11"/>
  <c r="F218" i="11"/>
  <c r="F113" i="11"/>
  <c r="F133" i="11"/>
  <c r="F236" i="11"/>
  <c r="F251" i="11"/>
  <c r="F11" i="11"/>
  <c r="F16" i="11"/>
  <c r="F247" i="11"/>
  <c r="F342" i="11"/>
  <c r="F68" i="11"/>
  <c r="F129" i="11"/>
  <c r="F228" i="11"/>
  <c r="F14" i="11"/>
  <c r="F300" i="11"/>
  <c r="F102" i="11"/>
  <c r="F87" i="11"/>
  <c r="F311" i="11"/>
  <c r="F120" i="11"/>
  <c r="F122" i="11"/>
  <c r="F189" i="11"/>
  <c r="F143" i="11"/>
  <c r="F215" i="11"/>
  <c r="F115" i="11"/>
  <c r="F70" i="11"/>
  <c r="F301" i="11"/>
  <c r="F201" i="11"/>
  <c r="F347" i="11"/>
  <c r="F192" i="11"/>
  <c r="F226" i="11"/>
  <c r="F151" i="11"/>
  <c r="F287" i="11"/>
  <c r="F145" i="11"/>
  <c r="F249" i="11"/>
  <c r="F209" i="11"/>
  <c r="F3" i="11"/>
  <c r="F356" i="11"/>
  <c r="F232" i="11"/>
  <c r="F22" i="11"/>
  <c r="F79" i="11"/>
  <c r="F231" i="11"/>
  <c r="F346" i="11"/>
  <c r="C544" i="11"/>
  <c r="C330" i="11"/>
  <c r="C128" i="11"/>
  <c r="C355" i="11"/>
  <c r="C209" i="11"/>
  <c r="C133" i="11"/>
  <c r="C411" i="11"/>
  <c r="C529" i="11"/>
  <c r="C331" i="11"/>
  <c r="C73" i="11"/>
  <c r="C135" i="11"/>
  <c r="C66" i="11"/>
  <c r="C71" i="11"/>
  <c r="C383" i="11"/>
  <c r="C458" i="11"/>
  <c r="C108" i="11"/>
  <c r="C434" i="11"/>
  <c r="C263" i="11"/>
  <c r="C266" i="11"/>
  <c r="C236" i="11"/>
  <c r="C256" i="11"/>
  <c r="C423" i="11"/>
  <c r="C481" i="11"/>
  <c r="C237" i="11"/>
  <c r="C189" i="11"/>
  <c r="C345" i="11"/>
  <c r="C223" i="11"/>
  <c r="C310" i="11"/>
  <c r="C347" i="11"/>
  <c r="C88" i="11"/>
  <c r="C337" i="11"/>
  <c r="C57" i="11"/>
  <c r="C272" i="11"/>
  <c r="C466" i="11"/>
  <c r="C175" i="11"/>
  <c r="C170" i="11"/>
  <c r="C151" i="11"/>
  <c r="C303" i="11"/>
  <c r="C366" i="11"/>
  <c r="C214" i="11"/>
  <c r="C59" i="11"/>
  <c r="C6" i="11"/>
  <c r="C193" i="11"/>
  <c r="C384" i="11"/>
  <c r="C112" i="11"/>
  <c r="C502" i="11"/>
  <c r="C512" i="11"/>
  <c r="C403" i="11"/>
  <c r="C352" i="11"/>
  <c r="C86" i="11"/>
  <c r="C254" i="11"/>
  <c r="C382" i="11"/>
  <c r="C95" i="11"/>
  <c r="C215" i="11"/>
  <c r="C422" i="11"/>
  <c r="C132" i="11"/>
  <c r="C348" i="11"/>
  <c r="C255" i="11"/>
  <c r="C275" i="11"/>
  <c r="C231" i="11"/>
  <c r="C56" i="11"/>
  <c r="C75" i="11"/>
  <c r="C343" i="11"/>
  <c r="C183" i="11"/>
  <c r="C387" i="11"/>
  <c r="C368" i="11"/>
  <c r="C495" i="11"/>
  <c r="C265" i="11"/>
  <c r="C257" i="11"/>
  <c r="C491" i="11"/>
  <c r="C251" i="11"/>
  <c r="C322" i="11"/>
  <c r="C346" i="11"/>
  <c r="C538" i="11"/>
  <c r="C155" i="11"/>
  <c r="C359" i="11"/>
  <c r="C34" i="11"/>
  <c r="C19" i="11"/>
  <c r="C476" i="11"/>
  <c r="C262" i="11"/>
  <c r="C287" i="11"/>
  <c r="C192" i="11"/>
  <c r="C442" i="11"/>
  <c r="C78" i="11"/>
  <c r="C396" i="11"/>
  <c r="C307" i="11"/>
  <c r="C81" i="11"/>
  <c r="C489" i="11"/>
  <c r="C26" i="11"/>
  <c r="C295" i="11"/>
  <c r="C65" i="11"/>
  <c r="C563" i="11"/>
  <c r="C364" i="11"/>
  <c r="C28" i="11"/>
  <c r="C421" i="11"/>
  <c r="C82" i="11"/>
  <c r="C54" i="11"/>
  <c r="C44" i="11"/>
  <c r="C460" i="11"/>
  <c r="C449" i="11"/>
  <c r="C436" i="11"/>
  <c r="C440" i="11"/>
  <c r="C339" i="11"/>
  <c r="C351" i="11"/>
  <c r="C269" i="11"/>
  <c r="C91" i="11"/>
  <c r="C363" i="11"/>
  <c r="C186" i="11"/>
  <c r="C521" i="11"/>
  <c r="C319" i="11"/>
  <c r="C326" i="11"/>
  <c r="C101" i="11"/>
  <c r="C228" i="11"/>
  <c r="C159" i="11"/>
  <c r="C480" i="11"/>
  <c r="C11" i="11"/>
  <c r="C376" i="11"/>
  <c r="C21" i="11"/>
  <c r="C196" i="11"/>
  <c r="C203" i="11"/>
  <c r="C370" i="11"/>
  <c r="C446" i="11"/>
  <c r="C242" i="11"/>
  <c r="C201" i="11"/>
  <c r="C341" i="11"/>
  <c r="C492" i="11"/>
  <c r="C104" i="11"/>
  <c r="C10" i="11"/>
  <c r="C410" i="11"/>
  <c r="C25" i="11"/>
  <c r="C153" i="11"/>
  <c r="C312" i="11"/>
  <c r="C16" i="11"/>
  <c r="C171" i="11"/>
  <c r="C113" i="11"/>
  <c r="C123" i="11"/>
  <c r="C469" i="11"/>
  <c r="C541" i="11"/>
  <c r="C197" i="11"/>
  <c r="C45" i="11"/>
  <c r="C245" i="11"/>
  <c r="C474" i="11"/>
  <c r="C208" i="11"/>
  <c r="C187" i="11"/>
  <c r="C229" i="11"/>
  <c r="C409" i="11"/>
  <c r="C142" i="11"/>
  <c r="C43" i="11"/>
  <c r="C394" i="11"/>
  <c r="C479" i="11"/>
  <c r="C400" i="11"/>
  <c r="C531" i="11"/>
  <c r="C235" i="11"/>
  <c r="C31" i="11"/>
  <c r="C358" i="11"/>
  <c r="C103" i="11"/>
  <c r="C288" i="11"/>
  <c r="C105" i="11"/>
  <c r="C471" i="11"/>
  <c r="C369" i="11"/>
  <c r="C207" i="11"/>
  <c r="C478" i="11"/>
  <c r="C340" i="11"/>
  <c r="C68" i="11"/>
  <c r="C241" i="11"/>
  <c r="C533" i="11"/>
  <c r="C100" i="11"/>
  <c r="C111" i="11"/>
  <c r="C534" i="11"/>
  <c r="C139" i="11"/>
  <c r="C136" i="11"/>
  <c r="C107" i="11"/>
  <c r="C542" i="11"/>
  <c r="C268" i="11"/>
  <c r="C507" i="11"/>
  <c r="C233" i="11"/>
  <c r="C260" i="11"/>
  <c r="C116" i="11"/>
  <c r="C457" i="11"/>
  <c r="C150" i="11"/>
  <c r="C180" i="11"/>
  <c r="C238" i="11"/>
  <c r="C87" i="11"/>
  <c r="C391" i="11"/>
  <c r="C227" i="11"/>
  <c r="C498" i="11"/>
  <c r="C167" i="11"/>
  <c r="C13" i="11"/>
  <c r="C22" i="11"/>
  <c r="C447" i="11"/>
  <c r="C308" i="11"/>
  <c r="C224" i="11"/>
  <c r="C226" i="11"/>
  <c r="C338" i="11"/>
  <c r="C386" i="11"/>
  <c r="C32" i="11"/>
  <c r="C253" i="11"/>
  <c r="C35" i="11"/>
  <c r="C557" i="11"/>
  <c r="C138" i="11"/>
  <c r="C567" i="11"/>
  <c r="C276" i="11"/>
  <c r="C530" i="11"/>
  <c r="C454" i="11"/>
  <c r="C380" i="11"/>
  <c r="C487" i="11"/>
  <c r="C166" i="11"/>
  <c r="C244" i="11"/>
  <c r="C178" i="11"/>
  <c r="C131" i="11"/>
  <c r="C206" i="11"/>
  <c r="C543" i="11"/>
  <c r="C554" i="11"/>
  <c r="C202" i="11"/>
  <c r="C14" i="11"/>
  <c r="C96" i="11"/>
  <c r="C279" i="11"/>
  <c r="C551" i="11"/>
  <c r="C519" i="11"/>
  <c r="C239" i="11"/>
  <c r="C92" i="11"/>
  <c r="C51" i="11"/>
  <c r="C313" i="11"/>
  <c r="C431" i="11"/>
  <c r="C405" i="11"/>
  <c r="C53" i="11"/>
  <c r="C85" i="11"/>
  <c r="C301" i="11"/>
  <c r="C484" i="11"/>
  <c r="C120" i="11"/>
  <c r="C535" i="11"/>
  <c r="C314" i="11"/>
  <c r="C320" i="11"/>
  <c r="C198" i="11"/>
  <c r="C291" i="11"/>
  <c r="C277" i="11"/>
  <c r="C49" i="11"/>
  <c r="C298" i="11"/>
  <c r="C141" i="11"/>
  <c r="C350" i="11"/>
  <c r="C69" i="11"/>
  <c r="C437" i="11"/>
  <c r="C80" i="11"/>
  <c r="C452" i="11"/>
  <c r="C126" i="11"/>
  <c r="C181" i="11"/>
  <c r="C146" i="11"/>
  <c r="C261" i="11"/>
  <c r="C509" i="11"/>
  <c r="C506" i="11"/>
  <c r="C550" i="11"/>
  <c r="C553" i="11"/>
  <c r="C29" i="11"/>
  <c r="C4" i="11"/>
  <c r="C518" i="11"/>
  <c r="C140" i="11"/>
  <c r="C371" i="11"/>
  <c r="C435" i="11"/>
  <c r="C216" i="11"/>
  <c r="C504" i="11"/>
  <c r="C381" i="11"/>
  <c r="C38" i="11"/>
  <c r="C149" i="11"/>
  <c r="C41" i="11"/>
  <c r="C472" i="11"/>
  <c r="C109" i="11"/>
  <c r="C402" i="11"/>
  <c r="C428" i="11"/>
  <c r="C536" i="11"/>
  <c r="C555" i="11"/>
  <c r="C213" i="11"/>
  <c r="C356" i="11"/>
  <c r="C316" i="11"/>
  <c r="C453" i="11"/>
  <c r="C164" i="11"/>
  <c r="C7" i="11"/>
  <c r="C333" i="11"/>
  <c r="C517" i="11"/>
  <c r="C404" i="11"/>
  <c r="C52" i="11"/>
  <c r="C9" i="11"/>
  <c r="C500" i="11"/>
  <c r="C496" i="11"/>
  <c r="C305" i="11"/>
  <c r="C8" i="11"/>
  <c r="C372" i="11"/>
  <c r="C334" i="11"/>
  <c r="C127" i="11"/>
  <c r="C84" i="11"/>
  <c r="C290" i="11"/>
  <c r="C475" i="11"/>
  <c r="C79" i="11"/>
  <c r="C328" i="11"/>
  <c r="C361" i="11"/>
  <c r="C37" i="11"/>
  <c r="C321" i="11"/>
  <c r="C222" i="11"/>
  <c r="C462" i="11"/>
  <c r="C433" i="11"/>
  <c r="C463" i="11"/>
  <c r="C514" i="11"/>
  <c r="C490" i="11"/>
  <c r="C558" i="11"/>
  <c r="C389" i="11"/>
  <c r="C211" i="11"/>
  <c r="C205" i="11"/>
  <c r="C169" i="11"/>
  <c r="C286" i="11"/>
  <c r="C30" i="11"/>
  <c r="C456" i="11"/>
  <c r="C115" i="11"/>
  <c r="C327" i="11"/>
  <c r="C182" i="11"/>
  <c r="C336" i="11"/>
  <c r="C408" i="11"/>
  <c r="C508" i="11"/>
  <c r="C72" i="11"/>
  <c r="C283" i="11"/>
  <c r="C172" i="11"/>
  <c r="C48" i="11"/>
  <c r="C297" i="11"/>
  <c r="C306" i="11"/>
  <c r="C173" i="11"/>
  <c r="C219" i="11"/>
  <c r="C461" i="11"/>
  <c r="C144" i="11"/>
  <c r="C332" i="11"/>
  <c r="C18" i="11"/>
  <c r="C252" i="11"/>
  <c r="C414" i="11"/>
  <c r="C118" i="11"/>
  <c r="C349" i="11"/>
  <c r="C344" i="11"/>
  <c r="C281" i="11"/>
  <c r="C417" i="11"/>
  <c r="C293" i="11"/>
  <c r="C98" i="11"/>
  <c r="C63" i="11"/>
  <c r="C311" i="11"/>
  <c r="C317" i="11"/>
  <c r="C302" i="11"/>
  <c r="C418" i="11"/>
  <c r="C488" i="11"/>
  <c r="C90" i="11"/>
  <c r="C511" i="11"/>
  <c r="C157" i="11"/>
  <c r="C385" i="11"/>
  <c r="C5" i="11"/>
  <c r="C195" i="11"/>
  <c r="C292" i="11"/>
  <c r="C439" i="11"/>
  <c r="C451" i="11"/>
  <c r="C444" i="11"/>
  <c r="C520" i="11"/>
  <c r="C353" i="11"/>
  <c r="C525" i="11"/>
  <c r="C23" i="11"/>
  <c r="C282" i="11"/>
  <c r="C406" i="11"/>
  <c r="C83" i="11"/>
  <c r="C285" i="11"/>
  <c r="C483" i="11"/>
  <c r="C429" i="11"/>
  <c r="C33" i="11"/>
  <c r="C360" i="11"/>
  <c r="C377" i="11"/>
  <c r="C399" i="11"/>
  <c r="C532" i="11"/>
  <c r="C114" i="11"/>
  <c r="C515" i="11"/>
  <c r="C280" i="11"/>
  <c r="C67" i="11"/>
  <c r="C294" i="11"/>
  <c r="C240" i="11"/>
  <c r="C505" i="11"/>
  <c r="C566" i="11"/>
  <c r="C190" i="11"/>
  <c r="C3" i="11"/>
  <c r="C156" i="11"/>
  <c r="C379" i="11"/>
  <c r="C470" i="11"/>
  <c r="C20" i="11"/>
  <c r="C134" i="11"/>
  <c r="C299" i="11"/>
  <c r="C526" i="11"/>
  <c r="C129" i="11"/>
  <c r="C395" i="11"/>
  <c r="C122" i="11"/>
  <c r="C273" i="11"/>
  <c r="C179" i="11"/>
  <c r="C163" i="11"/>
  <c r="C559" i="11"/>
  <c r="C17" i="11"/>
  <c r="C482" i="11"/>
  <c r="C230" i="11"/>
  <c r="C217" i="11"/>
  <c r="C523" i="11"/>
  <c r="C148" i="11"/>
  <c r="C494" i="11"/>
  <c r="C524" i="11"/>
  <c r="C184" i="11"/>
  <c r="C516" i="11"/>
  <c r="C40" i="11"/>
  <c r="C168" i="11"/>
  <c r="C188" i="11"/>
  <c r="C46" i="11"/>
  <c r="C160" i="11"/>
  <c r="C374" i="11"/>
  <c r="C392" i="11"/>
  <c r="C143" i="11"/>
  <c r="C259" i="11"/>
  <c r="C549" i="11"/>
  <c r="C365" i="11"/>
  <c r="C130" i="11"/>
  <c r="C74" i="11"/>
  <c r="C99" i="11"/>
  <c r="C425" i="11"/>
  <c r="C323" i="11"/>
  <c r="C324" i="11"/>
  <c r="C106" i="11"/>
  <c r="C522" i="11"/>
  <c r="C110" i="11"/>
  <c r="C50" i="11"/>
  <c r="C390" i="11"/>
  <c r="C560" i="11"/>
  <c r="C42" i="11"/>
  <c r="C267" i="11"/>
  <c r="C58" i="11"/>
  <c r="C174" i="11"/>
  <c r="C162" i="11"/>
  <c r="C335" i="11"/>
  <c r="C152" i="11"/>
  <c r="C165" i="11"/>
  <c r="C176" i="11"/>
  <c r="C271" i="11"/>
  <c r="C264" i="11"/>
  <c r="C342" i="11"/>
  <c r="C539" i="11"/>
  <c r="C218" i="11"/>
  <c r="C232" i="11"/>
  <c r="C527" i="11"/>
  <c r="C194" i="11"/>
  <c r="C464" i="11"/>
  <c r="C125" i="11"/>
  <c r="C565" i="11"/>
  <c r="C177" i="11"/>
  <c r="C60" i="11"/>
  <c r="C556" i="11"/>
  <c r="C117" i="11"/>
  <c r="C503" i="11"/>
  <c r="C510" i="11"/>
  <c r="C309" i="11"/>
  <c r="C562" i="11"/>
  <c r="C300" i="11"/>
  <c r="C397" i="11"/>
  <c r="C27" i="11"/>
  <c r="C438" i="11"/>
  <c r="C121" i="11"/>
  <c r="C249" i="11"/>
  <c r="C154" i="11"/>
  <c r="C401" i="11"/>
  <c r="C97" i="11"/>
  <c r="C15" i="11"/>
  <c r="C537" i="11"/>
  <c r="C445" i="11"/>
  <c r="C513" i="11"/>
  <c r="C441" i="11"/>
  <c r="C561" i="11"/>
  <c r="C420" i="11"/>
  <c r="C258" i="11"/>
  <c r="C357" i="11"/>
  <c r="C407" i="11"/>
  <c r="C62" i="11"/>
  <c r="C55" i="11"/>
  <c r="C416" i="11"/>
  <c r="C427" i="11"/>
  <c r="C200" i="11"/>
  <c r="C465" i="11"/>
  <c r="C430" i="11"/>
  <c r="C161" i="11"/>
  <c r="C493" i="11"/>
  <c r="C467" i="11"/>
  <c r="C234" i="11"/>
  <c r="C89" i="11"/>
  <c r="C12" i="11"/>
  <c r="C552" i="11"/>
  <c r="C450" i="11"/>
  <c r="C393" i="11"/>
  <c r="C212" i="11"/>
  <c r="C468" i="11"/>
  <c r="C424" i="11"/>
  <c r="C250" i="11"/>
  <c r="C443" i="11"/>
  <c r="C378" i="11"/>
  <c r="C315" i="11"/>
  <c r="C362" i="11"/>
  <c r="C210" i="11"/>
  <c r="C548" i="11"/>
  <c r="C304" i="11"/>
  <c r="C485" i="11"/>
  <c r="C564" i="11"/>
  <c r="C94" i="11"/>
  <c r="C36" i="11"/>
  <c r="C225" i="11"/>
  <c r="C296" i="11"/>
  <c r="C388" i="11"/>
  <c r="C448" i="11"/>
  <c r="C354" i="11"/>
  <c r="C415" i="11"/>
  <c r="C375" i="11"/>
  <c r="C221" i="11"/>
  <c r="C70" i="11"/>
  <c r="C39" i="11"/>
  <c r="C220" i="11"/>
  <c r="C497" i="11"/>
  <c r="C246" i="11"/>
  <c r="C270" i="11"/>
  <c r="C325" i="11"/>
  <c r="C119" i="11"/>
  <c r="C76" i="11"/>
  <c r="C102" i="11"/>
  <c r="C64" i="11"/>
  <c r="C243" i="11"/>
  <c r="C413" i="11"/>
  <c r="C473" i="11"/>
  <c r="C158" i="11"/>
  <c r="C185" i="11"/>
  <c r="C547" i="11"/>
  <c r="C486" i="11"/>
  <c r="C278" i="11"/>
  <c r="C367" i="11"/>
  <c r="C284" i="11"/>
  <c r="C432" i="11"/>
  <c r="C124" i="11"/>
  <c r="C248" i="11"/>
  <c r="C455" i="11"/>
  <c r="C24" i="11"/>
  <c r="C61" i="11"/>
  <c r="C199" i="11"/>
  <c r="C528" i="11"/>
  <c r="C477" i="11"/>
  <c r="C398" i="11"/>
  <c r="C499" i="11"/>
  <c r="C540" i="11"/>
  <c r="C412" i="11"/>
  <c r="C147" i="11"/>
  <c r="C247" i="11"/>
  <c r="C501" i="11"/>
  <c r="C191" i="11"/>
  <c r="C546" i="11"/>
  <c r="C77" i="11"/>
  <c r="C318" i="11"/>
  <c r="C204" i="11"/>
  <c r="C419" i="11"/>
  <c r="C47" i="11"/>
  <c r="C93" i="11"/>
  <c r="C459" i="11"/>
  <c r="E3" i="6"/>
  <c r="F3" i="6" s="1"/>
  <c r="E6" i="6"/>
  <c r="F6" i="6" s="1"/>
  <c r="E7" i="6"/>
  <c r="F7" i="6" s="1"/>
  <c r="H13" i="6"/>
  <c r="H12" i="6"/>
  <c r="H3" i="6"/>
  <c r="H2" i="6"/>
  <c r="H5" i="6"/>
  <c r="H11" i="6"/>
  <c r="H10" i="6"/>
  <c r="H7" i="6"/>
  <c r="H6" i="6"/>
  <c r="H9" i="6"/>
  <c r="H8" i="6"/>
  <c r="F12" i="6"/>
  <c r="G13" i="6"/>
  <c r="G7" i="6"/>
  <c r="G6" i="6"/>
  <c r="G5" i="6"/>
  <c r="G8" i="6"/>
  <c r="G11" i="6"/>
  <c r="G10" i="6"/>
  <c r="G3" i="6"/>
  <c r="G9" i="6"/>
  <c r="G2" i="6"/>
  <c r="G4" i="6" l="1"/>
  <c r="H4" i="6"/>
</calcChain>
</file>

<file path=xl/sharedStrings.xml><?xml version="1.0" encoding="utf-8"?>
<sst xmlns="http://schemas.openxmlformats.org/spreadsheetml/2006/main" count="12180" uniqueCount="2136">
  <si>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</si>
  <si>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</si>
  <si>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</si>
  <si>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</si>
  <si>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</si>
  <si>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</si>
  <si>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</si>
  <si>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</si>
  <si>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</si>
  <si>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</si>
  <si>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</si>
  <si>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</si>
  <si>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</si>
  <si>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</si>
  <si>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</si>
  <si>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</si>
  <si>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</si>
  <si>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</si>
  <si>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</si>
  <si>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</si>
  <si>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</si>
  <si>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</si>
  <si>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</si>
  <si>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</si>
  <si>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</si>
  <si>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</si>
  <si>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</si>
  <si>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</si>
  <si>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</si>
  <si>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</si>
  <si>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</si>
  <si>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</si>
  <si>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</si>
  <si>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</si>
  <si>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</si>
  <si>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</si>
  <si>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</si>
  <si>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</si>
  <si>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</si>
  <si>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</si>
  <si>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</si>
  <si>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</si>
  <si>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</si>
  <si>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</si>
  <si>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</si>
  <si>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</si>
  <si>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</si>
  <si>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</si>
  <si>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</si>
  <si>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</si>
  <si>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</si>
  <si>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</si>
  <si>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</si>
  <si>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</si>
  <si>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</si>
  <si>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</si>
  <si>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</si>
  <si>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</si>
  <si>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</si>
  <si>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</si>
  <si>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</si>
  <si>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</si>
  <si>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</si>
  <si>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</si>
  <si>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</si>
  <si>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</si>
  <si>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</si>
  <si>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</si>
  <si>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</si>
  <si>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</si>
  <si>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</si>
  <si>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</si>
  <si>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</si>
  <si>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</si>
  <si>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</si>
  <si>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</si>
  <si>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</si>
  <si>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</si>
  <si>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</si>
  <si>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</si>
  <si>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</si>
  <si>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</si>
  <si>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</si>
  <si>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</si>
  <si>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</si>
  <si>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</si>
  <si>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</si>
  <si>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</si>
  <si>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</si>
  <si>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</si>
  <si>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</si>
  <si>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</si>
  <si>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</si>
  <si>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</si>
  <si>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</si>
  <si>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</si>
  <si>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</si>
  <si>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</si>
  <si>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</si>
  <si>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</si>
  <si>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</si>
  <si>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</si>
  <si>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</si>
  <si>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</si>
  <si>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</si>
  <si>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</si>
  <si>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</si>
  <si>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</si>
  <si>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</si>
  <si>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</si>
  <si>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</si>
  <si>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</si>
  <si>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</si>
  <si>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</si>
  <si>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</si>
  <si>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</si>
  <si>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</si>
  <si>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</si>
  <si>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</si>
  <si>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</si>
  <si>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</si>
  <si>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</si>
  <si>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</si>
  <si>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</si>
  <si>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</si>
  <si>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</si>
  <si>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</si>
  <si>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</si>
  <si>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</si>
  <si>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</si>
  <si>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</si>
  <si>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</si>
  <si>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</si>
  <si>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</si>
  <si>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</si>
  <si>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</si>
  <si>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</si>
  <si>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</si>
  <si>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</si>
  <si>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</si>
  <si>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</si>
  <si>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</si>
  <si>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</si>
  <si>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</si>
  <si>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</si>
  <si>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</si>
  <si>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</si>
  <si>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</si>
  <si>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</si>
  <si>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</si>
  <si>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</si>
  <si>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</si>
  <si>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</si>
  <si>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</si>
  <si>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</si>
  <si>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</si>
  <si>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</si>
  <si>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</si>
  <si>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</si>
  <si>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</si>
  <si>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</si>
  <si>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</si>
  <si>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</si>
  <si>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</si>
  <si>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</si>
  <si>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</si>
  <si>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</si>
  <si>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</si>
  <si>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</si>
  <si>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</si>
  <si>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</si>
  <si>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</si>
  <si>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</si>
  <si>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</si>
  <si>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</si>
  <si>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</si>
  <si>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</si>
  <si>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</si>
  <si>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</si>
  <si>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</si>
  <si>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</si>
  <si>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</si>
  <si>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</si>
  <si>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</si>
  <si>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</si>
  <si>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</si>
  <si>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</si>
  <si>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</si>
  <si>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</si>
  <si>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</si>
  <si>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</si>
  <si>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</si>
  <si>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</si>
  <si>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</si>
  <si>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</si>
  <si>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</si>
  <si>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</si>
  <si>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</si>
  <si>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</si>
  <si>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</si>
  <si>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</si>
  <si>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</si>
  <si>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</si>
  <si>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</si>
  <si>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</si>
  <si>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</si>
  <si>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</si>
  <si>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</si>
  <si>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</si>
  <si>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</si>
  <si>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</si>
  <si>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</si>
  <si>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</si>
  <si>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</si>
  <si>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</si>
  <si>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</si>
  <si>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</si>
  <si>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</si>
  <si>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</si>
  <si>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</si>
  <si>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</si>
  <si>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</si>
  <si>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</si>
  <si>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</si>
  <si>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</si>
  <si>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</si>
  <si>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</si>
  <si>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</si>
  <si>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</si>
  <si>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</si>
  <si>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</si>
  <si>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</si>
  <si>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</si>
  <si>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</si>
  <si>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</si>
  <si>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</si>
  <si>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</si>
  <si>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</si>
  <si>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</si>
  <si>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</si>
  <si>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</si>
  <si>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</si>
  <si>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</si>
  <si>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</si>
  <si>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</si>
  <si>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</si>
  <si>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</si>
  <si>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</si>
  <si>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</si>
  <si>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</si>
  <si>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</si>
  <si>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</si>
  <si>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</si>
  <si>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</si>
  <si>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</si>
  <si>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</si>
  <si>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</si>
  <si>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</si>
  <si>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</si>
  <si>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</si>
  <si>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</si>
  <si>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</si>
  <si>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</si>
  <si>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</si>
  <si>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</si>
  <si>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</si>
  <si>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</si>
  <si>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</si>
  <si>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</si>
  <si>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</si>
  <si>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</si>
  <si>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</si>
  <si>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</si>
  <si>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</si>
  <si>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</si>
  <si>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</si>
  <si>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</si>
  <si>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</si>
  <si>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</si>
  <si>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</si>
  <si>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</si>
  <si>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</si>
  <si>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</si>
  <si>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</si>
  <si>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</si>
  <si>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</si>
  <si>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</si>
  <si>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</si>
  <si>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</si>
  <si>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</si>
  <si>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</si>
  <si>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</si>
  <si>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</si>
  <si>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</si>
  <si>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</si>
  <si>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</si>
  <si>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</si>
  <si>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</si>
  <si>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</si>
  <si>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</si>
  <si>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</si>
  <si>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</si>
  <si>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</si>
  <si>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</si>
  <si>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</si>
  <si>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</si>
  <si>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</si>
  <si>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</si>
  <si>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</si>
  <si>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</si>
  <si>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</si>
  <si>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</si>
  <si>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</si>
  <si>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</si>
  <si>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</si>
  <si>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</si>
  <si>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</si>
  <si>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</si>
  <si>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</si>
  <si>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</si>
  <si>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</si>
  <si>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</si>
  <si>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</si>
  <si>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</si>
  <si>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</si>
  <si>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</si>
  <si>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</si>
  <si>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</si>
  <si>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</si>
  <si>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</si>
  <si>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</si>
  <si>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</si>
  <si>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</si>
  <si>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</si>
  <si>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</si>
  <si>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</si>
  <si>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</si>
  <si>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</si>
  <si>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</si>
  <si>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</si>
  <si>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</si>
  <si>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</si>
  <si>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</si>
  <si>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</si>
  <si>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</si>
  <si>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</si>
  <si>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</si>
  <si>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</si>
  <si>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</si>
  <si>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</si>
  <si>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</si>
  <si>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</si>
  <si>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</si>
  <si>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</si>
  <si>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</si>
  <si>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</si>
  <si>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</si>
  <si>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</si>
  <si>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</si>
  <si>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</si>
  <si>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</si>
  <si>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</si>
  <si>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</si>
  <si>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</si>
  <si>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</si>
  <si>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</si>
  <si>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</si>
  <si>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</si>
  <si>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</si>
  <si>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</si>
  <si>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</si>
  <si>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</si>
  <si>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</si>
  <si>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</si>
  <si>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</si>
  <si>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</si>
  <si>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</si>
  <si>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</si>
  <si>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</si>
  <si>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</si>
  <si>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</si>
  <si>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</si>
  <si>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</si>
  <si>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</si>
  <si>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</si>
  <si>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</si>
  <si>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</si>
  <si>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</si>
  <si>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</si>
  <si>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</si>
  <si>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</si>
  <si>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</si>
  <si>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</si>
  <si>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</si>
  <si>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</si>
  <si>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</si>
  <si>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</si>
  <si>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</si>
  <si>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</si>
  <si>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</si>
  <si>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</si>
  <si>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</si>
  <si>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</si>
  <si>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</si>
  <si>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</si>
  <si>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</si>
  <si>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</si>
  <si>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</si>
  <si>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</si>
  <si>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</si>
  <si>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</si>
  <si>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</si>
  <si>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</si>
  <si>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</si>
  <si>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</si>
  <si>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</si>
  <si>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</si>
  <si>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</si>
  <si>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</si>
  <si>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</si>
  <si>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</si>
  <si>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</si>
  <si>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</si>
  <si>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</si>
  <si>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</si>
  <si>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</si>
  <si>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</si>
  <si>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</si>
  <si>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</si>
  <si>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</si>
  <si>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</si>
  <si>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</si>
  <si>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</si>
  <si>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</si>
  <si>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</si>
  <si>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</si>
  <si>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</si>
  <si>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</si>
  <si>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</si>
  <si>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</si>
  <si>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</si>
  <si>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</si>
  <si>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</si>
  <si>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</si>
  <si>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</si>
  <si>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</si>
  <si>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</si>
  <si>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</si>
  <si>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</si>
  <si>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</si>
  <si>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</si>
  <si>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</si>
  <si>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</si>
  <si>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</si>
  <si>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</si>
  <si>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</si>
  <si>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</si>
  <si>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</si>
  <si>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</si>
  <si>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</si>
  <si>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</si>
  <si>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</si>
  <si>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</si>
  <si>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</si>
  <si>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</si>
  <si>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</si>
  <si>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</si>
  <si>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</si>
  <si>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</si>
  <si>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</si>
  <si>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</si>
  <si>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</si>
  <si>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</si>
  <si>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</si>
  <si>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</si>
  <si>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</si>
  <si>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</si>
  <si>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</si>
  <si>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</si>
  <si>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</si>
  <si>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</si>
  <si>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</si>
  <si>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</si>
  <si>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</si>
  <si>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</si>
  <si>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</si>
  <si>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</si>
  <si>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</si>
  <si>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</si>
  <si>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</si>
  <si>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</si>
  <si>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</si>
  <si>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</si>
  <si>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</si>
  <si>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</si>
  <si>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</si>
  <si>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</si>
  <si>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</si>
  <si>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</si>
  <si>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</si>
  <si>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</si>
  <si>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</si>
  <si>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</si>
  <si>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</si>
  <si>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</si>
  <si>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</si>
  <si>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</si>
  <si>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</si>
  <si>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</si>
  <si>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</si>
  <si>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</si>
  <si>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</si>
  <si>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</si>
  <si>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</si>
  <si>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</si>
  <si>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</si>
  <si>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</si>
  <si>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</si>
  <si>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</si>
  <si>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</si>
  <si>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</si>
  <si>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</si>
  <si>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</si>
  <si>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</si>
  <si>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</si>
  <si>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</si>
  <si>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</si>
  <si>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</si>
  <si>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</si>
  <si>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</si>
  <si>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</si>
  <si>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</si>
  <si>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</si>
  <si>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</si>
  <si>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</si>
  <si>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</si>
  <si>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</si>
  <si>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</si>
  <si>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</si>
  <si>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</si>
  <si>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</si>
  <si>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</si>
  <si>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</si>
  <si>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</si>
  <si>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</si>
  <si>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</si>
  <si>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</si>
  <si>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</si>
  <si>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</si>
  <si>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</si>
  <si>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</si>
  <si>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</si>
  <si>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</si>
  <si>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</si>
  <si>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</si>
  <si>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</si>
  <si>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</si>
  <si>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</si>
  <si>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</si>
  <si>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</si>
  <si>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</si>
  <si>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</si>
  <si>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</si>
  <si>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</si>
  <si>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</si>
  <si>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</si>
  <si>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</si>
  <si>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</si>
  <si>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</si>
  <si>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</si>
  <si>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</si>
  <si>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</si>
  <si>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</si>
  <si>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</si>
  <si>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</si>
  <si>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</si>
  <si>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</si>
  <si>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</si>
  <si>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</si>
  <si>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</si>
  <si>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</si>
  <si>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</si>
  <si>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</si>
  <si>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</si>
  <si>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</si>
  <si>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</si>
  <si>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</si>
  <si>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</si>
  <si>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</si>
  <si>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</si>
  <si>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</si>
  <si>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</si>
  <si>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</si>
  <si>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</si>
  <si>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</si>
  <si>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</si>
  <si>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</si>
  <si>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</si>
  <si>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</si>
  <si>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</si>
  <si>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</si>
  <si>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</si>
  <si>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</si>
  <si>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</si>
  <si>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</si>
  <si>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</si>
  <si>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</si>
  <si>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</si>
  <si>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</si>
  <si>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</si>
  <si>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</si>
  <si>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</si>
  <si>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</si>
  <si>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</si>
  <si>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</si>
  <si>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</si>
  <si>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</si>
  <si>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</si>
  <si>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</si>
  <si>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</si>
  <si>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</si>
  <si>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</si>
  <si>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</si>
  <si>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</si>
  <si>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</si>
  <si>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</si>
  <si>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</si>
  <si>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</si>
  <si>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</si>
  <si>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</si>
  <si>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</si>
  <si>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</si>
  <si>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</si>
  <si>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</si>
  <si>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</si>
  <si>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</si>
  <si>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</si>
  <si>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</si>
  <si>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</si>
  <si>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</si>
  <si>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</si>
  <si>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</si>
  <si>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</si>
  <si>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</si>
  <si>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</si>
  <si>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</si>
  <si>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</si>
  <si>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</si>
  <si>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</si>
  <si>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</si>
  <si>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</si>
  <si>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</si>
  <si>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</si>
  <si>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</si>
  <si>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</si>
  <si>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</si>
  <si>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</si>
  <si>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</si>
  <si>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</si>
  <si>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</si>
  <si>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</si>
  <si>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</si>
  <si>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</si>
  <si>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</si>
  <si>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</si>
  <si>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</si>
  <si>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</si>
  <si>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</si>
  <si>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</si>
  <si>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</si>
  <si>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</si>
  <si>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</si>
  <si>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</si>
  <si>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</si>
  <si>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</si>
  <si>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</si>
  <si>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</si>
  <si>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</si>
  <si>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</si>
  <si>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</si>
  <si>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</si>
  <si>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</si>
  <si>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</si>
  <si>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</si>
  <si>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</si>
  <si>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</si>
  <si>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</si>
  <si>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</si>
  <si>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</si>
  <si>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</si>
  <si>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</si>
  <si>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</si>
  <si>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</si>
  <si>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</si>
  <si>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</si>
  <si>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</si>
  <si>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</si>
  <si>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</si>
  <si>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</si>
  <si>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</si>
  <si>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</si>
  <si>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</si>
  <si>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</si>
  <si>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</si>
  <si>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</si>
  <si>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</si>
  <si>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</si>
  <si>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</si>
  <si>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</si>
  <si>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</si>
  <si>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</si>
  <si>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</si>
  <si>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</si>
  <si>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</si>
  <si>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</si>
  <si>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</si>
  <si>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</si>
  <si>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</si>
  <si>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</si>
  <si>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</si>
  <si>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</si>
  <si>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</si>
  <si>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</si>
  <si>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</si>
  <si>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</si>
  <si>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</si>
  <si>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</si>
  <si>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</si>
  <si>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</si>
  <si>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</si>
  <si>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</si>
  <si>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</si>
  <si>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</si>
  <si>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</si>
  <si>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</si>
  <si>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</si>
  <si>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</si>
  <si>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</si>
  <si>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</si>
  <si>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</si>
  <si>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</si>
  <si>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</si>
  <si>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</si>
  <si>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</si>
  <si>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</si>
  <si>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</si>
  <si>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</si>
  <si>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</si>
  <si>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</si>
  <si>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</si>
  <si>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</si>
  <si>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</si>
  <si>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</si>
  <si>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</si>
  <si>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</si>
  <si>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</si>
  <si>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</si>
  <si>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</si>
  <si>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</si>
  <si>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</si>
  <si>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</si>
  <si>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</si>
  <si>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</si>
  <si>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</si>
  <si>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</si>
  <si>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</si>
  <si>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</si>
  <si>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</si>
  <si>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</si>
  <si>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</si>
  <si>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</si>
  <si>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</si>
  <si>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</si>
  <si>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</si>
  <si>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</si>
  <si>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</si>
  <si>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</si>
  <si>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</si>
  <si>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</si>
  <si>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</si>
  <si>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</si>
  <si>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</si>
  <si>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</si>
  <si>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</si>
  <si>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</si>
  <si>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</si>
  <si>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</si>
  <si>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</si>
  <si>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</si>
  <si>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</si>
  <si>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</si>
  <si>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</si>
  <si>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</si>
  <si>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</si>
  <si>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</si>
  <si>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</si>
  <si>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</si>
  <si>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</si>
  <si>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</si>
  <si>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</si>
  <si>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</si>
  <si>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</si>
  <si>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</si>
  <si>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</si>
  <si>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</si>
  <si>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</si>
  <si>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</si>
  <si>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</si>
  <si>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</si>
  <si>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</si>
  <si>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</si>
  <si>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</si>
  <si>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</si>
  <si>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</si>
  <si>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</si>
  <si>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</si>
  <si>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</si>
  <si>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</si>
  <si>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</si>
  <si>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</si>
  <si>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</si>
  <si>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</si>
  <si>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</si>
  <si>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</si>
  <si>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</si>
  <si>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</si>
  <si>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</si>
  <si>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</si>
  <si>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</si>
  <si>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</si>
  <si>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</si>
  <si>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</si>
  <si>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</si>
  <si>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</si>
  <si>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</si>
  <si>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</si>
  <si>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</si>
  <si>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</si>
  <si>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</si>
  <si>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</si>
  <si>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</si>
  <si>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</si>
  <si>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</si>
  <si>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</si>
  <si>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</si>
  <si>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</si>
  <si>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</si>
  <si>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</si>
  <si>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</si>
  <si>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</si>
  <si>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</si>
  <si>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</si>
  <si>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</si>
  <si>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</si>
  <si>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</si>
  <si>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</si>
  <si>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</si>
  <si>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</si>
  <si>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</si>
  <si>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</si>
  <si>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</si>
  <si>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</si>
  <si>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</si>
  <si>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</si>
  <si>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</si>
  <si>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</si>
  <si>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</si>
  <si>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</si>
  <si>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</si>
  <si>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</si>
  <si>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</si>
  <si>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</si>
  <si>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</si>
  <si>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</si>
  <si>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</si>
  <si>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</si>
  <si>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</si>
  <si>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</si>
  <si>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</si>
  <si>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</si>
  <si>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</si>
  <si>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</si>
  <si>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</si>
  <si>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</si>
  <si>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</si>
  <si>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</si>
  <si>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</si>
  <si>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</si>
  <si>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</si>
  <si>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</si>
  <si>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</si>
  <si>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</si>
  <si>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</si>
  <si>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</si>
  <si>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</si>
  <si>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</si>
  <si>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</si>
  <si>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</si>
  <si>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</si>
  <si>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</si>
  <si>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</si>
  <si>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</si>
  <si>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</si>
  <si>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</si>
  <si>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</si>
  <si>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</si>
  <si>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</si>
  <si>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</si>
  <si>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</si>
  <si>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</si>
  <si>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</si>
  <si>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</si>
  <si>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</si>
  <si>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</si>
  <si>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</si>
  <si>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</si>
  <si>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</si>
  <si>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</si>
  <si>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</si>
  <si>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</si>
  <si>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</si>
  <si>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</si>
  <si>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</si>
  <si>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</si>
  <si>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</si>
  <si>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</si>
  <si>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</si>
  <si>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</si>
  <si>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</si>
  <si>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</si>
  <si>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</si>
  <si>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</si>
  <si>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</si>
  <si>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</si>
  <si>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</si>
  <si>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</si>
  <si>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</si>
  <si>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</si>
  <si>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</si>
  <si>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</si>
  <si>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</si>
  <si>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</si>
  <si>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</si>
  <si>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</si>
  <si>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</si>
  <si>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</si>
  <si>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</si>
  <si>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</si>
  <si>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</si>
  <si>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</si>
  <si>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</si>
  <si>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</si>
  <si>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</si>
  <si>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</si>
  <si>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</si>
  <si>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</si>
  <si>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</si>
  <si>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</si>
  <si>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</si>
  <si>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</si>
  <si>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</si>
  <si>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</si>
  <si>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</si>
  <si>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</si>
  <si>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</si>
  <si>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</si>
  <si>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</si>
  <si>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</si>
  <si>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</si>
  <si>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</si>
  <si>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</si>
  <si>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</si>
  <si>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</si>
  <si>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</si>
  <si>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</si>
  <si>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</si>
  <si>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</si>
  <si>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</si>
  <si>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</si>
  <si>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</si>
  <si>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</si>
  <si>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</si>
  <si>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</si>
  <si>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</si>
  <si>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</si>
  <si>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</si>
  <si>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</si>
  <si>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</si>
  <si>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</si>
  <si>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</si>
  <si>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</si>
  <si>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</si>
  <si>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</si>
  <si>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</si>
  <si>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</si>
  <si>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</si>
  <si>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</si>
  <si>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</si>
  <si>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</si>
  <si>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</si>
  <si>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</si>
  <si>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</si>
  <si>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</si>
  <si>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</si>
  <si>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</si>
  <si>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</si>
  <si>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</si>
  <si>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</si>
  <si>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</si>
  <si>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</si>
  <si>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</si>
  <si>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</si>
  <si>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</si>
  <si>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</si>
  <si>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</si>
  <si>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</si>
  <si>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</si>
  <si>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</si>
  <si>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</si>
  <si>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</si>
  <si>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</si>
  <si>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</si>
  <si>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</si>
  <si>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</si>
  <si>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</si>
  <si>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</si>
  <si>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</si>
  <si>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</si>
  <si>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</si>
  <si>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</si>
  <si>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</si>
  <si>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</si>
  <si>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</si>
  <si>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</si>
  <si>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</si>
  <si>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</si>
  <si>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</si>
  <si>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</si>
  <si>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</si>
  <si>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</si>
  <si>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</si>
  <si>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</si>
  <si>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</si>
  <si>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</si>
  <si>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</si>
  <si>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</si>
  <si>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</si>
  <si>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</si>
  <si>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</si>
  <si>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</si>
  <si>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</si>
  <si>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</si>
  <si>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</si>
  <si>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</si>
  <si>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</si>
  <si>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</si>
  <si>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</si>
  <si>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</si>
  <si>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</si>
  <si>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</si>
  <si>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</si>
  <si>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</si>
  <si>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</si>
  <si>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</si>
  <si>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</si>
  <si>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</si>
  <si>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</si>
  <si>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</si>
  <si>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</si>
  <si>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</si>
  <si>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</si>
  <si>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</si>
  <si>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</si>
  <si>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</si>
  <si>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</si>
  <si>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</si>
  <si>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</si>
  <si>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</si>
  <si>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</si>
  <si>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</si>
  <si>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</si>
  <si>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</si>
  <si>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</si>
  <si>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</si>
  <si>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</si>
  <si>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</si>
  <si>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</si>
  <si>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</si>
  <si>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</si>
  <si>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</si>
  <si>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</si>
  <si>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</si>
  <si>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</si>
  <si>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</si>
  <si>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</si>
  <si>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</si>
  <si>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</si>
  <si>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</si>
  <si>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</si>
  <si>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</si>
  <si>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</si>
  <si>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</si>
  <si>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</si>
  <si>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</si>
  <si>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</si>
  <si>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</si>
  <si>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</si>
  <si>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</si>
  <si>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</si>
  <si>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</si>
  <si>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</si>
  <si>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</si>
  <si>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</si>
  <si>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</si>
  <si>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</si>
  <si>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</si>
  <si>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</si>
  <si>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</si>
  <si>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</si>
  <si>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</si>
  <si>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</si>
  <si>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</si>
  <si>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</si>
  <si>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</si>
  <si>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</si>
  <si>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</si>
  <si>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</si>
  <si>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</si>
  <si>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</si>
  <si>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</si>
  <si>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</si>
  <si>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</si>
  <si>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</si>
  <si>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</si>
  <si>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</si>
  <si>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</si>
  <si>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</si>
  <si>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</si>
  <si>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</si>
  <si>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</si>
  <si>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</si>
  <si>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</si>
  <si>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</si>
  <si>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</si>
  <si>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</si>
  <si>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</si>
  <si>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</si>
  <si>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</si>
  <si>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</si>
  <si>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</si>
  <si>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</si>
  <si>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</si>
  <si>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</si>
  <si>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</si>
  <si>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</si>
  <si>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</si>
  <si>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</si>
  <si>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</si>
  <si>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</si>
  <si>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</si>
  <si>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</si>
  <si>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</si>
  <si>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</si>
  <si>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</si>
  <si>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</si>
  <si>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</si>
  <si>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</si>
  <si>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</si>
  <si>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</si>
  <si>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</si>
  <si>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</si>
  <si>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</si>
  <si>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</si>
  <si>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</si>
  <si>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</si>
  <si>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</si>
  <si>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</si>
  <si>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</si>
  <si>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</si>
  <si>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</si>
  <si>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</si>
  <si>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</si>
  <si>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</si>
  <si>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</si>
  <si>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</si>
  <si>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</si>
  <si>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</si>
  <si>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</si>
  <si>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</si>
  <si>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</si>
  <si>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</si>
  <si>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</si>
  <si>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</si>
  <si>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</si>
  <si>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</si>
  <si>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</si>
  <si>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</si>
  <si>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</si>
  <si>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</si>
  <si>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</si>
  <si>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</si>
  <si>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</si>
  <si>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</si>
  <si>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</si>
  <si>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</si>
  <si>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</si>
  <si>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</si>
  <si>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</si>
  <si>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</si>
  <si>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</si>
  <si>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</si>
  <si>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</si>
  <si>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</si>
  <si>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</si>
  <si>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</si>
  <si>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</si>
  <si>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</si>
  <si>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</si>
  <si>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</si>
  <si>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</si>
  <si>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</si>
  <si>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</si>
  <si>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</si>
  <si>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</si>
  <si>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</si>
  <si>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</si>
  <si>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</si>
  <si>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</si>
  <si>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</si>
  <si>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</si>
  <si>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</si>
  <si>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</si>
  <si>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</si>
  <si>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</si>
  <si>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</si>
  <si>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</si>
  <si>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</si>
  <si>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</si>
  <si>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</si>
  <si>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</si>
  <si>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</si>
  <si>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</si>
  <si>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</si>
  <si>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</si>
  <si>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</si>
  <si>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</si>
  <si>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</si>
  <si>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</si>
  <si>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</si>
  <si>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</si>
  <si>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</si>
  <si>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</si>
  <si>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</si>
  <si>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</si>
  <si>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</si>
  <si>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</si>
  <si>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</si>
  <si>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</si>
  <si>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</si>
  <si>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</si>
  <si>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</si>
  <si>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</si>
  <si>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</si>
  <si>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</si>
  <si>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</si>
  <si>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</si>
  <si>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</si>
  <si>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</si>
  <si>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</si>
  <si>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</si>
  <si>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</si>
  <si>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</si>
  <si>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</si>
  <si>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</si>
  <si>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</si>
  <si>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</si>
  <si>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</si>
  <si>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</si>
  <si>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</si>
  <si>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</si>
  <si>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</si>
  <si>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</si>
  <si>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</si>
  <si>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</si>
  <si>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</si>
  <si>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</si>
  <si>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</si>
  <si>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</si>
  <si>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</si>
  <si>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</si>
  <si>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</si>
  <si>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</si>
  <si>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</si>
  <si>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</si>
  <si>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</si>
  <si>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</si>
  <si>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</si>
  <si>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</si>
  <si>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</si>
  <si>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</si>
  <si>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</si>
  <si>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</si>
  <si>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</si>
  <si>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</si>
  <si>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</si>
  <si>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</si>
  <si>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</si>
  <si>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</si>
  <si>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</si>
  <si>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</si>
  <si>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</si>
  <si>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</si>
  <si>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</si>
  <si>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</si>
  <si>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</si>
  <si>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</si>
  <si>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</si>
  <si>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</si>
  <si>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</si>
  <si>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</si>
  <si>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</si>
  <si>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</si>
  <si>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</si>
  <si>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</si>
  <si>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</si>
  <si>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</si>
  <si>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</si>
  <si>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</si>
  <si>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</si>
  <si>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</si>
  <si>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</si>
  <si>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</si>
  <si>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</si>
  <si>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</si>
  <si>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</si>
  <si>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</si>
  <si>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</si>
  <si>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</si>
  <si>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</si>
  <si>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</si>
  <si>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</si>
  <si>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</si>
  <si>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</si>
  <si>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</si>
  <si>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</si>
  <si>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</si>
  <si>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</si>
  <si>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</si>
  <si>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</si>
  <si>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</si>
  <si>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</si>
  <si>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</si>
  <si>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</si>
  <si>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</si>
  <si>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</si>
  <si>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</si>
  <si>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</si>
  <si>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</si>
  <si>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</si>
  <si>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</si>
  <si>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</si>
  <si>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</si>
  <si>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</si>
  <si>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</si>
  <si>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</si>
  <si>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</si>
  <si>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</si>
  <si>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</si>
  <si>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</si>
  <si>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</si>
  <si>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</si>
  <si>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</si>
  <si>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</si>
  <si>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</si>
  <si>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</si>
  <si>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</si>
  <si>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</si>
  <si>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</si>
  <si>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</si>
  <si>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</si>
  <si>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</si>
  <si>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</si>
  <si>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</si>
  <si>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</si>
  <si>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</si>
  <si>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</si>
  <si>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</si>
  <si>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</si>
  <si>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</si>
  <si>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</si>
  <si>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</si>
  <si>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</si>
  <si>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</si>
  <si>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</si>
  <si>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</si>
  <si>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</si>
  <si>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</si>
  <si>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</si>
  <si>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</si>
  <si>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</si>
  <si>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</si>
  <si>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</si>
  <si>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</si>
  <si>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</si>
  <si>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</si>
  <si>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</si>
  <si>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</si>
  <si>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</si>
  <si>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</si>
  <si>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</si>
  <si>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</si>
  <si>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</si>
  <si>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</si>
  <si>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</si>
  <si>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</si>
  <si>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</si>
  <si>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</si>
  <si>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</si>
  <si>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</si>
  <si>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</si>
  <si>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</si>
  <si>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</si>
  <si>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</si>
  <si>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</si>
  <si>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</si>
  <si>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</si>
  <si>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</si>
  <si>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</si>
  <si>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</si>
  <si>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</si>
  <si>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</si>
  <si>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</si>
  <si>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</si>
  <si>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</si>
  <si>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</si>
  <si>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</si>
  <si>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</si>
  <si>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</si>
  <si>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</si>
  <si>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</si>
  <si>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</si>
  <si>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</si>
  <si>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</si>
  <si>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</si>
  <si>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</si>
  <si>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</si>
  <si>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</si>
  <si>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</si>
  <si>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</si>
  <si>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</si>
  <si>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</si>
  <si>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</si>
  <si>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</si>
  <si>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</si>
  <si>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</si>
  <si>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</si>
  <si>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</si>
  <si>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</si>
  <si>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</si>
  <si>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</si>
  <si>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</si>
  <si>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</si>
  <si>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</si>
  <si>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</si>
  <si>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</si>
  <si>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</si>
  <si>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</si>
  <si>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</si>
  <si>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</si>
  <si>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</si>
  <si>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</si>
  <si>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</si>
  <si>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</si>
  <si>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</si>
  <si>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</si>
  <si>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</si>
  <si>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</si>
  <si>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</si>
  <si>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</si>
  <si>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</si>
  <si>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</si>
  <si>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</si>
  <si>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</si>
  <si>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</si>
  <si>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</si>
  <si>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</si>
  <si>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</si>
  <si>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</si>
  <si>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</si>
  <si>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</si>
  <si>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</si>
  <si>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</si>
  <si>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</si>
  <si>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</si>
  <si>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</si>
  <si>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</si>
  <si>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</si>
  <si>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</si>
  <si>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</si>
  <si>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</si>
  <si>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</si>
  <si>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</si>
  <si>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</si>
  <si>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</si>
  <si>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</si>
  <si>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</si>
  <si>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</si>
  <si>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</si>
  <si>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</si>
  <si>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</si>
  <si>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</si>
  <si>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</si>
  <si>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</si>
  <si>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</si>
  <si>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</si>
  <si>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</si>
  <si>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</si>
  <si>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</si>
  <si>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</si>
  <si>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</si>
  <si>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</si>
  <si>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</si>
  <si>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</si>
  <si>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</si>
  <si>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</si>
  <si>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</si>
  <si>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</si>
  <si>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</si>
  <si>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</si>
  <si>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</si>
  <si>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</si>
  <si>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</si>
  <si>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</si>
  <si>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</si>
  <si>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</si>
  <si>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</si>
  <si>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</si>
  <si>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</si>
  <si>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</si>
  <si>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</si>
  <si>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</si>
  <si>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</si>
  <si>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</si>
  <si>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</si>
  <si>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</si>
  <si>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</si>
  <si>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</si>
  <si>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</si>
  <si>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</si>
  <si>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</si>
  <si>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</si>
  <si>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</si>
  <si>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</si>
  <si>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</si>
  <si>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</si>
  <si>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</si>
  <si>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</si>
  <si>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</si>
  <si>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</si>
  <si>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</si>
  <si>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</si>
  <si>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</si>
  <si>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</si>
  <si>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</si>
  <si>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</si>
  <si>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</si>
  <si>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</si>
  <si>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</si>
  <si>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</si>
  <si>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</si>
  <si>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</si>
  <si>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</si>
  <si>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</si>
  <si>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</si>
  <si>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</si>
  <si>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</si>
  <si>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</si>
  <si>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</si>
  <si>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</si>
  <si>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</si>
  <si>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</si>
  <si>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</si>
  <si>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</si>
  <si>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</si>
  <si>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</si>
  <si>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</si>
  <si>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</si>
  <si>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</si>
  <si>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</si>
  <si>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</si>
  <si>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</si>
  <si>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</si>
  <si>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</si>
  <si>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</si>
  <si>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</si>
  <si>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</si>
  <si>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</si>
  <si>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</si>
  <si>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</si>
  <si>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</si>
  <si>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</si>
  <si>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</si>
  <si>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</si>
  <si>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</si>
  <si>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</si>
  <si>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</si>
  <si>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</si>
  <si>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</si>
  <si>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</si>
  <si>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</si>
  <si>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</si>
  <si>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</si>
  <si>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</si>
  <si>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</si>
  <si>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</si>
  <si>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</si>
  <si>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</si>
  <si>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</si>
  <si>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</si>
  <si>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</si>
  <si>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</si>
  <si>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</si>
  <si>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</si>
  <si>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</si>
  <si>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</si>
  <si>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</si>
  <si>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</si>
  <si>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</si>
  <si>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</si>
  <si>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</si>
  <si>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</si>
  <si>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</si>
  <si>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</si>
  <si>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</si>
  <si>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</si>
  <si>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</si>
  <si>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</si>
  <si>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</si>
  <si>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</si>
  <si>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</si>
  <si>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</si>
  <si>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</si>
  <si>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</si>
  <si>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</si>
  <si>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</si>
  <si>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</si>
  <si>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</si>
  <si>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</si>
  <si>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</si>
  <si>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</si>
  <si>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</si>
  <si>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</si>
  <si>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</si>
  <si>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</si>
  <si>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</si>
  <si>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</si>
  <si>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</si>
  <si>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</si>
  <si>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</si>
  <si>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</si>
  <si>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</si>
  <si>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</si>
  <si>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</si>
  <si>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</si>
  <si>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</si>
  <si>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</si>
  <si>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</si>
  <si>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</si>
  <si>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</si>
  <si>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</si>
  <si>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</si>
  <si>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</si>
  <si>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</si>
  <si>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</si>
  <si>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</si>
  <si>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</si>
  <si>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</si>
  <si>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</si>
  <si>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</si>
  <si>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</si>
  <si>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</si>
  <si>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</si>
  <si>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</si>
  <si>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</si>
  <si>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</si>
  <si>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</si>
  <si>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</si>
  <si>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</si>
  <si>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</si>
  <si>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</si>
  <si>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</si>
  <si>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</si>
  <si>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</si>
  <si>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</si>
  <si>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</si>
  <si>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</si>
  <si>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</si>
  <si>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</si>
  <si>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</si>
  <si>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</si>
  <si>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</si>
  <si>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</si>
  <si>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</si>
  <si>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</si>
  <si>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</si>
  <si>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</si>
  <si>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</si>
  <si>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</si>
  <si>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</si>
  <si>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</si>
  <si>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</si>
  <si>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</si>
  <si>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</si>
  <si>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</si>
  <si>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</si>
  <si>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</si>
  <si>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</si>
  <si>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</si>
  <si>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</si>
  <si>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</si>
  <si>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</si>
  <si>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</si>
  <si>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</si>
  <si>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</si>
  <si>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</si>
  <si>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</si>
  <si>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</si>
  <si>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</si>
  <si>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</si>
  <si>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</si>
  <si>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</si>
  <si>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</si>
  <si>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</si>
  <si>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</si>
  <si>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</si>
  <si>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</si>
  <si>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</si>
  <si>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</si>
  <si>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</si>
  <si>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</si>
  <si>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</si>
  <si>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</si>
  <si>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</si>
  <si>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</si>
  <si>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</si>
  <si>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</si>
  <si>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</si>
  <si>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</si>
  <si>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</si>
  <si>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</si>
  <si>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</si>
  <si>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</si>
  <si>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</si>
  <si>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</si>
  <si>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</si>
  <si>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</si>
  <si>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</si>
  <si>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</si>
  <si>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</si>
  <si>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</si>
  <si>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</si>
  <si>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</si>
  <si>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</si>
  <si>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</si>
  <si>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</si>
  <si>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</si>
  <si>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</si>
  <si>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</si>
  <si>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</si>
  <si>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</si>
  <si>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</si>
  <si>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</si>
  <si>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</si>
  <si>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</si>
  <si>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</si>
  <si>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</si>
  <si>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</si>
  <si>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</si>
  <si>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</si>
  <si>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</si>
  <si>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</si>
  <si>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</si>
  <si>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</si>
  <si>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</si>
  <si>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</si>
  <si>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</si>
  <si>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</si>
  <si>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</si>
  <si>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</si>
  <si>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</si>
  <si>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</si>
  <si>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</si>
  <si>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</si>
  <si>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</si>
  <si>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</si>
  <si>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</si>
  <si>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</si>
  <si>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</si>
  <si>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</si>
  <si>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</si>
  <si>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</si>
  <si>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</si>
  <si>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</si>
  <si>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</si>
  <si>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</si>
  <si>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</si>
  <si>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</si>
  <si>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</si>
  <si>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</si>
  <si>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</si>
  <si>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</si>
  <si>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</si>
  <si>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</si>
  <si>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</si>
  <si>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</si>
  <si>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</si>
  <si>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</si>
  <si>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</si>
  <si>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</si>
  <si>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</si>
  <si>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</si>
  <si>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</si>
  <si>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</si>
  <si>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</si>
  <si>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</si>
  <si>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</si>
  <si>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</si>
  <si>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</si>
  <si>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</si>
  <si>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</si>
  <si>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</si>
  <si>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</si>
  <si>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</si>
  <si>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</si>
  <si>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</si>
  <si>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</si>
  <si>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</si>
  <si>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</si>
  <si>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</si>
  <si>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</si>
  <si>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</si>
  <si>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</si>
  <si>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</si>
  <si>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</si>
  <si>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</si>
  <si>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</si>
  <si>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</si>
  <si>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</si>
  <si>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</si>
  <si>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</si>
  <si>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</si>
  <si>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</si>
  <si>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</si>
  <si>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</si>
  <si>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</si>
  <si>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</si>
  <si>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</si>
  <si>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</si>
  <si>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</si>
  <si>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</si>
  <si>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</si>
  <si>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</si>
  <si>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</si>
  <si>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</si>
  <si>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</si>
  <si>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</si>
  <si>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</si>
  <si>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</si>
  <si>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</si>
  <si>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</si>
  <si>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</si>
  <si>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</si>
  <si>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</si>
  <si>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</si>
  <si>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</si>
  <si>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</si>
  <si>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</si>
  <si>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</si>
  <si>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</si>
  <si>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</si>
  <si>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</si>
  <si>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</si>
  <si>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</si>
  <si>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</si>
  <si>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</si>
  <si>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</si>
  <si>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</si>
  <si>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</si>
  <si>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</si>
  <si>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</si>
  <si>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</si>
  <si>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</si>
  <si>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</si>
  <si>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</si>
  <si>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</si>
  <si>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</si>
  <si>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</si>
  <si>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</si>
  <si>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</si>
  <si>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</si>
  <si>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</si>
  <si>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</si>
  <si>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</si>
  <si>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</si>
  <si>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</si>
  <si>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</si>
  <si>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</si>
  <si>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</si>
  <si>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</si>
  <si>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</si>
  <si>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</si>
  <si>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</si>
  <si>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</si>
  <si>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</si>
  <si>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</si>
  <si>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</si>
  <si>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</si>
  <si>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</si>
  <si>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</si>
  <si>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</si>
  <si>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</si>
  <si>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</si>
  <si>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</si>
  <si>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</si>
  <si>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</si>
  <si>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</si>
  <si>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</si>
  <si>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</si>
  <si>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</si>
  <si>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</si>
  <si>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</si>
  <si>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</si>
  <si>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</si>
  <si>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</si>
  <si>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</si>
  <si>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</si>
  <si>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</si>
  <si>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</si>
  <si>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</si>
  <si>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</si>
  <si>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</si>
  <si>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</si>
  <si>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</si>
  <si>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</si>
  <si>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</si>
  <si>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</si>
  <si>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</si>
  <si>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</si>
  <si>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</si>
  <si>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</si>
  <si>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</si>
  <si>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</si>
  <si>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</si>
  <si>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</si>
  <si>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</si>
  <si>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</si>
  <si>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</si>
  <si>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</si>
  <si>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</si>
  <si>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</si>
  <si>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</si>
  <si>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</si>
  <si>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</si>
  <si>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</si>
  <si>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</si>
  <si>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</si>
  <si>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</si>
  <si>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</si>
  <si>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</si>
  <si>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</si>
  <si>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</si>
  <si>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</si>
  <si>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</si>
  <si>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</si>
  <si>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</si>
  <si>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</si>
  <si>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</si>
  <si>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</si>
  <si>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</si>
  <si>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</si>
  <si>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</si>
  <si>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</si>
  <si>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</si>
  <si>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</si>
  <si>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</si>
  <si>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</si>
  <si>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</si>
  <si>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</si>
  <si>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</si>
  <si>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</si>
  <si>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</si>
  <si>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</si>
  <si>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</si>
  <si>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</si>
  <si>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</si>
  <si>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</si>
  <si>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</si>
  <si>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</si>
  <si>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</si>
  <si>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</si>
  <si>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</si>
  <si>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</si>
  <si>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</si>
  <si>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</si>
  <si>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</si>
  <si>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</si>
  <si>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</si>
  <si>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</si>
  <si>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</si>
  <si>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</si>
  <si>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</si>
  <si>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</si>
  <si>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</si>
  <si>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</si>
  <si>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</si>
  <si>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</si>
  <si>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</si>
  <si>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</si>
  <si>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</si>
  <si>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</si>
  <si>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</si>
  <si>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</si>
  <si>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</si>
  <si>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</si>
  <si>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</si>
  <si>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</si>
  <si>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</si>
  <si>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</si>
  <si>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</si>
  <si>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</si>
  <si>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</si>
  <si>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</si>
  <si>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</si>
  <si>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</si>
  <si>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</si>
  <si>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</si>
  <si>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</si>
  <si>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</si>
  <si>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</si>
  <si>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</si>
  <si>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</si>
  <si>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</si>
  <si>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</si>
  <si>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</si>
  <si>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</si>
  <si>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</si>
  <si>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</si>
  <si>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</si>
  <si>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</si>
  <si>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</si>
  <si>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</si>
  <si>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</si>
  <si>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</si>
  <si>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</si>
  <si>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</si>
  <si>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</si>
  <si>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</si>
  <si>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</si>
  <si>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</si>
  <si>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</si>
  <si>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</si>
  <si>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</si>
  <si>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</si>
  <si>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</si>
  <si>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</si>
  <si>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</si>
  <si>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</si>
  <si>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</si>
  <si>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</si>
  <si>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</si>
  <si>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</si>
  <si>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</si>
  <si>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</si>
  <si>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</si>
  <si>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Qtr1</t>
  </si>
  <si>
    <t>Qtr2</t>
  </si>
  <si>
    <t>Qtr3</t>
  </si>
  <si>
    <t>Qtr4</t>
  </si>
  <si>
    <t>Years (date created conversion)</t>
  </si>
  <si>
    <t>Oct</t>
  </si>
  <si>
    <t>Nov</t>
  </si>
  <si>
    <t>Dec</t>
  </si>
  <si>
    <t>Jul</t>
  </si>
  <si>
    <t>Aug</t>
  </si>
  <si>
    <t>Sep</t>
  </si>
  <si>
    <t>Apr</t>
  </si>
  <si>
    <t>May</t>
  </si>
  <si>
    <t>Jun</t>
  </si>
  <si>
    <t>Jan</t>
  </si>
  <si>
    <t>Feb</t>
  </si>
  <si>
    <t>Mar</t>
  </si>
  <si>
    <t>Mean</t>
  </si>
  <si>
    <t>Median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</si>
  <si>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</si>
  <si>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</si>
  <si>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</si>
  <si>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</si>
  <si>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</si>
  <si>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</si>
  <si>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</si>
  <si>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</si>
  <si>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</si>
  <si>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</si>
  <si>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</si>
  <si>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</si>
  <si>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</si>
  <si>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</si>
  <si>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</si>
  <si>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</si>
  <si>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</si>
  <si>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</si>
  <si>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</si>
  <si>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</si>
  <si>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2010</t>
  </si>
  <si>
    <t>Backers</t>
  </si>
  <si>
    <t>Minimum</t>
  </si>
  <si>
    <t>Maximum</t>
  </si>
  <si>
    <t>Successful</t>
  </si>
  <si>
    <t>Unsuccessful</t>
  </si>
  <si>
    <t>Average of backers_count</t>
  </si>
  <si>
    <t>Min of backers_count</t>
  </si>
  <si>
    <t>Max of backers_count</t>
  </si>
  <si>
    <t>Var of backers_count</t>
  </si>
  <si>
    <t>StdDev of backers_count</t>
  </si>
  <si>
    <t>Variance S</t>
  </si>
  <si>
    <t>Standard Dev S</t>
  </si>
  <si>
    <t>Backers Count Successul</t>
  </si>
  <si>
    <t>Backers Count Failed</t>
  </si>
  <si>
    <t>z score success</t>
  </si>
  <si>
    <t>z score fail</t>
  </si>
  <si>
    <t>Quartile 1</t>
  </si>
  <si>
    <t>Quartile 2</t>
  </si>
  <si>
    <t>Quartile 3</t>
  </si>
  <si>
    <t>Interquartile Range</t>
  </si>
  <si>
    <t>Q1 - (1.5*IQR) Boundary</t>
  </si>
  <si>
    <t>Q3 + (1.5*IQR)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</si>
</sst>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4" fontId="0" fillId="0" borderId="0" xfId="0" applyNumberFormat="1"/>
    <xf numFmtId="1" fontId="0" fillId="0" borderId="0" xfId="0" applyNumberFormat="1"/>
    <xf numFmtId="9" fontId="0" fillId="0" borderId="0" xfId="42" applyFont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theme="4" tint="-0.499984740745262"/>
      </font>
      <fill>
        <patternFill>
          <bgColor theme="8" tint="0.59996337778862885"/>
        </patternFill>
      </fill>
    </dxf>
    <dxf>
      <font>
        <color theme="1" tint="0.34998626667073579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00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[Module1Challenge_MRFox.xlsx]Pivot 1 -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546-9C9C-4C542D8A1507}"/>
            </c:ext>
          </c:extLst>
        </c:ser>
        <c:ser>
          <c:idx val="1"/>
          <c:order val="1"/>
          <c:tx>
            <c:strRef>
              <c:f>'Pivot 1 -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B-4546-9C9C-4C542D8A1507}"/>
            </c:ext>
          </c:extLst>
        </c:ser>
        <c:ser>
          <c:idx val="2"/>
          <c:order val="2"/>
          <c:tx>
            <c:strRef>
              <c:f>'Pivot 1 -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B-4546-9C9C-4C542D8A1507}"/>
            </c:ext>
          </c:extLst>
        </c:ser>
        <c:ser>
          <c:idx val="3"/>
          <c:order val="3"/>
          <c:tx>
            <c:strRef>
              <c:f>'Pivot 1 -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B-4546-9C9C-4C542D8A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423855"/>
        <c:axId val="331426735"/>
      </c:barChart>
      <c:catAx>
        <c:axId val="3314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6735"/>
        <c:crosses val="autoZero"/>
        <c:auto val="1"/>
        <c:lblAlgn val="ctr"/>
        <c:lblOffset val="100"/>
        <c:noMultiLvlLbl val="0"/>
      </c:catAx>
      <c:valAx>
        <c:axId val="3314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[Module1Challenge_MRFox.xlsx]Pivot 2 - 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2 -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2 -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50-A44E-2703A4FEF56B}"/>
            </c:ext>
          </c:extLst>
        </c:ser>
        <c:ser>
          <c:idx val="1"/>
          <c:order val="1"/>
          <c:tx>
            <c:strRef>
              <c:f>'Pivot 2 -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2 -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450-A44E-2703A4FEF56B}"/>
            </c:ext>
          </c:extLst>
        </c:ser>
        <c:ser>
          <c:idx val="2"/>
          <c:order val="2"/>
          <c:tx>
            <c:strRef>
              <c:f>'Pivot 2 -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2 -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C-4450-A44E-2703A4FEF56B}"/>
            </c:ext>
          </c:extLst>
        </c:ser>
        <c:ser>
          <c:idx val="3"/>
          <c:order val="3"/>
          <c:tx>
            <c:strRef>
              <c:f>'Pivot 2 -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2 -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2 -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C-4450-A44E-2703A4FE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426255"/>
        <c:axId val="331415215"/>
      </c:barChart>
      <c:catAx>
        <c:axId val="3314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15215"/>
        <c:crosses val="autoZero"/>
        <c:auto val="1"/>
        <c:lblAlgn val="ctr"/>
        <c:lblOffset val="100"/>
        <c:noMultiLvlLbl val="0"/>
      </c:catAx>
      <c:valAx>
        <c:axId val="3314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[Module1Challenge_MRFox.xlsx]Pivot 3 - Sub-Category!PivotTable3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3 - Sub-Category'!$A$6:$A$22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3 - Sub-Category'!$B$6:$B$22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A-4334-AF78-7E4784B0BA34}"/>
            </c:ext>
          </c:extLst>
        </c:ser>
        <c:ser>
          <c:idx val="1"/>
          <c:order val="1"/>
          <c:tx>
            <c:strRef>
              <c:f>'Pivot 3 -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3 - Sub-Category'!$A$6:$A$22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3 - Sub-Category'!$C$6:$C$22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4F5-9A3D-D209ECBED3C9}"/>
            </c:ext>
          </c:extLst>
        </c:ser>
        <c:ser>
          <c:idx val="2"/>
          <c:order val="2"/>
          <c:tx>
            <c:strRef>
              <c:f>'Pivot 3 -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 3 - Sub-Category'!$A$6:$A$22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3 - Sub-Category'!$D$6:$D$22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4-44F5-9A3D-D209ECBED3C9}"/>
            </c:ext>
          </c:extLst>
        </c:ser>
        <c:ser>
          <c:idx val="3"/>
          <c:order val="3"/>
          <c:tx>
            <c:strRef>
              <c:f>'Pivot 3 -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 3 - Sub-Category'!$A$6:$A$22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3 - Sub-Category'!$E$6:$E$22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4-44F5-9A3D-D209ECBE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8799"/>
        <c:axId val="291299279"/>
      </c:lineChart>
      <c:catAx>
        <c:axId val="2912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9279"/>
        <c:crosses val="autoZero"/>
        <c:auto val="1"/>
        <c:lblAlgn val="ctr"/>
        <c:lblOffset val="100"/>
        <c:noMultiLvlLbl val="0"/>
      </c:catAx>
      <c:valAx>
        <c:axId val="2912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[Module1Challenge_MRFox.xlsx]Pivot 3 - Sub-Category!PivotTable23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Created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3 - Sub-Category'!$B$28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3 - Sub-Category'!$A$29:$A$68</c:f>
              <c:strCache>
                <c:ptCount val="39"/>
                <c:pt idx="0">
                  <c:v>2/9/2010</c:v>
                </c:pt>
                <c:pt idx="1">
                  <c:v>2/14/2010</c:v>
                </c:pt>
                <c:pt idx="2">
                  <c:v>3/16/2010</c:v>
                </c:pt>
                <c:pt idx="3">
                  <c:v>3/21/2010</c:v>
                </c:pt>
                <c:pt idx="4">
                  <c:v>3/25/2010</c:v>
                </c:pt>
                <c:pt idx="5">
                  <c:v>3/28/2010</c:v>
                </c:pt>
                <c:pt idx="6">
                  <c:v>4/15/2010</c:v>
                </c:pt>
                <c:pt idx="7">
                  <c:v>4/17/2010</c:v>
                </c:pt>
                <c:pt idx="8">
                  <c:v>4/26/2010</c:v>
                </c:pt>
                <c:pt idx="9">
                  <c:v>5/12/2010</c:v>
                </c:pt>
                <c:pt idx="10">
                  <c:v>5/23/2010</c:v>
                </c:pt>
                <c:pt idx="11">
                  <c:v>6/6/2010</c:v>
                </c:pt>
                <c:pt idx="12">
                  <c:v>6/26/2010</c:v>
                </c:pt>
                <c:pt idx="13">
                  <c:v>7/14/2010</c:v>
                </c:pt>
                <c:pt idx="14">
                  <c:v>7/15/2010</c:v>
                </c:pt>
                <c:pt idx="15">
                  <c:v>7/19/2010</c:v>
                </c:pt>
                <c:pt idx="16">
                  <c:v>7/27/2010</c:v>
                </c:pt>
                <c:pt idx="17">
                  <c:v>7/31/2010</c:v>
                </c:pt>
                <c:pt idx="18">
                  <c:v>8/5/2010</c:v>
                </c:pt>
                <c:pt idx="19">
                  <c:v>8/6/2010</c:v>
                </c:pt>
                <c:pt idx="20">
                  <c:v>8/9/2010</c:v>
                </c:pt>
                <c:pt idx="21">
                  <c:v>9/2/2010</c:v>
                </c:pt>
                <c:pt idx="22">
                  <c:v>9/15/2010</c:v>
                </c:pt>
                <c:pt idx="23">
                  <c:v>9/21/2010</c:v>
                </c:pt>
                <c:pt idx="24">
                  <c:v>9/28/2010</c:v>
                </c:pt>
                <c:pt idx="25">
                  <c:v>9/30/2010</c:v>
                </c:pt>
                <c:pt idx="26">
                  <c:v>10/5/2010</c:v>
                </c:pt>
                <c:pt idx="27">
                  <c:v>10/7/2010</c:v>
                </c:pt>
                <c:pt idx="28">
                  <c:v>10/20/2010</c:v>
                </c:pt>
                <c:pt idx="29">
                  <c:v>10/25/2010</c:v>
                </c:pt>
                <c:pt idx="30">
                  <c:v>10/28/2010</c:v>
                </c:pt>
                <c:pt idx="31">
                  <c:v>10/31/2010</c:v>
                </c:pt>
                <c:pt idx="32">
                  <c:v>11/2/2010</c:v>
                </c:pt>
                <c:pt idx="33">
                  <c:v>11/15/2010</c:v>
                </c:pt>
                <c:pt idx="34">
                  <c:v>11/25/2010</c:v>
                </c:pt>
                <c:pt idx="35">
                  <c:v>12/3/2010</c:v>
                </c:pt>
                <c:pt idx="36">
                  <c:v>12/10/2010</c:v>
                </c:pt>
                <c:pt idx="37">
                  <c:v>12/13/2010</c:v>
                </c:pt>
                <c:pt idx="38">
                  <c:v>12/19/2010</c:v>
                </c:pt>
              </c:strCache>
            </c:strRef>
          </c:cat>
          <c:val>
            <c:numRef>
              <c:f>'Pivot 3 - Sub-Category'!$B$29:$B$68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0-4DC1-9211-0DFF569D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01360"/>
        <c:axId val="230801840"/>
      </c:lineChart>
      <c:catAx>
        <c:axId val="2308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1840"/>
        <c:crosses val="autoZero"/>
        <c:auto val="1"/>
        <c:lblAlgn val="ctr"/>
        <c:lblOffset val="100"/>
        <c:noMultiLvlLbl val="0"/>
      </c:catAx>
      <c:valAx>
        <c:axId val="2308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4AE6-8177-AE275729B08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4AE6-8177-AE275729B08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7-4AE6-8177-AE275729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51664"/>
        <c:axId val="1374346864"/>
      </c:lineChart>
      <c:catAx>
        <c:axId val="13743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46864"/>
        <c:crosses val="autoZero"/>
        <c:auto val="1"/>
        <c:lblAlgn val="ctr"/>
        <c:lblOffset val="100"/>
        <c:noMultiLvlLbl val="0"/>
      </c:catAx>
      <c:valAx>
        <c:axId val="13743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Successful Campaigns</a:t>
          </a:r>
        </a:p>
      </cx:txPr>
    </cx:title>
    <cx:plotArea>
      <cx:plotAreaRegion>
        <cx:series layoutId="boxWhisker" uniqueId="{94A2D477-5841-49C1-9CFE-EF7B6A0ED2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Failed Campaigns</a:t>
          </a:r>
        </a:p>
      </cx:txPr>
    </cx:title>
    <cx:plotArea>
      <cx:plotAreaRegion>
        <cx:series layoutId="boxWhisker" uniqueId="{9D37E890-17B8-4855-A3A4-B55479085DD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9524</xdr:rowOff>
    </xdr:from>
    <xdr:to>
      <xdr:col>18</xdr:col>
      <xdr:colOff>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1AA48-BF88-DA9F-A963-8BC3CE00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3</xdr:row>
      <xdr:rowOff>19049</xdr:rowOff>
    </xdr:from>
    <xdr:to>
      <xdr:col>20</xdr:col>
      <xdr:colOff>9524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9FDA8-905D-13EF-12B5-EFFCAA9A5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3</xdr:row>
      <xdr:rowOff>9524</xdr:rowOff>
    </xdr:from>
    <xdr:to>
      <xdr:col>20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3BEBB-689F-BD83-B1D2-849ACFBE3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15</xdr:col>
      <xdr:colOff>676275</xdr:colOff>
      <xdr:row>38</xdr:row>
      <xdr:rowOff>150668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E401A-6B99-4093-ABAE-CC1DBF9B0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15</xdr:row>
      <xdr:rowOff>0</xdr:rowOff>
    </xdr:from>
    <xdr:to>
      <xdr:col>8</xdr:col>
      <xdr:colOff>14287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5CD71-14B3-E889-496D-FCBD5367F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16</xdr:row>
      <xdr:rowOff>9525</xdr:rowOff>
    </xdr:from>
    <xdr:to>
      <xdr:col>11</xdr:col>
      <xdr:colOff>1509712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786BEF-029E-33E1-9C56-39DB05501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3209925"/>
              <a:ext cx="5248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32</xdr:row>
      <xdr:rowOff>9525</xdr:rowOff>
    </xdr:from>
    <xdr:to>
      <xdr:col>11</xdr:col>
      <xdr:colOff>1495425</xdr:colOff>
      <xdr:row>45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5219C0-8165-F436-087B-736664DFF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1275" y="6410325"/>
              <a:ext cx="5248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ly Fox" refreshedDate="45462.922923958336" createdVersion="8" refreshedVersion="8" minRefreshableVersion="3" recordCount="1000" xr:uid="{FAF4EAE2-0690-4B0B-8916-C070FE738128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x v="1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x v="2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x v="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69.276315789473685"/>
    <x v="0"/>
    <x v="4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73.61842105263159"/>
    <x v="1"/>
    <x v="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20.961538461538463"/>
    <x v="0"/>
    <x v="6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x v="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19.932788374205266"/>
    <x v="2"/>
    <x v="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51.741935483870968"/>
    <x v="0"/>
    <x v="9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x v="1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x v="11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89.349206349206341"/>
    <x v="0"/>
    <x v="12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x v="13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66.769503546099301"/>
    <x v="0"/>
    <x v="14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x v="15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49.47058823529414"/>
    <x v="1"/>
    <x v="16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x v="17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x v="18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8.529600000000002"/>
    <x v="0"/>
    <x v="1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12.24279210925646"/>
    <x v="1"/>
    <x v="20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x v="21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28.07106598984771"/>
    <x v="1"/>
    <x v="22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32.04444444444448"/>
    <x v="1"/>
    <x v="23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x v="24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16.43636363636364"/>
    <x v="1"/>
    <x v="25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x v="2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79.95"/>
    <x v="0"/>
    <x v="27"/>
    <n v="106.6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05.22553516819573"/>
    <x v="1"/>
    <x v="28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28.89978213507629"/>
    <x v="1"/>
    <x v="29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x v="30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x v="31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86.807920792079202"/>
    <x v="0"/>
    <x v="32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x v="33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x v="34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x v="3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x v="36"/>
    <n v="68.8125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x v="3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25.32258064516128"/>
    <x v="1"/>
    <x v="38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x v="39"/>
    <n v="57.125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69.06818181818181"/>
    <x v="1"/>
    <x v="40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x v="4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43.94444444444446"/>
    <x v="1"/>
    <x v="4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n v="90200"/>
    <n v="167717"/>
    <n v="185.9390243902439"/>
    <x v="1"/>
    <x v="43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8.8125"/>
    <x v="1"/>
    <x v="13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x v="44"/>
    <n v="94.375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14.78378378378378"/>
    <x v="1"/>
    <x v="45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5.26666666666665"/>
    <x v="1"/>
    <x v="46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86.97297297297297"/>
    <x v="1"/>
    <x v="47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89.625"/>
    <x v="1"/>
    <x v="48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x v="49"/>
    <n v="2"/>
    <x v="6"/>
    <s v="EUR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n v="158100"/>
    <n v="145243"/>
    <n v="91.867805186590772"/>
    <x v="0"/>
    <x v="50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4.152777777777779"/>
    <x v="0"/>
    <x v="5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40.40909090909091"/>
    <x v="1"/>
    <x v="52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x v="53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x v="54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x v="55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x v="56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27.11111111111114"/>
    <x v="1"/>
    <x v="57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75.07142857142861"/>
    <x v="1"/>
    <x v="58"/>
    <n v="30.0859375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44.37048832271762"/>
    <x v="1"/>
    <x v="59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x v="6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22.6"/>
    <x v="1"/>
    <x v="61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1.851063829787234"/>
    <x v="0"/>
    <x v="62"/>
    <n v="111.4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97.642857142857139"/>
    <x v="0"/>
    <x v="63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36.14754098360655"/>
    <x v="1"/>
    <x v="64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45.068965517241381"/>
    <x v="0"/>
    <x v="65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x v="66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x v="67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24.063291139240505"/>
    <x v="3"/>
    <x v="68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23.74140625000001"/>
    <x v="1"/>
    <x v="6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x v="70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70.33333333333326"/>
    <x v="1"/>
    <x v="71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x v="39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n v="3900"/>
    <n v="4776"/>
    <n v="122.46153846153847"/>
    <x v="1"/>
    <x v="72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n v="9700"/>
    <n v="14606"/>
    <n v="150.57731958762886"/>
    <x v="1"/>
    <x v="73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x v="7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46.94736842105263"/>
    <x v="0"/>
    <x v="75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x v="7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x v="77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37.4545454545455"/>
    <x v="1"/>
    <x v="78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25.33928571428569"/>
    <x v="1"/>
    <x v="79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97.3000000000002"/>
    <x v="1"/>
    <x v="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7.590225563909776"/>
    <x v="0"/>
    <x v="81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x v="82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x v="83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67.63513513513513"/>
    <x v="1"/>
    <x v="84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x v="85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60.75"/>
    <x v="1"/>
    <x v="8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x v="87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78.615384615384613"/>
    <x v="0"/>
    <x v="8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48.404406999351913"/>
    <x v="0"/>
    <x v="8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8.875"/>
    <x v="1"/>
    <x v="90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x v="91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03.68965517241378"/>
    <x v="1"/>
    <x v="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x v="11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x v="92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26.69230769230762"/>
    <x v="1"/>
    <x v="86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n v="97800"/>
    <n v="32951"/>
    <n v="33.692229038854805"/>
    <x v="0"/>
    <x v="93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x v="55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x v="49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21.4444444444445"/>
    <x v="1"/>
    <x v="55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81.67567567567568"/>
    <x v="1"/>
    <x v="94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x v="95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x v="96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44.54411764705884"/>
    <x v="1"/>
    <x v="97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59.12820512820514"/>
    <x v="1"/>
    <x v="98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x v="99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95.26666666666665"/>
    <x v="1"/>
    <x v="100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x v="10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x v="102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x v="10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x v="104"/>
    <n v="35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76.87878787878788"/>
    <x v="1"/>
    <x v="54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n v="1900"/>
    <n v="13816"/>
    <n v="727.15789473684208"/>
    <x v="1"/>
    <x v="105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x v="106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x v="107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73.9387755102041"/>
    <x v="1"/>
    <x v="108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x v="109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x v="110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x v="111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x v="112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64.367690058479525"/>
    <x v="0"/>
    <x v="113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18.622397298818232"/>
    <x v="0"/>
    <x v="114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67.76923076923077"/>
    <x v="1"/>
    <x v="115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x v="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38.633185349611544"/>
    <x v="0"/>
    <x v="116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51.42151162790698"/>
    <x v="0"/>
    <x v="117"/>
    <n v="78.96875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60.334277620396605"/>
    <x v="3"/>
    <x v="118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.202693602693603"/>
    <x v="3"/>
    <x v="12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n v="9600"/>
    <n v="14925"/>
    <n v="155.46875"/>
    <x v="1"/>
    <x v="119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x v="120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16.18181818181819"/>
    <x v="1"/>
    <x v="121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10.77777777777777"/>
    <x v="1"/>
    <x v="122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n v="99500"/>
    <n v="89288"/>
    <n v="89.73668341708543"/>
    <x v="0"/>
    <x v="123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x v="124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x v="125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x v="126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x v="127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x v="128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x v="129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x v="130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x v="124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35.59259259259261"/>
    <x v="1"/>
    <x v="131"/>
    <n v="104.6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29.1"/>
    <x v="1"/>
    <x v="18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36.512"/>
    <x v="1"/>
    <x v="132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17.25"/>
    <x v="3"/>
    <x v="133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12.49397590361446"/>
    <x v="1"/>
    <x v="134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21.02150537634408"/>
    <x v="1"/>
    <x v="3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x v="13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x v="49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4.166909620991248"/>
    <x v="0"/>
    <x v="50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x v="13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x v="137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58.756567425569173"/>
    <x v="0"/>
    <x v="138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x v="139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3.939560439560438"/>
    <x v="3"/>
    <x v="140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52.666666666666664"/>
    <x v="0"/>
    <x v="141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x v="142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0.01150627615063"/>
    <x v="1"/>
    <x v="143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62.3125"/>
    <x v="1"/>
    <x v="5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x v="51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x v="14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53.25714285714284"/>
    <x v="1"/>
    <x v="67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x v="20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21.99004424778761"/>
    <x v="1"/>
    <x v="145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x v="146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x v="147"/>
    <n v="74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31.30913348946136"/>
    <x v="0"/>
    <x v="148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24.08154506437768"/>
    <x v="1"/>
    <x v="149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.93886230728336"/>
    <x v="0"/>
    <x v="109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x v="62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n v="800"/>
    <n v="663"/>
    <n v="82.875"/>
    <x v="0"/>
    <x v="150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x v="15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94.66666666666674"/>
    <x v="1"/>
    <x v="44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x v="152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x v="153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x v="154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96.208333333333329"/>
    <x v="0"/>
    <x v="155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x v="156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08.45714285714286"/>
    <x v="1"/>
    <x v="15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61.802325581395344"/>
    <x v="0"/>
    <x v="158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x v="159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x v="99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93.05555555555554"/>
    <x v="1"/>
    <x v="16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71.8"/>
    <x v="0"/>
    <x v="161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x v="16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29.87375415282392"/>
    <x v="1"/>
    <x v="163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x v="164"/>
    <n v="7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x v="165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68.594594594594597"/>
    <x v="0"/>
    <x v="3"/>
    <n v="105.75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7.952380952380956"/>
    <x v="0"/>
    <x v="99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x v="166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5.636363636363633"/>
    <x v="0"/>
    <x v="167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22.7605633802817"/>
    <x v="1"/>
    <x v="105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n v="15800"/>
    <n v="57157"/>
    <n v="361.75316455696202"/>
    <x v="1"/>
    <x v="168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x v="16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x v="16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x v="170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x v="171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x v="0"/>
    <x v="49"/>
    <n v="2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x v="144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8.831325301204828"/>
    <x v="3"/>
    <x v="17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x v="17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.3719999999999999"/>
    <x v="0"/>
    <x v="174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x v="205"/>
    <s v="Focused analyzing circuit"/>
    <n v="1300"/>
    <n v="5614"/>
    <n v="431.84615384615387"/>
    <x v="1"/>
    <x v="175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38.844444444444441"/>
    <x v="3"/>
    <x v="176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25.7"/>
    <x v="1"/>
    <x v="177"/>
    <n v="99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01.12239715591672"/>
    <x v="1"/>
    <x v="178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x v="179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x v="31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x v="18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x v="17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x v="181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23.1428571428571"/>
    <x v="1"/>
    <x v="3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.841836734693878"/>
    <x v="0"/>
    <x v="182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55.07066557107643"/>
    <x v="1"/>
    <x v="183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44.753477588871718"/>
    <x v="0"/>
    <x v="18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x v="185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x v="186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x v="68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x v="187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n v="4800"/>
    <n v="6623"/>
    <n v="137.97916666666669"/>
    <x v="1"/>
    <x v="18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x v="189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03.63930885529157"/>
    <x v="1"/>
    <x v="190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x v="191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66.63333333333333"/>
    <x v="1"/>
    <x v="19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x v="19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x v="194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x v="195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x v="196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76.708333333333329"/>
    <x v="3"/>
    <x v="109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71.26470588235293"/>
    <x v="1"/>
    <x v="45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57.89473684210526"/>
    <x v="1"/>
    <x v="197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.08"/>
    <x v="1"/>
    <x v="46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x v="45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x v="176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x v="198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x v="199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97.71875"/>
    <x v="0"/>
    <x v="142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x v="200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x v="7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27.72619047619047"/>
    <x v="1"/>
    <x v="201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x v="202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x v="4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09.34482758620686"/>
    <x v="1"/>
    <x v="203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25.5333333333333"/>
    <x v="1"/>
    <x v="4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x v="20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x v="205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x v="206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x v="49"/>
    <n v="3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54.084507042253513"/>
    <x v="0"/>
    <x v="196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x v="207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x v="208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x v="39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x v="209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23.390243902439025"/>
    <x v="0"/>
    <x v="27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x v="45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68.48"/>
    <x v="1"/>
    <x v="129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97.5"/>
    <x v="1"/>
    <x v="18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x v="210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31.201660735468568"/>
    <x v="0"/>
    <x v="211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13.41176470588238"/>
    <x v="1"/>
    <x v="3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70.89655172413791"/>
    <x v="1"/>
    <x v="134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x v="2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23.08163265306122"/>
    <x v="1"/>
    <x v="99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76.766756032171585"/>
    <x v="0"/>
    <x v="213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n v="61600"/>
    <n v="143910"/>
    <n v="233.62012987012989"/>
    <x v="1"/>
    <x v="214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80.53333333333333"/>
    <x v="1"/>
    <x v="44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x v="215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x v="216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x v="21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x v="218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37.23076923076923"/>
    <x v="1"/>
    <x v="219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x v="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x v="220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n v="5500"/>
    <n v="5324"/>
    <n v="96.8"/>
    <x v="0"/>
    <x v="221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x v="100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25.88888888888891"/>
    <x v="1"/>
    <x v="222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x v="223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x v="224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x v="225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08.04761904761904"/>
    <x v="1"/>
    <x v="221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x v="226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83.193877551020407"/>
    <x v="0"/>
    <x v="22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06.33333333333337"/>
    <x v="1"/>
    <x v="228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7.446030330062445"/>
    <x v="3"/>
    <x v="229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09.73015873015873"/>
    <x v="1"/>
    <x v="230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97.785714285714292"/>
    <x v="0"/>
    <x v="231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n v="800"/>
    <n v="13474"/>
    <n v="1684.25"/>
    <x v="1"/>
    <x v="232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54.402135231316727"/>
    <x v="0"/>
    <x v="233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x v="3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.8219178082191778"/>
    <x v="0"/>
    <x v="234"/>
    <n v="71.7"/>
    <x v="1"/>
    <s v="USD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n v="6500"/>
    <n v="1065"/>
    <n v="16.384615384615383"/>
    <x v="3"/>
    <x v="2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39.6666666666667"/>
    <x v="1"/>
    <x v="236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x v="237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x v="63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94.236111111111114"/>
    <x v="0"/>
    <x v="238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43.91428571428571"/>
    <x v="1"/>
    <x v="239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51.421052631578945"/>
    <x v="0"/>
    <x v="240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n v="100"/>
    <n v="5"/>
    <n v="5"/>
    <x v="0"/>
    <x v="49"/>
    <n v="5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x v="241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x v="242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2.617647058823536"/>
    <x v="0"/>
    <x v="235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46.14285714285722"/>
    <x v="1"/>
    <x v="23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x v="72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x v="243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x v="244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x v="245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75.292682926829272"/>
    <x v="3"/>
    <x v="51"/>
    <n v="41.16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20.333333333333332"/>
    <x v="0"/>
    <x v="3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03.36507936507937"/>
    <x v="1"/>
    <x v="246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10.2284263959391"/>
    <x v="1"/>
    <x v="247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5.31818181818181"/>
    <x v="1"/>
    <x v="248"/>
    <n v="39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94.71428571428572"/>
    <x v="1"/>
    <x v="221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x v="249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66.677083333333329"/>
    <x v="0"/>
    <x v="250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n v="6600"/>
    <n v="1269"/>
    <n v="19.227272727272727"/>
    <x v="0"/>
    <x v="141"/>
    <n v="42.3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x v="68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38.702380952380956"/>
    <x v="3"/>
    <x v="251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.5876777251184837"/>
    <x v="0"/>
    <x v="175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x v="194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x v="252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24.134831460674157"/>
    <x v="0"/>
    <x v="150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x v="253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90.723076923076931"/>
    <x v="0"/>
    <x v="107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x v="5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x v="254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x v="255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22.896588486140725"/>
    <x v="2"/>
    <x v="57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x v="256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x v="257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x v="258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x v="259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86.61329305135951"/>
    <x v="1"/>
    <x v="260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14.28538550057536"/>
    <x v="1"/>
    <x v="261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97.032531824611041"/>
    <x v="0"/>
    <x v="26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22.81904761904762"/>
    <x v="1"/>
    <x v="263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79.14326647564468"/>
    <x v="1"/>
    <x v="264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79.951577402787962"/>
    <x v="3"/>
    <x v="265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94.242587601078171"/>
    <x v="0"/>
    <x v="224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x v="266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66.521920668058456"/>
    <x v="0"/>
    <x v="267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53.922222222222224"/>
    <x v="0"/>
    <x v="98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41.983299595141702"/>
    <x v="0"/>
    <x v="268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14.69479695431472"/>
    <x v="0"/>
    <x v="269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x v="270"/>
    <n v="110.32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00.7777777777778"/>
    <x v="1"/>
    <x v="27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71.770351758793964"/>
    <x v="0"/>
    <x v="272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n v="180800"/>
    <n v="95958"/>
    <n v="53.074115044247783"/>
    <x v="0"/>
    <x v="27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x v="49"/>
    <n v="5"/>
    <x v="1"/>
    <s v="USD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n v="74100"/>
    <n v="94631"/>
    <n v="127.70715249662618"/>
    <x v="1"/>
    <x v="274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34.892857142857139"/>
    <x v="0"/>
    <x v="254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x v="275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x v="175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x v="9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x v="174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84.91304347826087"/>
    <x v="1"/>
    <x v="142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x v="276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x v="27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x v="278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73.56363636363636"/>
    <x v="1"/>
    <x v="39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71.75675675675677"/>
    <x v="1"/>
    <x v="27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60.19230769230771"/>
    <x v="1"/>
    <x v="27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16.3333333333335"/>
    <x v="1"/>
    <x v="129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33.4375"/>
    <x v="1"/>
    <x v="19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92.11111111111109"/>
    <x v="1"/>
    <x v="196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18.888888888888889"/>
    <x v="0"/>
    <x v="51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76.80769230769232"/>
    <x v="1"/>
    <x v="280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x v="110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x v="281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x v="282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x v="283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x v="284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x v="165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x v="270"/>
    <n v="59.16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61.02941176470591"/>
    <x v="1"/>
    <x v="54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10.257545271629779"/>
    <x v="0"/>
    <x v="78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13.962962962962964"/>
    <x v="0"/>
    <x v="28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x v="9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60.32"/>
    <x v="1"/>
    <x v="286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83.9433962264151"/>
    <x v="1"/>
    <x v="287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x v="109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x v="288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n v="114400"/>
    <n v="196779"/>
    <n v="172.00961538461539"/>
    <x v="1"/>
    <x v="28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x v="290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x v="291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39.261467889908261"/>
    <x v="0"/>
    <x v="292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11.270034843205574"/>
    <x v="3"/>
    <x v="293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22.11084337349398"/>
    <x v="1"/>
    <x v="294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86.54166666666669"/>
    <x v="1"/>
    <x v="126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x v="295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x v="296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x v="297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n v="800"/>
    <n v="3755"/>
    <n v="469.37499999999994"/>
    <x v="1"/>
    <x v="298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x v="1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67.05422993492408"/>
    <x v="1"/>
    <x v="299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x v="211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17.76470588235293"/>
    <x v="1"/>
    <x v="300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x v="30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x v="49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x v="30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40.356164383561641"/>
    <x v="0"/>
    <x v="17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x v="303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x v="304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89.618243243243242"/>
    <x v="0"/>
    <x v="30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x v="306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x v="307"/>
    <n v="25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31.83695652173913"/>
    <x v="1"/>
    <x v="110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x v="308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36.132726089785294"/>
    <x v="2"/>
    <x v="309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n v="7800"/>
    <n v="8161"/>
    <n v="104.62820512820512"/>
    <x v="1"/>
    <x v="17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68.85714285714289"/>
    <x v="1"/>
    <x v="38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x v="310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x v="311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x v="312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x v="31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x v="2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57.399511301160658"/>
    <x v="0"/>
    <x v="314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x v="315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28.46"/>
    <x v="1"/>
    <x v="115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63.989361702127653"/>
    <x v="0"/>
    <x v="316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x v="317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10.638024357239512"/>
    <x v="0"/>
    <x v="318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n v="5100"/>
    <n v="2064"/>
    <n v="40.470588235294116"/>
    <x v="0"/>
    <x v="100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87.66666666666663"/>
    <x v="1"/>
    <x v="45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x v="3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12.90429799426933"/>
    <x v="1"/>
    <x v="320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46.387573964497044"/>
    <x v="0"/>
    <x v="321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x v="322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x v="286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92.49019607843135"/>
    <x v="1"/>
    <x v="115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82.714285714285722"/>
    <x v="0"/>
    <x v="222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54.163920922570021"/>
    <x v="0"/>
    <x v="323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x v="234"/>
    <n v="90.3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16.87664041994749"/>
    <x v="1"/>
    <x v="324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52.1538461538462"/>
    <x v="1"/>
    <x v="61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n v="8100"/>
    <n v="9969"/>
    <n v="123.07407407407408"/>
    <x v="1"/>
    <x v="325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x v="326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55.28169014084506"/>
    <x v="1"/>
    <x v="327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x v="328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x v="235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x v="182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4.752688172043008"/>
    <x v="3"/>
    <x v="329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76.41935483870967"/>
    <x v="1"/>
    <x v="102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x v="73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82.044117647058826"/>
    <x v="0"/>
    <x v="129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x v="330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x v="331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x v="99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x v="49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x v="33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63.4375"/>
    <x v="0"/>
    <x v="249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x v="333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x v="334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x v="335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x v="336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6.640000000000004"/>
    <x v="0"/>
    <x v="337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51.20118343195264"/>
    <x v="1"/>
    <x v="338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90.063492063492063"/>
    <x v="0"/>
    <x v="339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71.625"/>
    <x v="1"/>
    <x v="126"/>
    <n v="82.38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41.04655870445345"/>
    <x v="1"/>
    <x v="34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30.57944915254237"/>
    <x v="0"/>
    <x v="341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x v="342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x v="343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87.85106382978722"/>
    <x v="1"/>
    <x v="175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x v="34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x v="27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40.5"/>
    <x v="0"/>
    <x v="36"/>
    <n v="101.25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84.42857142857144"/>
    <x v="1"/>
    <x v="122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85.80555555555554"/>
    <x v="1"/>
    <x v="345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x v="346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x v="347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78.14000000000001"/>
    <x v="1"/>
    <x v="88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65.15"/>
    <x v="1"/>
    <x v="23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x v="57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x v="34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54.270588235294113"/>
    <x v="0"/>
    <x v="86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x v="349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x v="35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n v="8600"/>
    <n v="8656"/>
    <n v="100.65116279069768"/>
    <x v="1"/>
    <x v="215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x v="351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x v="352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x v="353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60.20608108108109"/>
    <x v="1"/>
    <x v="354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x v="355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13.5"/>
    <x v="0"/>
    <x v="356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x v="357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20.0566037735849"/>
    <x v="1"/>
    <x v="127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1.5108695652174"/>
    <x v="1"/>
    <x v="72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91.5"/>
    <x v="1"/>
    <x v="358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x v="120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n v="191000"/>
    <n v="45831"/>
    <n v="23.995287958115181"/>
    <x v="3"/>
    <x v="35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x v="251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x v="360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x v="13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0.90696409140369971"/>
    <x v="0"/>
    <x v="71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x v="53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23.948810754912099"/>
    <x v="0"/>
    <x v="361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x v="36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70.145182291666657"/>
    <x v="0"/>
    <x v="363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x v="12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x v="364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x v="197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13.901001112347053"/>
    <x v="0"/>
    <x v="365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x v="366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x v="161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x v="36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70.925816023738875"/>
    <x v="0"/>
    <x v="368"/>
    <n v="95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19.08974358974358"/>
    <x v="1"/>
    <x v="54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x v="369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39.31868131868131"/>
    <x v="1"/>
    <x v="370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x v="164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x v="371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55.779069767441861"/>
    <x v="0"/>
    <x v="221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42.523125996810208"/>
    <x v="0"/>
    <x v="372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x v="373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x v="234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x v="374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25.75"/>
    <x v="1"/>
    <x v="235"/>
    <n v="106.4375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45.53947368421052"/>
    <x v="1"/>
    <x v="375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x v="27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x v="121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x v="376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84.19047619047619"/>
    <x v="0"/>
    <x v="377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x v="98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x v="378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x v="175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11.254901960784313"/>
    <x v="0"/>
    <x v="352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x v="200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x v="379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x v="105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59.24394463667818"/>
    <x v="1"/>
    <x v="380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x v="166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x v="381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49.96938775510205"/>
    <x v="1"/>
    <x v="382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x v="383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x v="384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n v="9800"/>
    <n v="7120"/>
    <n v="72.653061224489804"/>
    <x v="0"/>
    <x v="385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x v="326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x v="386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x v="24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16.329799764428738"/>
    <x v="0"/>
    <x v="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76.5"/>
    <x v="1"/>
    <x v="286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88.803571428571431"/>
    <x v="0"/>
    <x v="387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x v="39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x v="388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x v="389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x v="390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x v="49"/>
    <n v="4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x v="391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8.51111111111112"/>
    <x v="0"/>
    <x v="45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x v="392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x v="353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23.63492063492063"/>
    <x v="1"/>
    <x v="18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39.75"/>
    <x v="1"/>
    <x v="393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x v="394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x v="105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0.9696106362773"/>
    <x v="1"/>
    <x v="395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94.16"/>
    <x v="1"/>
    <x v="396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69.7"/>
    <x v="1"/>
    <x v="40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x v="150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38.02702702702703"/>
    <x v="1"/>
    <x v="72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x v="39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x v="398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44.344086021505376"/>
    <x v="0"/>
    <x v="95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x v="146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86.03314917127071"/>
    <x v="1"/>
    <x v="399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37.33830845771143"/>
    <x v="1"/>
    <x v="400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x v="401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.142857142857139"/>
    <x v="0"/>
    <x v="164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x v="115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11.88059701492537"/>
    <x v="1"/>
    <x v="402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n v="2700"/>
    <n v="9967"/>
    <n v="369.14814814814815"/>
    <x v="1"/>
    <x v="358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n v="83300"/>
    <n v="52421"/>
    <n v="62.930372148859547"/>
    <x v="0"/>
    <x v="21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x v="251"/>
    <n v="98.40625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18.853658536585368"/>
    <x v="3"/>
    <x v="95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x v="569"/>
    <s v="Sharable radical toolset"/>
    <n v="96500"/>
    <n v="16168"/>
    <n v="16.754404145077721"/>
    <x v="0"/>
    <x v="24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x v="215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n v="43800"/>
    <n v="149578"/>
    <n v="341.5022831050228"/>
    <x v="1"/>
    <x v="403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64.016666666666666"/>
    <x v="0"/>
    <x v="83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52.080459770114942"/>
    <x v="0"/>
    <x v="344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x v="40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x v="40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46.79775280898878"/>
    <x v="1"/>
    <x v="158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x v="406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72.893617021276597"/>
    <x v="0"/>
    <x v="38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n v="157600"/>
    <n v="124517"/>
    <n v="79.008248730964468"/>
    <x v="0"/>
    <x v="407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64.721518987341781"/>
    <x v="0"/>
    <x v="408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x v="99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x v="408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x v="259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x v="409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x v="144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x v="410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99.683544303797461"/>
    <x v="0"/>
    <x v="236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x v="411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x v="412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x v="17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x v="49"/>
    <n v="5"/>
    <x v="4"/>
    <s v="GBP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n v="6300"/>
    <n v="13018"/>
    <n v="206.63492063492063"/>
    <x v="1"/>
    <x v="346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x v="413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19.66037735849055"/>
    <x v="1"/>
    <x v="408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70.73055242390078"/>
    <x v="1"/>
    <x v="414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87.21212121212122"/>
    <x v="1"/>
    <x v="3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x v="415"/>
    <n v="40.03125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31.29869186046511"/>
    <x v="1"/>
    <x v="416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n v="3900"/>
    <n v="11075"/>
    <n v="283.97435897435901"/>
    <x v="1"/>
    <x v="417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n v="10000"/>
    <n v="12042"/>
    <n v="120.41999999999999"/>
    <x v="1"/>
    <x v="124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x v="418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13.853658536585368"/>
    <x v="3"/>
    <x v="27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39.43548387096774"/>
    <x v="1"/>
    <x v="32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x v="150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x v="419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x v="73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89.515625"/>
    <x v="1"/>
    <x v="202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49.71428571428572"/>
    <x v="1"/>
    <x v="12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48.860523665659613"/>
    <x v="0"/>
    <x v="420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x v="355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68.02325581395348"/>
    <x v="1"/>
    <x v="5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x v="421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.1301587301587301"/>
    <x v="0"/>
    <x v="251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59.92152704135739"/>
    <x v="1"/>
    <x v="422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79.39215686274508"/>
    <x v="1"/>
    <x v="423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x v="1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x v="288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94.25"/>
    <x v="1"/>
    <x v="110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x v="87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64.58207217694995"/>
    <x v="0"/>
    <x v="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2.873684210526314"/>
    <x v="3"/>
    <x v="215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10.39864864864865"/>
    <x v="1"/>
    <x v="425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42.859916782246884"/>
    <x v="2"/>
    <x v="426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x v="339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x v="427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x v="428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x v="42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x v="167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11.419117647058824"/>
    <x v="0"/>
    <x v="115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56.186046511627907"/>
    <x v="2"/>
    <x v="430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x v="4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x v="346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45.45652173913044"/>
    <x v="1"/>
    <x v="30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x v="432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48.396694214876035"/>
    <x v="0"/>
    <x v="433"/>
    <n v="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x v="434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88.599797365754824"/>
    <x v="0"/>
    <x v="43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41.4"/>
    <x v="0"/>
    <x v="6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x v="419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n v="121700"/>
    <n v="59003"/>
    <n v="48.482333607230892"/>
    <x v="0"/>
    <x v="436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x v="0"/>
    <x v="49"/>
    <n v="2"/>
    <x v="1"/>
    <s v="USD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n v="196700"/>
    <n v="174039"/>
    <n v="88.47941026944585"/>
    <x v="0"/>
    <x v="437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26.84"/>
    <x v="1"/>
    <x v="438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38.833333333333"/>
    <x v="1"/>
    <x v="439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08.38857142857148"/>
    <x v="1"/>
    <x v="440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n v="6900"/>
    <n v="13212"/>
    <n v="191.47826086956522"/>
    <x v="1"/>
    <x v="441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x v="442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n v="10000"/>
    <n v="824"/>
    <n v="8.24"/>
    <x v="0"/>
    <x v="443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x v="444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47.232808616404313"/>
    <x v="0"/>
    <x v="424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x v="385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54.187265917603"/>
    <x v="0"/>
    <x v="445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n v="9100"/>
    <n v="8906"/>
    <n v="97.868131868131869"/>
    <x v="0"/>
    <x v="5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77.239999999999995"/>
    <x v="0"/>
    <x v="215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33.464735516372798"/>
    <x v="0"/>
    <x v="446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n v="5100"/>
    <n v="12219"/>
    <n v="239.58823529411765"/>
    <x v="1"/>
    <x v="447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x v="270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x v="448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x v="70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58.64754098360658"/>
    <x v="1"/>
    <x v="449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x v="450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x v="451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55.931783729156137"/>
    <x v="0"/>
    <x v="452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3.660714285714285"/>
    <x v="0"/>
    <x v="12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33.53837141183363"/>
    <x v="3"/>
    <x v="453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x v="26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x v="45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x v="4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x v="45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36.5"/>
    <x v="1"/>
    <x v="456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x v="457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x v="458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50.16666666666666"/>
    <x v="1"/>
    <x v="45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58.43478260869563"/>
    <x v="1"/>
    <x v="98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42.85714285714289"/>
    <x v="1"/>
    <x v="46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x v="461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91.74666666666667"/>
    <x v="1"/>
    <x v="38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x v="462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29.27586206896552"/>
    <x v="1"/>
    <x v="463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x v="464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26.61111111111109"/>
    <x v="1"/>
    <x v="257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42.38"/>
    <x v="1"/>
    <x v="465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x v="385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x v="466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84.131868131868131"/>
    <x v="0"/>
    <x v="467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33.93478260869566"/>
    <x v="1"/>
    <x v="468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59.042047531992694"/>
    <x v="0"/>
    <x v="46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x v="47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46.69121140142522"/>
    <x v="1"/>
    <x v="471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x v="7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x v="49"/>
    <n v="3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x v="472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x v="10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11.87381703470032"/>
    <x v="1"/>
    <x v="473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x v="220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x v="474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x v="47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x v="170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07.05882352941171"/>
    <x v="1"/>
    <x v="231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42.38775510204081"/>
    <x v="1"/>
    <x v="129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x v="476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x v="443"/>
    <n v="90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40.625"/>
    <x v="1"/>
    <x v="381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61.94202898550725"/>
    <x v="1"/>
    <x v="459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x v="477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24.466101694915253"/>
    <x v="0"/>
    <x v="478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n v="2000"/>
    <n v="10353"/>
    <n v="517.65"/>
    <x v="1"/>
    <x v="144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x v="479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x v="480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x v="300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x v="6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.392394822006473"/>
    <x v="3"/>
    <x v="10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56.50721649484535"/>
    <x v="1"/>
    <x v="481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x v="358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x v="246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50.398033126293996"/>
    <x v="0"/>
    <x v="482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x v="168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x v="483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17.5"/>
    <x v="0"/>
    <x v="234"/>
    <n v="73.5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x v="393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x v="130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90.25"/>
    <x v="3"/>
    <x v="3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1.984615384615381"/>
    <x v="0"/>
    <x v="484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27.00632911392404"/>
    <x v="1"/>
    <x v="485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n v="4200"/>
    <n v="13404"/>
    <n v="319.14285714285711"/>
    <x v="1"/>
    <x v="48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x v="487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x v="226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x v="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x v="27"/>
    <n v="103.8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x v="27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x v="36"/>
    <n v="99.5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79.1666666666665"/>
    <x v="1"/>
    <x v="406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26.0833333333335"/>
    <x v="1"/>
    <x v="39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x v="68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x v="382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x v="298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x v="488"/>
    <n v="35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28.85714285714286"/>
    <x v="1"/>
    <x v="489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34.959979476654695"/>
    <x v="3"/>
    <x v="490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x v="491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x v="49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x v="492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92.448275862068968"/>
    <x v="3"/>
    <x v="493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56.70212765957444"/>
    <x v="1"/>
    <x v="231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x v="494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66.57777777777778"/>
    <x v="1"/>
    <x v="495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x v="496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06.85714285714283"/>
    <x v="1"/>
    <x v="493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x v="497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x v="498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34.351966873706004"/>
    <x v="0"/>
    <x v="155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55.4545454545455"/>
    <x v="1"/>
    <x v="499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77.25714285714284"/>
    <x v="1"/>
    <x v="16"/>
    <n v="62.04"/>
    <x v="2"/>
    <s v="AUD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n v="5600"/>
    <n v="6338"/>
    <n v="113.17857142857144"/>
    <x v="1"/>
    <x v="500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x v="496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08.33333333333334"/>
    <x v="1"/>
    <x v="40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x v="501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x v="502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x v="503"/>
    <n v="73.92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86.867834394904463"/>
    <x v="0"/>
    <x v="50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x v="505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49.446428571428569"/>
    <x v="3"/>
    <x v="150"/>
    <n v="106.5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x v="50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x v="507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35.5"/>
    <x v="1"/>
    <x v="373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x v="234"/>
    <n v="96.8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65.544223826714799"/>
    <x v="0"/>
    <x v="508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49.026652452025587"/>
    <x v="0"/>
    <x v="10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87.92307692307691"/>
    <x v="1"/>
    <x v="5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x v="509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x v="55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x v="75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15.31372549019611"/>
    <x v="1"/>
    <x v="510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x v="18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15.33745781777279"/>
    <x v="1"/>
    <x v="511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x v="78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x v="512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n v="61200"/>
    <n v="60994"/>
    <n v="99.66339869281046"/>
    <x v="0"/>
    <x v="513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88.166666666666671"/>
    <x v="2"/>
    <x v="249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x v="430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30.540075309306079"/>
    <x v="3"/>
    <x v="260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25.714285714285712"/>
    <x v="0"/>
    <x v="514"/>
    <n v="90"/>
    <x v="1"/>
    <s v="USD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x v="243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85.909090909091"/>
    <x v="1"/>
    <x v="483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25.39393939393939"/>
    <x v="1"/>
    <x v="46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14.394366197183098"/>
    <x v="0"/>
    <x v="249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x v="373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n v="7600"/>
    <n v="8332"/>
    <n v="109.63157894736841"/>
    <x v="1"/>
    <x v="51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88.47058823529412"/>
    <x v="1"/>
    <x v="246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87.008284023668637"/>
    <x v="0"/>
    <x v="516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x v="49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02.9130434782609"/>
    <x v="1"/>
    <x v="88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x v="23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x v="51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68.73076923076923"/>
    <x v="1"/>
    <x v="205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50.845360824742272"/>
    <x v="0"/>
    <x v="109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80.2857142857142"/>
    <x v="1"/>
    <x v="70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x v="177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30.44230769230769"/>
    <x v="0"/>
    <x v="161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x v="51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x v="394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77.102702702702715"/>
    <x v="0"/>
    <x v="8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25.52763819095478"/>
    <x v="1"/>
    <x v="519"/>
    <n v="48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39.40625"/>
    <x v="1"/>
    <x v="520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92.1875"/>
    <x v="0"/>
    <x v="521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x v="236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15.21739130434787"/>
    <x v="1"/>
    <x v="221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68.79532163742692"/>
    <x v="1"/>
    <x v="52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94.8571428571429"/>
    <x v="1"/>
    <x v="4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x v="523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00.6"/>
    <x v="1"/>
    <x v="524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91.28571428571428"/>
    <x v="1"/>
    <x v="155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x v="525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57.07317073170731"/>
    <x v="1"/>
    <x v="526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26.48941176470588"/>
    <x v="1"/>
    <x v="527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87.5"/>
    <x v="1"/>
    <x v="144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x v="346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x v="17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x v="13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51.34375"/>
    <x v="0"/>
    <x v="110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x v="528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x v="529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x v="265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x v="34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x v="530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89.738979118329468"/>
    <x v="0"/>
    <x v="531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75.135802469135797"/>
    <x v="0"/>
    <x v="115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x v="532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n v="6400"/>
    <n v="8890"/>
    <n v="138.90625"/>
    <x v="1"/>
    <x v="21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90.18181818181819"/>
    <x v="1"/>
    <x v="1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x v="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42.75824175824175"/>
    <x v="1"/>
    <x v="287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x v="22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x v="254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x v="115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x v="53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08.5"/>
    <x v="1"/>
    <x v="44"/>
    <n v="105.9375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37.74468085106383"/>
    <x v="1"/>
    <x v="46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n v="3200"/>
    <n v="10831"/>
    <n v="338.46875"/>
    <x v="1"/>
    <x v="535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x v="253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x v="49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07.79999999999998"/>
    <x v="1"/>
    <x v="415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x v="249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x v="50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x v="536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x v="15"/>
    <n v="53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56.58333333333331"/>
    <x v="1"/>
    <x v="1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x v="537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.45"/>
    <x v="0"/>
    <x v="164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x v="377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51.65"/>
    <x v="1"/>
    <x v="167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x v="25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87.42857142857144"/>
    <x v="1"/>
    <x v="72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86.78571428571428"/>
    <x v="1"/>
    <x v="538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x v="503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x v="539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43.241247264770237"/>
    <x v="3"/>
    <x v="540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x v="402"/>
    <n v="25.99"/>
    <x v="1"/>
    <s v="USD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x v="105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23.703520691785052"/>
    <x v="0"/>
    <x v="541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x v="246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x v="54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70.04255319148936"/>
    <x v="1"/>
    <x v="543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x v="544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x v="545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x v="109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25.433734939759034"/>
    <x v="0"/>
    <x v="176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x v="546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x v="65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n v="1000"/>
    <n v="5438"/>
    <n v="543.79999999999995"/>
    <x v="1"/>
    <x v="4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x v="547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x v="1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x v="175"/>
    <n v="37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x v="548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x v="549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18.27777777777777"/>
    <x v="1"/>
    <x v="550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84.824037184594957"/>
    <x v="0"/>
    <x v="551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x v="249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x v="552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69.78571428571431"/>
    <x v="1"/>
    <x v="393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x v="553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x v="34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x v="554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x v="134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x v="75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x v="3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x v="555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n v="8800"/>
    <n v="2437"/>
    <n v="27.693181818181817"/>
    <x v="0"/>
    <x v="11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52.479620323841424"/>
    <x v="0"/>
    <x v="556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x v="30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n v="100"/>
    <n v="2"/>
    <n v="2"/>
    <x v="0"/>
    <x v="49"/>
    <n v="2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56.17857142857144"/>
    <x v="1"/>
    <x v="122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52.42857142857144"/>
    <x v="1"/>
    <x v="46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x v="443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12.230769230769232"/>
    <x v="0"/>
    <x v="3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x v="64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x v="27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x v="142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19.24083769633506"/>
    <x v="1"/>
    <x v="557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x v="175"/>
    <n v="107.7625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19.556634304207122"/>
    <x v="3"/>
    <x v="102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98.94827586206895"/>
    <x v="1"/>
    <x v="558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x v="55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x v="560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57.4375"/>
    <x v="0"/>
    <x v="56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x v="562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x v="550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58.25"/>
    <x v="2"/>
    <x v="11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37.39473684210526"/>
    <x v="1"/>
    <x v="388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8.75"/>
    <x v="0"/>
    <x v="537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82.56603773584905"/>
    <x v="1"/>
    <x v="563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x v="63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75.95330739299609"/>
    <x v="1"/>
    <x v="564"/>
    <n v="40"/>
    <x v="1"/>
    <s v="USD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n v="1700"/>
    <n v="4044"/>
    <n v="237.88235294117646"/>
    <x v="1"/>
    <x v="174"/>
    <n v="101.1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88.05076142131981"/>
    <x v="1"/>
    <x v="565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x v="167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8.126436781609197"/>
    <x v="0"/>
    <x v="27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n v="7200"/>
    <n v="3301"/>
    <n v="45.847222222222221"/>
    <x v="0"/>
    <x v="95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x v="56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17.30909090909088"/>
    <x v="1"/>
    <x v="229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12.28571428571428"/>
    <x v="1"/>
    <x v="72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72.51898734177216"/>
    <x v="0"/>
    <x v="19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12.30434782608697"/>
    <x v="1"/>
    <x v="358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39.74657534246577"/>
    <x v="1"/>
    <x v="567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81.93548387096774"/>
    <x v="1"/>
    <x v="339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x v="227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.6375968992248062"/>
    <x v="0"/>
    <x v="356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49.64385964912281"/>
    <x v="3"/>
    <x v="568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x v="87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x v="109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62.232323232323225"/>
    <x v="2"/>
    <x v="56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13.05813953488372"/>
    <x v="0"/>
    <x v="373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64.635416666666671"/>
    <x v="0"/>
    <x v="109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x v="493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n v="10000"/>
    <n v="8142"/>
    <n v="81.42"/>
    <x v="0"/>
    <x v="570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x v="57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x v="483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26.694444444444443"/>
    <x v="0"/>
    <x v="171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62.957446808510639"/>
    <x v="3"/>
    <x v="415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x v="84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x v="49"/>
    <n v="5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96.9379310344827"/>
    <x v="1"/>
    <x v="572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70.094158075601371"/>
    <x v="3"/>
    <x v="428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x v="356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x v="573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x v="175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x v="268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x v="5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34.63636363636363"/>
    <x v="1"/>
    <x v="19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x v="406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x v="1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x v="287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x v="574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n v="5900"/>
    <n v="4997"/>
    <n v="84.694915254237287"/>
    <x v="0"/>
    <x v="49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x v="287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86.40909090909093"/>
    <x v="1"/>
    <x v="512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92.23529411764707"/>
    <x v="1"/>
    <x v="242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37.03393665158373"/>
    <x v="1"/>
    <x v="575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x v="493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n v="7900"/>
    <n v="8550"/>
    <n v="108.22784810126582"/>
    <x v="1"/>
    <x v="576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x v="577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27.725490196078432"/>
    <x v="0"/>
    <x v="3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x v="578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x v="526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73.875"/>
    <x v="1"/>
    <x v="235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54.92592592592592"/>
    <x v="1"/>
    <x v="18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x v="382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3.957142857142856"/>
    <x v="0"/>
    <x v="109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n v="1000"/>
    <n v="8641"/>
    <n v="864.1"/>
    <x v="1"/>
    <x v="45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x v="579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x v="58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x v="58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4.930555555555557"/>
    <x v="0"/>
    <x v="51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x v="582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x v="345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67.129542790152414"/>
    <x v="0"/>
    <x v="583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40.307692307692307"/>
    <x v="0"/>
    <x v="45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16.79032258064518"/>
    <x v="1"/>
    <x v="584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x v="25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x v="31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x v="25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x v="585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26.54838709677421"/>
    <x v="1"/>
    <x v="227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x v="51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x v="586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x v="587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x v="19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60.565789473684205"/>
    <x v="3"/>
    <x v="27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x v="82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6.542754275427541"/>
    <x v="3"/>
    <x v="588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F7FAF-C98C-434C-9180-CEE1106EC7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723E-48E2-452A-BB0C-6C57ACEAD00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86554-F8DE-4DE9-AB5E-F0F1D4F8F3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3">
    <field x="21"/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item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8B87A-FFE4-471B-A25B-753A0616C1C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8:B68" firstHeaderRow="1" firstDataRow="1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h="1" sd="0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sd="0" x="12"/>
        <item t="default"/>
      </items>
    </pivotField>
  </pivotFields>
  <rowFields count="1">
    <field x="12"/>
  </rowFields>
  <rowItems count="40">
    <i>
      <x v="4"/>
    </i>
    <i>
      <x v="6"/>
    </i>
    <i>
      <x v="11"/>
    </i>
    <i>
      <x v="13"/>
    </i>
    <i>
      <x v="15"/>
    </i>
    <i>
      <x v="16"/>
    </i>
    <i>
      <x v="19"/>
    </i>
    <i>
      <x v="20"/>
    </i>
    <i>
      <x v="23"/>
    </i>
    <i>
      <x v="24"/>
    </i>
    <i>
      <x v="26"/>
    </i>
    <i>
      <x v="30"/>
    </i>
    <i>
      <x v="38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62"/>
    </i>
    <i>
      <x v="64"/>
    </i>
    <i>
      <x v="65"/>
    </i>
    <i>
      <x v="67"/>
    </i>
    <i>
      <x v="68"/>
    </i>
    <i>
      <x v="70"/>
    </i>
    <i>
      <x v="72"/>
    </i>
    <i>
      <x v="75"/>
    </i>
    <i>
      <x v="78"/>
    </i>
    <i>
      <x v="79"/>
    </i>
    <i>
      <x v="80"/>
    </i>
    <i>
      <x v="81"/>
    </i>
    <i>
      <x v="83"/>
    </i>
    <i>
      <x v="86"/>
    </i>
    <i>
      <x v="88"/>
    </i>
    <i>
      <x v="89"/>
    </i>
    <i>
      <x v="90"/>
    </i>
    <i>
      <x v="92"/>
    </i>
    <i t="grand">
      <x/>
    </i>
  </rowItems>
  <colItems count="1">
    <i/>
  </colItems>
  <pageFields count="2">
    <pageField fld="22" hier="-1"/>
    <pageField fld="18" item="8" hier="-1"/>
  </pageFields>
  <dataFields count="1">
    <dataField name="Count of outcome" fld="6" subtotal="count" baseField="12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F3538-0910-4201-BDD9-1D1434CCF70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P10" firstHeaderRow="0" firstDataRow="1" firstDataCol="0" rowPageCount="1" colPageCount="1"/>
  <pivotFields count="23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Page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" hier="-1"/>
  </pageFields>
  <dataFields count="5">
    <dataField name="Average of backers_count" fld="7" subtotal="average" baseField="1" baseItem="4" numFmtId="1"/>
    <dataField name="Min of backers_count" fld="7" subtotal="min" baseField="0" baseItem="3"/>
    <dataField name="Max of backers_count" fld="7" subtotal="max" baseField="0" baseItem="3"/>
    <dataField name="Var of backers_count" fld="7" subtotal="var" baseField="0" baseItem="1"/>
    <dataField name="StdDev of backers_count" fld="7" subtotal="stdDev" baseField="0" baseItem="1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CC82D-81F9-460C-A347-82ABAAB37BF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P5" firstHeaderRow="0" firstDataRow="1" firstDataCol="0" rowPageCount="1" colPageCount="1"/>
  <pivotFields count="23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Page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3" hier="-1"/>
  </pageFields>
  <dataFields count="5">
    <dataField name="Average of backers_count" fld="7" subtotal="average" baseField="1" baseItem="4" numFmtId="1"/>
    <dataField name="Min of backers_count" fld="7" subtotal="min" baseField="0" baseItem="3"/>
    <dataField name="Max of backers_count" fld="7" subtotal="max" baseField="0" baseItem="3"/>
    <dataField name="Var of backers_count" fld="7" subtotal="var" baseField="0" baseItem="1"/>
    <dataField name="StdDev of backers_count" fld="7" subtotal="stdDev" baseField="0" baseItem="1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8973D-BD77-4BDB-A7DE-C742215FDF67}" name="Table1" displayName="Table1" ref="A1:T1001" totalsRowShown="0" headerRowDxfId="22">
  <autoFilter ref="A1:T1001" xr:uid="{DDD8973D-BD77-4BDB-A7DE-C742215FDF67}"/>
  <tableColumns count="20">
    <tableColumn id="1" xr3:uid="{003ABB90-E1CE-4A11-9B74-5556822E6328}" name="id"/>
    <tableColumn id="2" xr3:uid="{F0914512-ADC8-4B9A-9E03-DA3773EE9F03}" name="name"/>
    <tableColumn id="3" xr3:uid="{172E845F-E30D-4893-BC04-CD30596A3049}" name="blurb" dataDxfId="21"/>
    <tableColumn id="4" xr3:uid="{D365F0A5-CC1E-4AEF-93ED-7F6751B6E407}" name="goal"/>
    <tableColumn id="5" xr3:uid="{56DAF62B-BB73-410E-AF59-6A50F9F11B91}" name="pledged"/>
    <tableColumn id="15" xr3:uid="{1B2EB18B-2C50-4999-BBC1-B929236562E3}" name="percent funded" dataDxfId="20" dataCellStyle="Percent">
      <calculatedColumnFormula>(Table1[[#This Row],[pledged]]/Table1[[#This Row],[goal]])*100</calculatedColumnFormula>
    </tableColumn>
    <tableColumn id="6" xr3:uid="{8AC54DD8-436A-402A-A064-3BF14558F340}" name="outcome"/>
    <tableColumn id="7" xr3:uid="{2131D705-76F8-4E2E-8CED-729C3F14760C}" name="backers_count"/>
    <tableColumn id="16" xr3:uid="{027A3CBA-8DC1-4CD1-8531-BBAD48A3CD66}" name="average donation" dataDxfId="19">
      <calculatedColumnFormula>IFERROR(Table1[[#This Row],[pledged]]/Table1[[#This Row],[backers_count]],0)</calculatedColumnFormula>
    </tableColumn>
    <tableColumn id="8" xr3:uid="{0F5FE695-B79A-4AFB-8122-759858F7A6C2}" name="country"/>
    <tableColumn id="9" xr3:uid="{6E658D35-C4FF-4A79-A391-AF5EE26D8B93}" name="currency"/>
    <tableColumn id="10" xr3:uid="{6E1149DA-B927-4ED0-9A3F-101C1F568B34}" name="launched_at"/>
    <tableColumn id="21" xr3:uid="{8E39E976-ED7C-42DF-A9C8-CE0A2F5DB3DA}" name="date created conversion" dataDxfId="18">
      <calculatedColumnFormula>(((Table1[[#This Row],[launched_at]]/60)/60)/24)+DATE(1970,1,1)</calculatedColumnFormula>
    </tableColumn>
    <tableColumn id="11" xr3:uid="{322CA685-D8A1-4ABB-88A1-536BD17A72AE}" name="deadline"/>
    <tableColumn id="19" xr3:uid="{F554FB3D-1C4C-4746-9571-B937009E50F4}" name="date ended conversion" dataDxfId="17">
      <calculatedColumnFormula>(((Table1[[#This Row],[deadline]]/60)/60)/24)+DATE(1970,1,1)</calculatedColumnFormula>
    </tableColumn>
    <tableColumn id="12" xr3:uid="{BF86B827-ED4C-4A44-A599-C44164460B54}" name="staff_pick"/>
    <tableColumn id="13" xr3:uid="{7EBDC455-085A-4D41-B830-349D742F6420}" name="spotlight"/>
    <tableColumn id="14" xr3:uid="{DE7459C0-9EC6-4411-B8E9-2C57F33C3646}" name="category &amp; sub-category"/>
    <tableColumn id="17" xr3:uid="{0096EAAF-CF58-444D-BFA6-601DD458BE65}" name="parent category" dataDxfId="16">
      <calculatedColumnFormula>LEFT(Table1[[#This Row],[category &amp; sub-category]],SEARCH("/",Table1[[#This Row],[category &amp; sub-category]],1)-1)</calculatedColumnFormula>
    </tableColumn>
    <tableColumn id="18" xr3:uid="{DB5FAC65-DAEB-45B5-8040-C959472EAB5A}" name="sub-category" dataDxfId="15">
      <calculatedColumnFormula>RIGHT(Table1[[#This Row],[category &amp; sub-category]],LEN(Table1[[#This Row],[category &amp; sub-category]])-SEARCH("/",Table1[[#This Row],[category &amp; sub-category]],1))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1397F-BD8F-4E23-A53B-6160D1522BCB}" name="Table2" displayName="Table2" ref="A1:H13" totalsRowShown="0">
  <autoFilter ref="A1:H13" xr:uid="{22E1397F-BD8F-4E23-A53B-6160D1522BCB}"/>
  <tableColumns count="8">
    <tableColumn id="1" xr3:uid="{4CCF25D4-8142-4A78-AA04-DD664D722D49}" name="Goal"/>
    <tableColumn id="2" xr3:uid="{63855FBF-B391-49B8-BEBC-21683849F0DE}" name="Number Successful" dataDxfId="14">
      <calculatedColumnFormula>COUNTIFS(Table1[goal],"&lt;=1000",Table1[outcome],"successful")</calculatedColumnFormula>
    </tableColumn>
    <tableColumn id="3" xr3:uid="{CE020369-6510-4771-9790-4C89B9A23A6C}" name="Number Failed"/>
    <tableColumn id="4" xr3:uid="{E5AC09A0-3409-4F6A-92F1-D647BD097EB9}" name="Number Cancelled"/>
    <tableColumn id="5" xr3:uid="{1468600D-5B5A-427D-B979-4820D490FC82}" name="Total Projects" dataDxfId="13">
      <calculatedColumnFormula>SUM(Table2[[#This Row],[Number Successful]:[Number Cancelled]])</calculatedColumnFormula>
    </tableColumn>
    <tableColumn id="6" xr3:uid="{C6E409DB-20F3-4689-92A9-0F6FF890244A}" name="Percentage Successful" dataCellStyle="Percent">
      <calculatedColumnFormula>Table2[[#This Row],[Number Successful]]/Table2[[#This Row],[Total Projects]]</calculatedColumnFormula>
    </tableColumn>
    <tableColumn id="7" xr3:uid="{8C7BE41D-582F-4E1F-BF04-087F98D82780}" name="Percentage Failed" dataDxfId="12" dataCellStyle="Percent">
      <calculatedColumnFormula>Table2[[#This Row],[Number Failed]]/Table2[[#This Row],[Total Projects]]</calculatedColumnFormula>
    </tableColumn>
    <tableColumn id="8" xr3:uid="{93762F14-3AF5-448B-A9BA-2C4DDB2F7CB4}" name="Percentage Cancelled" dataDxfId="11" dataCellStyle="Percent">
      <calculatedColumnFormula>Table2[[#This Row],[Number Cancelled]]/Table2[[#This Row],[Total Projects]]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43C3CB-CFB3-4A11-8A4A-FD60DAD77B66}" name="Table5" displayName="Table5" ref="B2:C567" totalsRowShown="0" headerRowDxfId="8">
  <autoFilter ref="B2:C567" xr:uid="{9643C3CB-CFB3-4A11-8A4A-FD60DAD77B66}"/>
  <sortState xmlns:xlrd2="http://schemas.microsoft.com/office/spreadsheetml/2017/richdata2" ref="B3:C567">
    <sortCondition descending="1" ref="B2:B567"/>
  </sortState>
  <tableColumns count="2">
    <tableColumn id="2" xr3:uid="{4F08A50D-F3A1-43E0-AF91-A9935B1C243D}" name="Backers Count Successul"/>
    <tableColumn id="4" xr3:uid="{D65F274F-B397-45C0-876C-BF3DDE14E439}" name="z score success" dataDxfId="7">
      <calculatedColumnFormula>(Table5[[#This Row],[Backers Count Successul]]-$I$3)/$I$8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051EF7-ECFC-43BD-956B-E02663A6B5B4}" name="Table7" displayName="Table7" ref="E2:F366" totalsRowShown="0" headerRowDxfId="6">
  <autoFilter ref="E2:F366" xr:uid="{A1051EF7-ECFC-43BD-956B-E02663A6B5B4}"/>
  <sortState xmlns:xlrd2="http://schemas.microsoft.com/office/spreadsheetml/2017/richdata2" ref="E3:F366">
    <sortCondition descending="1" ref="E2:E366"/>
  </sortState>
  <tableColumns count="2">
    <tableColumn id="1" xr3:uid="{A543E8EB-6BBE-4F8A-9520-B0D2603D5D1C}" name="Backers Count Failed" dataDxfId="5"/>
    <tableColumn id="2" xr3:uid="{562B3115-BCB9-46A7-B4CC-5E1241D7718B}" name="z score fail" dataDxfId="4">
      <calculatedColumnFormula>(Table7[[#This Row],[Backers Count Failed]]-$J$3)/$J$8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L1" sqref="L1:L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526-172A-4496-856D-358D8F58549F}">
  <dimension ref="A1:T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12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" style="9" bestFit="1" customWidth="1"/>
    <col min="14" max="14" width="12.25" bestFit="1" customWidth="1"/>
    <col min="15" max="15" width="24.75" bestFit="1" customWidth="1"/>
    <col min="16" max="16" width="12.5" bestFit="1" customWidth="1"/>
    <col min="17" max="17" width="27.625" bestFit="1" customWidth="1"/>
    <col min="18" max="18" width="18.75" bestFit="1" customWidth="1"/>
    <col min="19" max="19" width="16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(Table1[[#This Row],[pledged]]/Table1[[#This Row],[goal]])*100</f>
        <v>0</v>
      </c>
      <c r="G2" t="s">
        <v>14</v>
      </c>
      <c r="H2">
        <v>0</v>
      </c>
      <c r="I2" s="4">
        <f>IFERROR(Table1[[#This Row],[pledged]]/Table1[[#This Row],[backers_count]],0)</f>
        <v>0</v>
      </c>
      <c r="J2" t="s">
        <v>15</v>
      </c>
      <c r="K2" t="s">
        <v>16</v>
      </c>
      <c r="L2">
        <v>1448690400</v>
      </c>
      <c r="M2" s="9">
        <f>(((Table1[[#This Row],[launched_at]]/60)/60)/24)+DATE(1970,1,1)</f>
        <v>42336.25</v>
      </c>
      <c r="N2">
        <v>1450159200</v>
      </c>
      <c r="O2" s="9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sub-category]],SEARCH("/",Table1[[#This Row],[category &amp; sub-category]],1)-1)</f>
        <v>food</v>
      </c>
      <c r="T2" t="str">
        <f>RIGHT(Table1[[#This Row],[category &amp; sub-category]],LEN(Table1[[#This Row],[category &amp; sub-category]])-SEARCH("/",Table1[[#This Row],[category &amp; sub-category]],1))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(Table1[[#This Row],[pledged]]/Table1[[#This Row],[goal]])*100</f>
        <v>1040</v>
      </c>
      <c r="G3" t="s">
        <v>20</v>
      </c>
      <c r="H3">
        <v>158</v>
      </c>
      <c r="I3" s="4">
        <f>IFERROR(Table1[[#This Row],[pledged]]/Table1[[#This Row],[backers_count]],0)</f>
        <v>92.151898734177209</v>
      </c>
      <c r="J3" t="s">
        <v>21</v>
      </c>
      <c r="K3" t="s">
        <v>22</v>
      </c>
      <c r="L3">
        <v>1408424400</v>
      </c>
      <c r="M3" s="9">
        <f>(((Table1[[#This Row],[launched_at]]/60)/60)/24)+DATE(1970,1,1)</f>
        <v>41870.208333333336</v>
      </c>
      <c r="N3">
        <v>1408597200</v>
      </c>
      <c r="O3" s="9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LEFT(Table1[[#This Row],[category &amp; sub-category]],SEARCH("/",Table1[[#This Row],[category &amp; sub-category]],1)-1)</f>
        <v>music</v>
      </c>
      <c r="T3" t="str">
        <f>RIGHT(Table1[[#This Row],[category &amp; sub-category]],LEN(Table1[[#This Row],[category &amp; sub-category]])-SEARCH("/",Table1[[#This Row],[category &amp; sub-category]],1))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(Table1[[#This Row],[pledged]]/Table1[[#This Row],[goal]])*100</f>
        <v>131.4787822878229</v>
      </c>
      <c r="G4" t="s">
        <v>20</v>
      </c>
      <c r="H4">
        <v>1425</v>
      </c>
      <c r="I4" s="4">
        <f>IFERROR(Table1[[#This Row],[pledged]]/Table1[[#This Row],[backers_count]],0)</f>
        <v>100.01614035087719</v>
      </c>
      <c r="J4" t="s">
        <v>26</v>
      </c>
      <c r="K4" t="s">
        <v>27</v>
      </c>
      <c r="L4">
        <v>1384668000</v>
      </c>
      <c r="M4" s="9">
        <f>(((Table1[[#This Row],[launched_at]]/60)/60)/24)+DATE(1970,1,1)</f>
        <v>41595.25</v>
      </c>
      <c r="N4">
        <v>1384840800</v>
      </c>
      <c r="O4" s="9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LEFT(Table1[[#This Row],[category &amp; sub-category]],SEARCH("/",Table1[[#This Row],[category &amp; sub-category]],1)-1)</f>
        <v>technology</v>
      </c>
      <c r="T4" t="str">
        <f>RIGHT(Table1[[#This Row],[category &amp; sub-category]],LEN(Table1[[#This Row],[category &amp; sub-category]])-SEARCH("/",Table1[[#This Row],[category &amp; sub-category]],1))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(Table1[[#This Row],[pledged]]/Table1[[#This Row],[goal]])*100</f>
        <v>58.976190476190467</v>
      </c>
      <c r="G5" t="s">
        <v>14</v>
      </c>
      <c r="H5">
        <v>24</v>
      </c>
      <c r="I5" s="4">
        <f>IFERROR(Table1[[#This Row],[pledged]]/Table1[[#This Row],[backers_count]],0)</f>
        <v>103.20833333333333</v>
      </c>
      <c r="J5" t="s">
        <v>21</v>
      </c>
      <c r="K5" t="s">
        <v>22</v>
      </c>
      <c r="L5">
        <v>1565499600</v>
      </c>
      <c r="M5" s="9">
        <f>(((Table1[[#This Row],[launched_at]]/60)/60)/24)+DATE(1970,1,1)</f>
        <v>43688.208333333328</v>
      </c>
      <c r="N5">
        <v>1568955600</v>
      </c>
      <c r="O5" s="9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LEFT(Table1[[#This Row],[category &amp; sub-category]],SEARCH("/",Table1[[#This Row],[category &amp; sub-category]],1)-1)</f>
        <v>music</v>
      </c>
      <c r="T5" t="str">
        <f>RIGHT(Table1[[#This Row],[category &amp; sub-category]],LEN(Table1[[#This Row],[category &amp; sub-category]])-SEARCH("/",Table1[[#This Row],[category &amp; sub-category]],1))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(Table1[[#This Row],[pledged]]/Table1[[#This Row],[goal]])*100</f>
        <v>69.276315789473685</v>
      </c>
      <c r="G6" t="s">
        <v>14</v>
      </c>
      <c r="H6">
        <v>53</v>
      </c>
      <c r="I6" s="4">
        <f>IFERROR(Table1[[#This Row],[pledged]]/Table1[[#This Row],[backers_count]],0)</f>
        <v>99.339622641509436</v>
      </c>
      <c r="J6" t="s">
        <v>21</v>
      </c>
      <c r="K6" t="s">
        <v>22</v>
      </c>
      <c r="L6">
        <v>1547964000</v>
      </c>
      <c r="M6" s="9">
        <f>(((Table1[[#This Row],[launched_at]]/60)/60)/24)+DATE(1970,1,1)</f>
        <v>43485.25</v>
      </c>
      <c r="N6">
        <v>1548309600</v>
      </c>
      <c r="O6" s="9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LEFT(Table1[[#This Row],[category &amp; sub-category]],SEARCH("/",Table1[[#This Row],[category &amp; sub-category]],1)-1)</f>
        <v>theater</v>
      </c>
      <c r="T6" t="str">
        <f>RIGHT(Table1[[#This Row],[category &amp; sub-category]],LEN(Table1[[#This Row],[category &amp; sub-category]])-SEARCH("/",Table1[[#This Row],[category &amp; sub-category]],1))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(Table1[[#This Row],[pledged]]/Table1[[#This Row],[goal]])*100</f>
        <v>173.61842105263159</v>
      </c>
      <c r="G7" t="s">
        <v>20</v>
      </c>
      <c r="H7">
        <v>174</v>
      </c>
      <c r="I7" s="4">
        <f>IFERROR(Table1[[#This Row],[pledged]]/Table1[[#This Row],[backers_count]],0)</f>
        <v>75.833333333333329</v>
      </c>
      <c r="J7" t="s">
        <v>36</v>
      </c>
      <c r="K7" t="s">
        <v>37</v>
      </c>
      <c r="L7">
        <v>1346130000</v>
      </c>
      <c r="M7" s="9">
        <f>(((Table1[[#This Row],[launched_at]]/60)/60)/24)+DATE(1970,1,1)</f>
        <v>41149.208333333336</v>
      </c>
      <c r="N7">
        <v>1347080400</v>
      </c>
      <c r="O7" s="9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LEFT(Table1[[#This Row],[category &amp; sub-category]],SEARCH("/",Table1[[#This Row],[category &amp; sub-category]],1)-1)</f>
        <v>theater</v>
      </c>
      <c r="T7" t="str">
        <f>RIGHT(Table1[[#This Row],[category &amp; sub-category]],LEN(Table1[[#This Row],[category &amp; sub-category]])-SEARCH("/",Table1[[#This Row],[category &amp; sub-category]],1))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(Table1[[#This Row],[pledged]]/Table1[[#This Row],[goal]])*100</f>
        <v>20.961538461538463</v>
      </c>
      <c r="G8" t="s">
        <v>14</v>
      </c>
      <c r="H8">
        <v>18</v>
      </c>
      <c r="I8" s="4">
        <f>IFERROR(Table1[[#This Row],[pledged]]/Table1[[#This Row],[backers_count]],0)</f>
        <v>60.555555555555557</v>
      </c>
      <c r="J8" t="s">
        <v>40</v>
      </c>
      <c r="K8" t="s">
        <v>41</v>
      </c>
      <c r="L8">
        <v>1505278800</v>
      </c>
      <c r="M8" s="9">
        <f>(((Table1[[#This Row],[launched_at]]/60)/60)/24)+DATE(1970,1,1)</f>
        <v>42991.208333333328</v>
      </c>
      <c r="N8">
        <v>1505365200</v>
      </c>
      <c r="O8" s="9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LEFT(Table1[[#This Row],[category &amp; sub-category]],SEARCH("/",Table1[[#This Row],[category &amp; sub-category]],1)-1)</f>
        <v>film &amp; video</v>
      </c>
      <c r="T8" t="str">
        <f>RIGHT(Table1[[#This Row],[category &amp; sub-category]],LEN(Table1[[#This Row],[category &amp; sub-category]])-SEARCH("/",Table1[[#This Row],[category &amp; sub-category]],1))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(Table1[[#This Row],[pledged]]/Table1[[#This Row],[goal]])*100</f>
        <v>327.57777777777778</v>
      </c>
      <c r="G9" t="s">
        <v>20</v>
      </c>
      <c r="H9">
        <v>227</v>
      </c>
      <c r="I9" s="4">
        <f>IFERROR(Table1[[#This Row],[pledged]]/Table1[[#This Row],[backers_count]],0)</f>
        <v>64.93832599118943</v>
      </c>
      <c r="J9" t="s">
        <v>36</v>
      </c>
      <c r="K9" t="s">
        <v>37</v>
      </c>
      <c r="L9">
        <v>1439442000</v>
      </c>
      <c r="M9" s="9">
        <f>(((Table1[[#This Row],[launched_at]]/60)/60)/24)+DATE(1970,1,1)</f>
        <v>42229.208333333328</v>
      </c>
      <c r="N9">
        <v>1439614800</v>
      </c>
      <c r="O9" s="9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LEFT(Table1[[#This Row],[category &amp; sub-category]],SEARCH("/",Table1[[#This Row],[category &amp; sub-category]],1)-1)</f>
        <v>theater</v>
      </c>
      <c r="T9" t="str">
        <f>RIGHT(Table1[[#This Row],[category &amp; sub-category]],LEN(Table1[[#This Row],[category &amp; sub-category]])-SEARCH("/",Table1[[#This Row],[category &amp; sub-category]],1))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(Table1[[#This Row],[pledged]]/Table1[[#This Row],[goal]])*100</f>
        <v>19.932788374205266</v>
      </c>
      <c r="G10" t="s">
        <v>47</v>
      </c>
      <c r="H10">
        <v>708</v>
      </c>
      <c r="I10" s="4">
        <f>IFERROR(Table1[[#This Row],[pledged]]/Table1[[#This Row],[backers_count]],0)</f>
        <v>30.997175141242938</v>
      </c>
      <c r="J10" t="s">
        <v>36</v>
      </c>
      <c r="K10" t="s">
        <v>37</v>
      </c>
      <c r="L10">
        <v>1281330000</v>
      </c>
      <c r="M10" s="9">
        <f>(((Table1[[#This Row],[launched_at]]/60)/60)/24)+DATE(1970,1,1)</f>
        <v>40399.208333333336</v>
      </c>
      <c r="N10">
        <v>1281502800</v>
      </c>
      <c r="O10" s="9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LEFT(Table1[[#This Row],[category &amp; sub-category]],SEARCH("/",Table1[[#This Row],[category &amp; sub-category]],1)-1)</f>
        <v>theater</v>
      </c>
      <c r="T10" t="str">
        <f>RIGHT(Table1[[#This Row],[category &amp; sub-category]],LEN(Table1[[#This Row],[category &amp; sub-category]])-SEARCH("/",Table1[[#This Row],[category &amp; sub-category]],1))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(Table1[[#This Row],[pledged]]/Table1[[#This Row],[goal]])*100</f>
        <v>51.741935483870968</v>
      </c>
      <c r="G11" t="s">
        <v>14</v>
      </c>
      <c r="H11">
        <v>44</v>
      </c>
      <c r="I11" s="4">
        <f>IFERROR(Table1[[#This Row],[pledged]]/Table1[[#This Row],[backers_count]],0)</f>
        <v>72.909090909090907</v>
      </c>
      <c r="J11" t="s">
        <v>21</v>
      </c>
      <c r="K11" t="s">
        <v>22</v>
      </c>
      <c r="L11">
        <v>1379566800</v>
      </c>
      <c r="M11" s="9">
        <f>(((Table1[[#This Row],[launched_at]]/60)/60)/24)+DATE(1970,1,1)</f>
        <v>41536.208333333336</v>
      </c>
      <c r="N11">
        <v>1383804000</v>
      </c>
      <c r="O11" s="9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LEFT(Table1[[#This Row],[category &amp; sub-category]],SEARCH("/",Table1[[#This Row],[category &amp; sub-category]],1)-1)</f>
        <v>music</v>
      </c>
      <c r="T11" t="str">
        <f>RIGHT(Table1[[#This Row],[category &amp; sub-category]],LEN(Table1[[#This Row],[category &amp; sub-category]])-SEARCH("/",Table1[[#This Row],[category &amp; sub-category]],1))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(Table1[[#This Row],[pledged]]/Table1[[#This Row],[goal]])*100</f>
        <v>266.11538461538464</v>
      </c>
      <c r="G12" t="s">
        <v>20</v>
      </c>
      <c r="H12">
        <v>220</v>
      </c>
      <c r="I12" s="4">
        <f>IFERROR(Table1[[#This Row],[pledged]]/Table1[[#This Row],[backers_count]],0)</f>
        <v>62.9</v>
      </c>
      <c r="J12" t="s">
        <v>21</v>
      </c>
      <c r="K12" t="s">
        <v>22</v>
      </c>
      <c r="L12">
        <v>1281762000</v>
      </c>
      <c r="M12" s="9">
        <f>(((Table1[[#This Row],[launched_at]]/60)/60)/24)+DATE(1970,1,1)</f>
        <v>40404.208333333336</v>
      </c>
      <c r="N12">
        <v>1285909200</v>
      </c>
      <c r="O12" s="9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LEFT(Table1[[#This Row],[category &amp; sub-category]],SEARCH("/",Table1[[#This Row],[category &amp; sub-category]],1)-1)</f>
        <v>film &amp; video</v>
      </c>
      <c r="T12" t="str">
        <f>RIGHT(Table1[[#This Row],[category &amp; sub-category]],LEN(Table1[[#This Row],[category &amp; sub-category]])-SEARCH("/",Table1[[#This Row],[category &amp; sub-category]],1))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(Table1[[#This Row],[pledged]]/Table1[[#This Row],[goal]])*100</f>
        <v>48.095238095238095</v>
      </c>
      <c r="G13" t="s">
        <v>14</v>
      </c>
      <c r="H13">
        <v>27</v>
      </c>
      <c r="I13" s="4">
        <f>IFERROR(Table1[[#This Row],[pledged]]/Table1[[#This Row],[backers_count]],0)</f>
        <v>112.22222222222223</v>
      </c>
      <c r="J13" t="s">
        <v>21</v>
      </c>
      <c r="K13" t="s">
        <v>22</v>
      </c>
      <c r="L13">
        <v>1285045200</v>
      </c>
      <c r="M13" s="9">
        <f>(((Table1[[#This Row],[launched_at]]/60)/60)/24)+DATE(1970,1,1)</f>
        <v>40442.208333333336</v>
      </c>
      <c r="N13">
        <v>1285563600</v>
      </c>
      <c r="O13" s="9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LEFT(Table1[[#This Row],[category &amp; sub-category]],SEARCH("/",Table1[[#This Row],[category &amp; sub-category]],1)-1)</f>
        <v>theater</v>
      </c>
      <c r="T13" t="str">
        <f>RIGHT(Table1[[#This Row],[category &amp; sub-category]],LEN(Table1[[#This Row],[category &amp; sub-category]])-SEARCH("/",Table1[[#This Row],[category &amp; sub-category]],1))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(Table1[[#This Row],[pledged]]/Table1[[#This Row],[goal]])*100</f>
        <v>89.349206349206341</v>
      </c>
      <c r="G14" t="s">
        <v>14</v>
      </c>
      <c r="H14">
        <v>55</v>
      </c>
      <c r="I14" s="4">
        <f>IFERROR(Table1[[#This Row],[pledged]]/Table1[[#This Row],[backers_count]],0)</f>
        <v>102.34545454545454</v>
      </c>
      <c r="J14" t="s">
        <v>21</v>
      </c>
      <c r="K14" t="s">
        <v>22</v>
      </c>
      <c r="L14">
        <v>1571720400</v>
      </c>
      <c r="M14" s="9">
        <f>(((Table1[[#This Row],[launched_at]]/60)/60)/24)+DATE(1970,1,1)</f>
        <v>43760.208333333328</v>
      </c>
      <c r="N14">
        <v>1572411600</v>
      </c>
      <c r="O14" s="9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LEFT(Table1[[#This Row],[category &amp; sub-category]],SEARCH("/",Table1[[#This Row],[category &amp; sub-category]],1)-1)</f>
        <v>film &amp; video</v>
      </c>
      <c r="T14" t="str">
        <f>RIGHT(Table1[[#This Row],[category &amp; sub-category]],LEN(Table1[[#This Row],[category &amp; sub-category]])-SEARCH("/",Table1[[#This Row],[category &amp; sub-category]],1))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(Table1[[#This Row],[pledged]]/Table1[[#This Row],[goal]])*100</f>
        <v>245.11904761904765</v>
      </c>
      <c r="G15" t="s">
        <v>20</v>
      </c>
      <c r="H15">
        <v>98</v>
      </c>
      <c r="I15" s="4">
        <f>IFERROR(Table1[[#This Row],[pledged]]/Table1[[#This Row],[backers_count]],0)</f>
        <v>105.05102040816327</v>
      </c>
      <c r="J15" t="s">
        <v>21</v>
      </c>
      <c r="K15" t="s">
        <v>22</v>
      </c>
      <c r="L15">
        <v>1465621200</v>
      </c>
      <c r="M15" s="9">
        <f>(((Table1[[#This Row],[launched_at]]/60)/60)/24)+DATE(1970,1,1)</f>
        <v>42532.208333333328</v>
      </c>
      <c r="N15">
        <v>1466658000</v>
      </c>
      <c r="O15" s="9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LEFT(Table1[[#This Row],[category &amp; sub-category]],SEARCH("/",Table1[[#This Row],[category &amp; sub-category]],1)-1)</f>
        <v>music</v>
      </c>
      <c r="T15" t="str">
        <f>RIGHT(Table1[[#This Row],[category &amp; sub-category]],LEN(Table1[[#This Row],[category &amp; sub-category]])-SEARCH("/",Table1[[#This Row],[category &amp; sub-category]],1))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(Table1[[#This Row],[pledged]]/Table1[[#This Row],[goal]])*100</f>
        <v>66.769503546099301</v>
      </c>
      <c r="G16" t="s">
        <v>14</v>
      </c>
      <c r="H16">
        <v>200</v>
      </c>
      <c r="I16" s="4">
        <f>IFERROR(Table1[[#This Row],[pledged]]/Table1[[#This Row],[backers_count]],0)</f>
        <v>94.144999999999996</v>
      </c>
      <c r="J16" t="s">
        <v>21</v>
      </c>
      <c r="K16" t="s">
        <v>22</v>
      </c>
      <c r="L16">
        <v>1331013600</v>
      </c>
      <c r="M16" s="9">
        <f>(((Table1[[#This Row],[launched_at]]/60)/60)/24)+DATE(1970,1,1)</f>
        <v>40974.25</v>
      </c>
      <c r="N16">
        <v>1333342800</v>
      </c>
      <c r="O16" s="9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LEFT(Table1[[#This Row],[category &amp; sub-category]],SEARCH("/",Table1[[#This Row],[category &amp; sub-category]],1)-1)</f>
        <v>music</v>
      </c>
      <c r="T16" t="str">
        <f>RIGHT(Table1[[#This Row],[category &amp; sub-category]],LEN(Table1[[#This Row],[category &amp; sub-category]])-SEARCH("/",Table1[[#This Row],[category &amp; sub-category]],1))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(Table1[[#This Row],[pledged]]/Table1[[#This Row],[goal]])*100</f>
        <v>47.307881773399011</v>
      </c>
      <c r="G17" t="s">
        <v>14</v>
      </c>
      <c r="H17">
        <v>452</v>
      </c>
      <c r="I17" s="4">
        <f>IFERROR(Table1[[#This Row],[pledged]]/Table1[[#This Row],[backers_count]],0)</f>
        <v>84.986725663716811</v>
      </c>
      <c r="J17" t="s">
        <v>21</v>
      </c>
      <c r="K17" t="s">
        <v>22</v>
      </c>
      <c r="L17">
        <v>1575957600</v>
      </c>
      <c r="M17" s="9">
        <f>(((Table1[[#This Row],[launched_at]]/60)/60)/24)+DATE(1970,1,1)</f>
        <v>43809.25</v>
      </c>
      <c r="N17">
        <v>1576303200</v>
      </c>
      <c r="O17" s="9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LEFT(Table1[[#This Row],[category &amp; sub-category]],SEARCH("/",Table1[[#This Row],[category &amp; sub-category]],1)-1)</f>
        <v>technology</v>
      </c>
      <c r="T17" t="str">
        <f>RIGHT(Table1[[#This Row],[category &amp; sub-category]],LEN(Table1[[#This Row],[category &amp; sub-category]])-SEARCH("/",Table1[[#This Row],[category &amp; sub-category]],1))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(Table1[[#This Row],[pledged]]/Table1[[#This Row],[goal]])*100</f>
        <v>649.47058823529414</v>
      </c>
      <c r="G18" t="s">
        <v>20</v>
      </c>
      <c r="H18">
        <v>100</v>
      </c>
      <c r="I18" s="4">
        <f>IFERROR(Table1[[#This Row],[pledged]]/Table1[[#This Row],[backers_count]],0)</f>
        <v>110.41</v>
      </c>
      <c r="J18" t="s">
        <v>21</v>
      </c>
      <c r="K18" t="s">
        <v>22</v>
      </c>
      <c r="L18">
        <v>1390370400</v>
      </c>
      <c r="M18" s="9">
        <f>(((Table1[[#This Row],[launched_at]]/60)/60)/24)+DATE(1970,1,1)</f>
        <v>41661.25</v>
      </c>
      <c r="N18">
        <v>1392271200</v>
      </c>
      <c r="O18" s="9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LEFT(Table1[[#This Row],[category &amp; sub-category]],SEARCH("/",Table1[[#This Row],[category &amp; sub-category]],1)-1)</f>
        <v>publishing</v>
      </c>
      <c r="T18" t="str">
        <f>RIGHT(Table1[[#This Row],[category &amp; sub-category]],LEN(Table1[[#This Row],[category &amp; sub-category]])-SEARCH("/",Table1[[#This Row],[category &amp; sub-category]],1))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(Table1[[#This Row],[pledged]]/Table1[[#This Row],[goal]])*100</f>
        <v>159.39125295508273</v>
      </c>
      <c r="G19" t="s">
        <v>20</v>
      </c>
      <c r="H19">
        <v>1249</v>
      </c>
      <c r="I19" s="4">
        <f>IFERROR(Table1[[#This Row],[pledged]]/Table1[[#This Row],[backers_count]],0)</f>
        <v>107.96236989591674</v>
      </c>
      <c r="J19" t="s">
        <v>21</v>
      </c>
      <c r="K19" t="s">
        <v>22</v>
      </c>
      <c r="L19">
        <v>1294812000</v>
      </c>
      <c r="M19" s="9">
        <f>(((Table1[[#This Row],[launched_at]]/60)/60)/24)+DATE(1970,1,1)</f>
        <v>40555.25</v>
      </c>
      <c r="N19">
        <v>1294898400</v>
      </c>
      <c r="O19" s="9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LEFT(Table1[[#This Row],[category &amp; sub-category]],SEARCH("/",Table1[[#This Row],[category &amp; sub-category]],1)-1)</f>
        <v>film &amp; video</v>
      </c>
      <c r="T19" t="str">
        <f>RIGHT(Table1[[#This Row],[category &amp; sub-category]],LEN(Table1[[#This Row],[category &amp; sub-category]])-SEARCH("/",Table1[[#This Row],[category &amp; sub-category]],1))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(Table1[[#This Row],[pledged]]/Table1[[#This Row],[goal]])*100</f>
        <v>66.912087912087912</v>
      </c>
      <c r="G20" t="s">
        <v>74</v>
      </c>
      <c r="H20">
        <v>135</v>
      </c>
      <c r="I20" s="4">
        <f>IFERROR(Table1[[#This Row],[pledged]]/Table1[[#This Row],[backers_count]],0)</f>
        <v>45.103703703703701</v>
      </c>
      <c r="J20" t="s">
        <v>21</v>
      </c>
      <c r="K20" t="s">
        <v>22</v>
      </c>
      <c r="L20">
        <v>1536382800</v>
      </c>
      <c r="M20" s="9">
        <f>(((Table1[[#This Row],[launched_at]]/60)/60)/24)+DATE(1970,1,1)</f>
        <v>43351.208333333328</v>
      </c>
      <c r="N20">
        <v>1537074000</v>
      </c>
      <c r="O20" s="9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LEFT(Table1[[#This Row],[category &amp; sub-category]],SEARCH("/",Table1[[#This Row],[category &amp; sub-category]],1)-1)</f>
        <v>theater</v>
      </c>
      <c r="T20" t="str">
        <f>RIGHT(Table1[[#This Row],[category &amp; sub-category]],LEN(Table1[[#This Row],[category &amp; sub-category]])-SEARCH("/",Table1[[#This Row],[category &amp; sub-category]],1))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(Table1[[#This Row],[pledged]]/Table1[[#This Row],[goal]])*100</f>
        <v>48.529600000000002</v>
      </c>
      <c r="G21" t="s">
        <v>14</v>
      </c>
      <c r="H21">
        <v>674</v>
      </c>
      <c r="I21" s="4">
        <f>IFERROR(Table1[[#This Row],[pledged]]/Table1[[#This Row],[backers_count]],0)</f>
        <v>45.001483679525222</v>
      </c>
      <c r="J21" t="s">
        <v>21</v>
      </c>
      <c r="K21" t="s">
        <v>22</v>
      </c>
      <c r="L21">
        <v>1551679200</v>
      </c>
      <c r="M21" s="9">
        <f>(((Table1[[#This Row],[launched_at]]/60)/60)/24)+DATE(1970,1,1)</f>
        <v>43528.25</v>
      </c>
      <c r="N21">
        <v>1553490000</v>
      </c>
      <c r="O21" s="9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LEFT(Table1[[#This Row],[category &amp; sub-category]],SEARCH("/",Table1[[#This Row],[category &amp; sub-category]],1)-1)</f>
        <v>theater</v>
      </c>
      <c r="T21" t="str">
        <f>RIGHT(Table1[[#This Row],[category &amp; sub-category]],LEN(Table1[[#This Row],[category &amp; sub-category]])-SEARCH("/",Table1[[#This Row],[category &amp; sub-category]],1))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(Table1[[#This Row],[pledged]]/Table1[[#This Row],[goal]])*100</f>
        <v>112.24279210925646</v>
      </c>
      <c r="G22" t="s">
        <v>20</v>
      </c>
      <c r="H22">
        <v>1396</v>
      </c>
      <c r="I22" s="4">
        <f>IFERROR(Table1[[#This Row],[pledged]]/Table1[[#This Row],[backers_count]],0)</f>
        <v>105.97134670487107</v>
      </c>
      <c r="J22" t="s">
        <v>21</v>
      </c>
      <c r="K22" t="s">
        <v>22</v>
      </c>
      <c r="L22">
        <v>1406523600</v>
      </c>
      <c r="M22" s="9">
        <f>(((Table1[[#This Row],[launched_at]]/60)/60)/24)+DATE(1970,1,1)</f>
        <v>41848.208333333336</v>
      </c>
      <c r="N22">
        <v>1406523600</v>
      </c>
      <c r="O22" s="9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LEFT(Table1[[#This Row],[category &amp; sub-category]],SEARCH("/",Table1[[#This Row],[category &amp; sub-category]],1)-1)</f>
        <v>film &amp; video</v>
      </c>
      <c r="T22" t="str">
        <f>RIGHT(Table1[[#This Row],[category &amp; sub-category]],LEN(Table1[[#This Row],[category &amp; sub-category]])-SEARCH("/",Table1[[#This Row],[category &amp; sub-category]],1))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(Table1[[#This Row],[pledged]]/Table1[[#This Row],[goal]])*100</f>
        <v>40.992553191489364</v>
      </c>
      <c r="G23" t="s">
        <v>14</v>
      </c>
      <c r="H23">
        <v>558</v>
      </c>
      <c r="I23" s="4">
        <f>IFERROR(Table1[[#This Row],[pledged]]/Table1[[#This Row],[backers_count]],0)</f>
        <v>69.055555555555557</v>
      </c>
      <c r="J23" t="s">
        <v>21</v>
      </c>
      <c r="K23" t="s">
        <v>22</v>
      </c>
      <c r="L23">
        <v>1313384400</v>
      </c>
      <c r="M23" s="9">
        <f>(((Table1[[#This Row],[launched_at]]/60)/60)/24)+DATE(1970,1,1)</f>
        <v>40770.208333333336</v>
      </c>
      <c r="N23">
        <v>1316322000</v>
      </c>
      <c r="O23" s="9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LEFT(Table1[[#This Row],[category &amp; sub-category]],SEARCH("/",Table1[[#This Row],[category &amp; sub-category]],1)-1)</f>
        <v>theater</v>
      </c>
      <c r="T23" t="str">
        <f>RIGHT(Table1[[#This Row],[category &amp; sub-category]],LEN(Table1[[#This Row],[category &amp; sub-category]])-SEARCH("/",Table1[[#This Row],[category &amp; sub-category]],1))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(Table1[[#This Row],[pledged]]/Table1[[#This Row],[goal]])*100</f>
        <v>128.07106598984771</v>
      </c>
      <c r="G24" t="s">
        <v>20</v>
      </c>
      <c r="H24">
        <v>890</v>
      </c>
      <c r="I24" s="4">
        <f>IFERROR(Table1[[#This Row],[pledged]]/Table1[[#This Row],[backers_count]],0)</f>
        <v>85.044943820224717</v>
      </c>
      <c r="J24" t="s">
        <v>21</v>
      </c>
      <c r="K24" t="s">
        <v>22</v>
      </c>
      <c r="L24">
        <v>1522731600</v>
      </c>
      <c r="M24" s="9">
        <f>(((Table1[[#This Row],[launched_at]]/60)/60)/24)+DATE(1970,1,1)</f>
        <v>43193.208333333328</v>
      </c>
      <c r="N24">
        <v>1524027600</v>
      </c>
      <c r="O24" s="9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LEFT(Table1[[#This Row],[category &amp; sub-category]],SEARCH("/",Table1[[#This Row],[category &amp; sub-category]],1)-1)</f>
        <v>theater</v>
      </c>
      <c r="T24" t="str">
        <f>RIGHT(Table1[[#This Row],[category &amp; sub-category]],LEN(Table1[[#This Row],[category &amp; sub-category]])-SEARCH("/",Table1[[#This Row],[category &amp; sub-category]],1))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(Table1[[#This Row],[pledged]]/Table1[[#This Row],[goal]])*100</f>
        <v>332.04444444444448</v>
      </c>
      <c r="G25" t="s">
        <v>20</v>
      </c>
      <c r="H25">
        <v>142</v>
      </c>
      <c r="I25" s="4">
        <f>IFERROR(Table1[[#This Row],[pledged]]/Table1[[#This Row],[backers_count]],0)</f>
        <v>105.22535211267606</v>
      </c>
      <c r="J25" t="s">
        <v>40</v>
      </c>
      <c r="K25" t="s">
        <v>41</v>
      </c>
      <c r="L25">
        <v>1550124000</v>
      </c>
      <c r="M25" s="9">
        <f>(((Table1[[#This Row],[launched_at]]/60)/60)/24)+DATE(1970,1,1)</f>
        <v>43510.25</v>
      </c>
      <c r="N25">
        <v>1554699600</v>
      </c>
      <c r="O25" s="9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LEFT(Table1[[#This Row],[category &amp; sub-category]],SEARCH("/",Table1[[#This Row],[category &amp; sub-category]],1)-1)</f>
        <v>film &amp; video</v>
      </c>
      <c r="T25" t="str">
        <f>RIGHT(Table1[[#This Row],[category &amp; sub-category]],LEN(Table1[[#This Row],[category &amp; sub-category]])-SEARCH("/",Table1[[#This Row],[category &amp; sub-category]],1))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(Table1[[#This Row],[pledged]]/Table1[[#This Row],[goal]])*100</f>
        <v>112.83225108225108</v>
      </c>
      <c r="G26" t="s">
        <v>20</v>
      </c>
      <c r="H26">
        <v>2673</v>
      </c>
      <c r="I26" s="4">
        <f>IFERROR(Table1[[#This Row],[pledged]]/Table1[[#This Row],[backers_count]],0)</f>
        <v>39.003741114852225</v>
      </c>
      <c r="J26" t="s">
        <v>21</v>
      </c>
      <c r="K26" t="s">
        <v>22</v>
      </c>
      <c r="L26">
        <v>1403326800</v>
      </c>
      <c r="M26" s="9">
        <f>(((Table1[[#This Row],[launched_at]]/60)/60)/24)+DATE(1970,1,1)</f>
        <v>41811.208333333336</v>
      </c>
      <c r="N26">
        <v>1403499600</v>
      </c>
      <c r="O26" s="9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LEFT(Table1[[#This Row],[category &amp; sub-category]],SEARCH("/",Table1[[#This Row],[category &amp; sub-category]],1)-1)</f>
        <v>technology</v>
      </c>
      <c r="T26" t="str">
        <f>RIGHT(Table1[[#This Row],[category &amp; sub-category]],LEN(Table1[[#This Row],[category &amp; sub-category]])-SEARCH("/",Table1[[#This Row],[category &amp; sub-category]],1))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(Table1[[#This Row],[pledged]]/Table1[[#This Row],[goal]])*100</f>
        <v>216.43636363636364</v>
      </c>
      <c r="G27" t="s">
        <v>20</v>
      </c>
      <c r="H27">
        <v>163</v>
      </c>
      <c r="I27" s="4">
        <f>IFERROR(Table1[[#This Row],[pledged]]/Table1[[#This Row],[backers_count]],0)</f>
        <v>73.030674846625772</v>
      </c>
      <c r="J27" t="s">
        <v>21</v>
      </c>
      <c r="K27" t="s">
        <v>22</v>
      </c>
      <c r="L27">
        <v>1305694800</v>
      </c>
      <c r="M27" s="9">
        <f>(((Table1[[#This Row],[launched_at]]/60)/60)/24)+DATE(1970,1,1)</f>
        <v>40681.208333333336</v>
      </c>
      <c r="N27">
        <v>1307422800</v>
      </c>
      <c r="O27" s="9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LEFT(Table1[[#This Row],[category &amp; sub-category]],SEARCH("/",Table1[[#This Row],[category &amp; sub-category]],1)-1)</f>
        <v>games</v>
      </c>
      <c r="T27" t="str">
        <f>RIGHT(Table1[[#This Row],[category &amp; sub-category]],LEN(Table1[[#This Row],[category &amp; sub-category]])-SEARCH("/",Table1[[#This Row],[category &amp; sub-category]],1))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(Table1[[#This Row],[pledged]]/Table1[[#This Row],[goal]])*100</f>
        <v>48.199069767441863</v>
      </c>
      <c r="G28" t="s">
        <v>74</v>
      </c>
      <c r="H28">
        <v>1480</v>
      </c>
      <c r="I28" s="4">
        <f>IFERROR(Table1[[#This Row],[pledged]]/Table1[[#This Row],[backers_count]],0)</f>
        <v>35.009459459459457</v>
      </c>
      <c r="J28" t="s">
        <v>21</v>
      </c>
      <c r="K28" t="s">
        <v>22</v>
      </c>
      <c r="L28">
        <v>1533013200</v>
      </c>
      <c r="M28" s="9">
        <f>(((Table1[[#This Row],[launched_at]]/60)/60)/24)+DATE(1970,1,1)</f>
        <v>43312.208333333328</v>
      </c>
      <c r="N28">
        <v>1535346000</v>
      </c>
      <c r="O28" s="9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LEFT(Table1[[#This Row],[category &amp; sub-category]],SEARCH("/",Table1[[#This Row],[category &amp; sub-category]],1)-1)</f>
        <v>theater</v>
      </c>
      <c r="T28" t="str">
        <f>RIGHT(Table1[[#This Row],[category &amp; sub-category]],LEN(Table1[[#This Row],[category &amp; sub-category]])-SEARCH("/",Table1[[#This Row],[category &amp; sub-category]],1))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(Table1[[#This Row],[pledged]]/Table1[[#This Row],[goal]])*100</f>
        <v>79.95</v>
      </c>
      <c r="G29" t="s">
        <v>14</v>
      </c>
      <c r="H29">
        <v>15</v>
      </c>
      <c r="I29" s="4">
        <f>IFERROR(Table1[[#This Row],[pledged]]/Table1[[#This Row],[backers_count]],0)</f>
        <v>106.6</v>
      </c>
      <c r="J29" t="s">
        <v>21</v>
      </c>
      <c r="K29" t="s">
        <v>22</v>
      </c>
      <c r="L29">
        <v>1443848400</v>
      </c>
      <c r="M29" s="9">
        <f>(((Table1[[#This Row],[launched_at]]/60)/60)/24)+DATE(1970,1,1)</f>
        <v>42280.208333333328</v>
      </c>
      <c r="N29">
        <v>1444539600</v>
      </c>
      <c r="O29" s="9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LEFT(Table1[[#This Row],[category &amp; sub-category]],SEARCH("/",Table1[[#This Row],[category &amp; sub-category]],1)-1)</f>
        <v>music</v>
      </c>
      <c r="T29" t="str">
        <f>RIGHT(Table1[[#This Row],[category &amp; sub-category]],LEN(Table1[[#This Row],[category &amp; sub-category]])-SEARCH("/",Table1[[#This Row],[category &amp; sub-category]],1))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(Table1[[#This Row],[pledged]]/Table1[[#This Row],[goal]])*100</f>
        <v>105.22553516819573</v>
      </c>
      <c r="G30" t="s">
        <v>20</v>
      </c>
      <c r="H30">
        <v>2220</v>
      </c>
      <c r="I30" s="4">
        <f>IFERROR(Table1[[#This Row],[pledged]]/Table1[[#This Row],[backers_count]],0)</f>
        <v>61.997747747747745</v>
      </c>
      <c r="J30" t="s">
        <v>21</v>
      </c>
      <c r="K30" t="s">
        <v>22</v>
      </c>
      <c r="L30">
        <v>1265695200</v>
      </c>
      <c r="M30" s="9">
        <f>(((Table1[[#This Row],[launched_at]]/60)/60)/24)+DATE(1970,1,1)</f>
        <v>40218.25</v>
      </c>
      <c r="N30">
        <v>1267682400</v>
      </c>
      <c r="O30" s="9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LEFT(Table1[[#This Row],[category &amp; sub-category]],SEARCH("/",Table1[[#This Row],[category &amp; sub-category]],1)-1)</f>
        <v>theater</v>
      </c>
      <c r="T30" t="str">
        <f>RIGHT(Table1[[#This Row],[category &amp; sub-category]],LEN(Table1[[#This Row],[category &amp; sub-category]])-SEARCH("/",Table1[[#This Row],[category &amp; sub-category]],1))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(Table1[[#This Row],[pledged]]/Table1[[#This Row],[goal]])*100</f>
        <v>328.89978213507629</v>
      </c>
      <c r="G31" t="s">
        <v>20</v>
      </c>
      <c r="H31">
        <v>1606</v>
      </c>
      <c r="I31" s="4">
        <f>IFERROR(Table1[[#This Row],[pledged]]/Table1[[#This Row],[backers_count]],0)</f>
        <v>94.000622665006233</v>
      </c>
      <c r="J31" t="s">
        <v>98</v>
      </c>
      <c r="K31" t="s">
        <v>99</v>
      </c>
      <c r="L31">
        <v>1532062800</v>
      </c>
      <c r="M31" s="9">
        <f>(((Table1[[#This Row],[launched_at]]/60)/60)/24)+DATE(1970,1,1)</f>
        <v>43301.208333333328</v>
      </c>
      <c r="N31">
        <v>1535518800</v>
      </c>
      <c r="O31" s="9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LEFT(Table1[[#This Row],[category &amp; sub-category]],SEARCH("/",Table1[[#This Row],[category &amp; sub-category]],1)-1)</f>
        <v>film &amp; video</v>
      </c>
      <c r="T31" t="str">
        <f>RIGHT(Table1[[#This Row],[category &amp; sub-category]],LEN(Table1[[#This Row],[category &amp; sub-category]])-SEARCH("/",Table1[[#This Row],[category &amp; sub-category]],1))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(Table1[[#This Row],[pledged]]/Table1[[#This Row],[goal]])*100</f>
        <v>160.61111111111111</v>
      </c>
      <c r="G32" t="s">
        <v>20</v>
      </c>
      <c r="H32">
        <v>129</v>
      </c>
      <c r="I32" s="4">
        <f>IFERROR(Table1[[#This Row],[pledged]]/Table1[[#This Row],[backers_count]],0)</f>
        <v>112.05426356589147</v>
      </c>
      <c r="J32" t="s">
        <v>21</v>
      </c>
      <c r="K32" t="s">
        <v>22</v>
      </c>
      <c r="L32">
        <v>1558674000</v>
      </c>
      <c r="M32" s="9">
        <f>(((Table1[[#This Row],[launched_at]]/60)/60)/24)+DATE(1970,1,1)</f>
        <v>43609.208333333328</v>
      </c>
      <c r="N32">
        <v>1559106000</v>
      </c>
      <c r="O32" s="9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LEFT(Table1[[#This Row],[category &amp; sub-category]],SEARCH("/",Table1[[#This Row],[category &amp; sub-category]],1)-1)</f>
        <v>film &amp; video</v>
      </c>
      <c r="T32" t="str">
        <f>RIGHT(Table1[[#This Row],[category &amp; sub-category]],LEN(Table1[[#This Row],[category &amp; sub-category]])-SEARCH("/",Table1[[#This Row],[category &amp; sub-category]],1))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(Table1[[#This Row],[pledged]]/Table1[[#This Row],[goal]])*100</f>
        <v>310</v>
      </c>
      <c r="G33" t="s">
        <v>20</v>
      </c>
      <c r="H33">
        <v>226</v>
      </c>
      <c r="I33" s="4">
        <f>IFERROR(Table1[[#This Row],[pledged]]/Table1[[#This Row],[backers_count]],0)</f>
        <v>48.008849557522126</v>
      </c>
      <c r="J33" t="s">
        <v>40</v>
      </c>
      <c r="K33" t="s">
        <v>41</v>
      </c>
      <c r="L33">
        <v>1451973600</v>
      </c>
      <c r="M33" s="9">
        <f>(((Table1[[#This Row],[launched_at]]/60)/60)/24)+DATE(1970,1,1)</f>
        <v>42374.25</v>
      </c>
      <c r="N33">
        <v>1454392800</v>
      </c>
      <c r="O33" s="9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LEFT(Table1[[#This Row],[category &amp; sub-category]],SEARCH("/",Table1[[#This Row],[category &amp; sub-category]],1)-1)</f>
        <v>games</v>
      </c>
      <c r="T33" t="str">
        <f>RIGHT(Table1[[#This Row],[category &amp; sub-category]],LEN(Table1[[#This Row],[category &amp; sub-category]])-SEARCH("/",Table1[[#This Row],[category &amp; sub-category]],1))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(Table1[[#This Row],[pledged]]/Table1[[#This Row],[goal]])*100</f>
        <v>86.807920792079202</v>
      </c>
      <c r="G34" t="s">
        <v>14</v>
      </c>
      <c r="H34">
        <v>2307</v>
      </c>
      <c r="I34" s="4">
        <f>IFERROR(Table1[[#This Row],[pledged]]/Table1[[#This Row],[backers_count]],0)</f>
        <v>38.004334633723452</v>
      </c>
      <c r="J34" t="s">
        <v>107</v>
      </c>
      <c r="K34" t="s">
        <v>108</v>
      </c>
      <c r="L34">
        <v>1515564000</v>
      </c>
      <c r="M34" s="9">
        <f>(((Table1[[#This Row],[launched_at]]/60)/60)/24)+DATE(1970,1,1)</f>
        <v>43110.25</v>
      </c>
      <c r="N34">
        <v>1517896800</v>
      </c>
      <c r="O34" s="9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LEFT(Table1[[#This Row],[category &amp; sub-category]],SEARCH("/",Table1[[#This Row],[category &amp; sub-category]],1)-1)</f>
        <v>film &amp; video</v>
      </c>
      <c r="T34" t="str">
        <f>RIGHT(Table1[[#This Row],[category &amp; sub-category]],LEN(Table1[[#This Row],[category &amp; sub-category]])-SEARCH("/",Table1[[#This Row],[category &amp; sub-category]],1))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(Table1[[#This Row],[pledged]]/Table1[[#This Row],[goal]])*100</f>
        <v>377.82071713147411</v>
      </c>
      <c r="G35" t="s">
        <v>20</v>
      </c>
      <c r="H35">
        <v>5419</v>
      </c>
      <c r="I35" s="4">
        <f>IFERROR(Table1[[#This Row],[pledged]]/Table1[[#This Row],[backers_count]],0)</f>
        <v>35.000184535892231</v>
      </c>
      <c r="J35" t="s">
        <v>21</v>
      </c>
      <c r="K35" t="s">
        <v>22</v>
      </c>
      <c r="L35">
        <v>1412485200</v>
      </c>
      <c r="M35" s="9">
        <f>(((Table1[[#This Row],[launched_at]]/60)/60)/24)+DATE(1970,1,1)</f>
        <v>41917.208333333336</v>
      </c>
      <c r="N35">
        <v>1415685600</v>
      </c>
      <c r="O35" s="9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LEFT(Table1[[#This Row],[category &amp; sub-category]],SEARCH("/",Table1[[#This Row],[category &amp; sub-category]],1)-1)</f>
        <v>theater</v>
      </c>
      <c r="T35" t="str">
        <f>RIGHT(Table1[[#This Row],[category &amp; sub-category]],LEN(Table1[[#This Row],[category &amp; sub-category]])-SEARCH("/",Table1[[#This Row],[category &amp; sub-category]],1))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(Table1[[#This Row],[pledged]]/Table1[[#This Row],[goal]])*100</f>
        <v>150.80645161290323</v>
      </c>
      <c r="G36" t="s">
        <v>20</v>
      </c>
      <c r="H36">
        <v>165</v>
      </c>
      <c r="I36" s="4">
        <f>IFERROR(Table1[[#This Row],[pledged]]/Table1[[#This Row],[backers_count]],0)</f>
        <v>85</v>
      </c>
      <c r="J36" t="s">
        <v>21</v>
      </c>
      <c r="K36" t="s">
        <v>22</v>
      </c>
      <c r="L36">
        <v>1490245200</v>
      </c>
      <c r="M36" s="9">
        <f>(((Table1[[#This Row],[launched_at]]/60)/60)/24)+DATE(1970,1,1)</f>
        <v>42817.208333333328</v>
      </c>
      <c r="N36">
        <v>1490677200</v>
      </c>
      <c r="O36" s="9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LEFT(Table1[[#This Row],[category &amp; sub-category]],SEARCH("/",Table1[[#This Row],[category &amp; sub-category]],1)-1)</f>
        <v>film &amp; video</v>
      </c>
      <c r="T36" t="str">
        <f>RIGHT(Table1[[#This Row],[category &amp; sub-category]],LEN(Table1[[#This Row],[category &amp; sub-category]])-SEARCH("/",Table1[[#This Row],[category &amp; sub-category]],1))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(Table1[[#This Row],[pledged]]/Table1[[#This Row],[goal]])*100</f>
        <v>150.30119521912351</v>
      </c>
      <c r="G37" t="s">
        <v>20</v>
      </c>
      <c r="H37">
        <v>1965</v>
      </c>
      <c r="I37" s="4">
        <f>IFERROR(Table1[[#This Row],[pledged]]/Table1[[#This Row],[backers_count]],0)</f>
        <v>95.993893129770996</v>
      </c>
      <c r="J37" t="s">
        <v>36</v>
      </c>
      <c r="K37" t="s">
        <v>37</v>
      </c>
      <c r="L37">
        <v>1547877600</v>
      </c>
      <c r="M37" s="9">
        <f>(((Table1[[#This Row],[launched_at]]/60)/60)/24)+DATE(1970,1,1)</f>
        <v>43484.25</v>
      </c>
      <c r="N37">
        <v>1551506400</v>
      </c>
      <c r="O37" s="9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LEFT(Table1[[#This Row],[category &amp; sub-category]],SEARCH("/",Table1[[#This Row],[category &amp; sub-category]],1)-1)</f>
        <v>film &amp; video</v>
      </c>
      <c r="T37" t="str">
        <f>RIGHT(Table1[[#This Row],[category &amp; sub-category]],LEN(Table1[[#This Row],[category &amp; sub-category]])-SEARCH("/",Table1[[#This Row],[category &amp; sub-category]],1))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(Table1[[#This Row],[pledged]]/Table1[[#This Row],[goal]])*100</f>
        <v>157.28571428571431</v>
      </c>
      <c r="G38" t="s">
        <v>20</v>
      </c>
      <c r="H38">
        <v>16</v>
      </c>
      <c r="I38" s="4">
        <f>IFERROR(Table1[[#This Row],[pledged]]/Table1[[#This Row],[backers_count]],0)</f>
        <v>68.8125</v>
      </c>
      <c r="J38" t="s">
        <v>21</v>
      </c>
      <c r="K38" t="s">
        <v>22</v>
      </c>
      <c r="L38">
        <v>1298700000</v>
      </c>
      <c r="M38" s="9">
        <f>(((Table1[[#This Row],[launched_at]]/60)/60)/24)+DATE(1970,1,1)</f>
        <v>40600.25</v>
      </c>
      <c r="N38">
        <v>1300856400</v>
      </c>
      <c r="O38" s="9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LEFT(Table1[[#This Row],[category &amp; sub-category]],SEARCH("/",Table1[[#This Row],[category &amp; sub-category]],1)-1)</f>
        <v>theater</v>
      </c>
      <c r="T38" t="str">
        <f>RIGHT(Table1[[#This Row],[category &amp; sub-category]],LEN(Table1[[#This Row],[category &amp; sub-category]])-SEARCH("/",Table1[[#This Row],[category &amp; sub-category]],1))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(Table1[[#This Row],[pledged]]/Table1[[#This Row],[goal]])*100</f>
        <v>139.98765432098764</v>
      </c>
      <c r="G39" t="s">
        <v>20</v>
      </c>
      <c r="H39">
        <v>107</v>
      </c>
      <c r="I39" s="4">
        <f>IFERROR(Table1[[#This Row],[pledged]]/Table1[[#This Row],[backers_count]],0)</f>
        <v>105.97196261682242</v>
      </c>
      <c r="J39" t="s">
        <v>21</v>
      </c>
      <c r="K39" t="s">
        <v>22</v>
      </c>
      <c r="L39">
        <v>1570338000</v>
      </c>
      <c r="M39" s="9">
        <f>(((Table1[[#This Row],[launched_at]]/60)/60)/24)+DATE(1970,1,1)</f>
        <v>43744.208333333328</v>
      </c>
      <c r="N39">
        <v>1573192800</v>
      </c>
      <c r="O39" s="9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LEFT(Table1[[#This Row],[category &amp; sub-category]],SEARCH("/",Table1[[#This Row],[category &amp; sub-category]],1)-1)</f>
        <v>publishing</v>
      </c>
      <c r="T39" t="str">
        <f>RIGHT(Table1[[#This Row],[category &amp; sub-category]],LEN(Table1[[#This Row],[category &amp; sub-category]])-SEARCH("/",Table1[[#This Row],[category &amp; sub-category]],1))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(Table1[[#This Row],[pledged]]/Table1[[#This Row],[goal]])*100</f>
        <v>325.32258064516128</v>
      </c>
      <c r="G40" t="s">
        <v>20</v>
      </c>
      <c r="H40">
        <v>134</v>
      </c>
      <c r="I40" s="4">
        <f>IFERROR(Table1[[#This Row],[pledged]]/Table1[[#This Row],[backers_count]],0)</f>
        <v>75.261194029850742</v>
      </c>
      <c r="J40" t="s">
        <v>21</v>
      </c>
      <c r="K40" t="s">
        <v>22</v>
      </c>
      <c r="L40">
        <v>1287378000</v>
      </c>
      <c r="M40" s="9">
        <f>(((Table1[[#This Row],[launched_at]]/60)/60)/24)+DATE(1970,1,1)</f>
        <v>40469.208333333336</v>
      </c>
      <c r="N40">
        <v>1287810000</v>
      </c>
      <c r="O40" s="9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LEFT(Table1[[#This Row],[category &amp; sub-category]],SEARCH("/",Table1[[#This Row],[category &amp; sub-category]],1)-1)</f>
        <v>photography</v>
      </c>
      <c r="T40" t="str">
        <f>RIGHT(Table1[[#This Row],[category &amp; sub-category]],LEN(Table1[[#This Row],[category &amp; sub-category]])-SEARCH("/",Table1[[#This Row],[category &amp; sub-category]],1))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(Table1[[#This Row],[pledged]]/Table1[[#This Row],[goal]])*100</f>
        <v>50.777777777777779</v>
      </c>
      <c r="G41" t="s">
        <v>14</v>
      </c>
      <c r="H41">
        <v>88</v>
      </c>
      <c r="I41" s="4">
        <f>IFERROR(Table1[[#This Row],[pledged]]/Table1[[#This Row],[backers_count]],0)</f>
        <v>57.125</v>
      </c>
      <c r="J41" t="s">
        <v>36</v>
      </c>
      <c r="K41" t="s">
        <v>37</v>
      </c>
      <c r="L41">
        <v>1361772000</v>
      </c>
      <c r="M41" s="9">
        <f>(((Table1[[#This Row],[launched_at]]/60)/60)/24)+DATE(1970,1,1)</f>
        <v>41330.25</v>
      </c>
      <c r="N41">
        <v>1362978000</v>
      </c>
      <c r="O41" s="9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LEFT(Table1[[#This Row],[category &amp; sub-category]],SEARCH("/",Table1[[#This Row],[category &amp; sub-category]],1)-1)</f>
        <v>theater</v>
      </c>
      <c r="T41" t="str">
        <f>RIGHT(Table1[[#This Row],[category &amp; sub-category]],LEN(Table1[[#This Row],[category &amp; sub-category]])-SEARCH("/",Table1[[#This Row],[category &amp; sub-category]],1))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(Table1[[#This Row],[pledged]]/Table1[[#This Row],[goal]])*100</f>
        <v>169.06818181818181</v>
      </c>
      <c r="G42" t="s">
        <v>20</v>
      </c>
      <c r="H42">
        <v>198</v>
      </c>
      <c r="I42" s="4">
        <f>IFERROR(Table1[[#This Row],[pledged]]/Table1[[#This Row],[backers_count]],0)</f>
        <v>75.141414141414145</v>
      </c>
      <c r="J42" t="s">
        <v>21</v>
      </c>
      <c r="K42" t="s">
        <v>22</v>
      </c>
      <c r="L42">
        <v>1275714000</v>
      </c>
      <c r="M42" s="9">
        <f>(((Table1[[#This Row],[launched_at]]/60)/60)/24)+DATE(1970,1,1)</f>
        <v>40334.208333333336</v>
      </c>
      <c r="N42">
        <v>1277355600</v>
      </c>
      <c r="O42" s="9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LEFT(Table1[[#This Row],[category &amp; sub-category]],SEARCH("/",Table1[[#This Row],[category &amp; sub-category]],1)-1)</f>
        <v>technology</v>
      </c>
      <c r="T42" t="str">
        <f>RIGHT(Table1[[#This Row],[category &amp; sub-category]],LEN(Table1[[#This Row],[category &amp; sub-category]])-SEARCH("/",Table1[[#This Row],[category &amp; sub-category]],1))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(Table1[[#This Row],[pledged]]/Table1[[#This Row],[goal]])*100</f>
        <v>212.92857142857144</v>
      </c>
      <c r="G43" t="s">
        <v>20</v>
      </c>
      <c r="H43">
        <v>111</v>
      </c>
      <c r="I43" s="4">
        <f>IFERROR(Table1[[#This Row],[pledged]]/Table1[[#This Row],[backers_count]],0)</f>
        <v>107.42342342342343</v>
      </c>
      <c r="J43" t="s">
        <v>107</v>
      </c>
      <c r="K43" t="s">
        <v>108</v>
      </c>
      <c r="L43">
        <v>1346734800</v>
      </c>
      <c r="M43" s="9">
        <f>(((Table1[[#This Row],[launched_at]]/60)/60)/24)+DATE(1970,1,1)</f>
        <v>41156.208333333336</v>
      </c>
      <c r="N43">
        <v>1348981200</v>
      </c>
      <c r="O43" s="9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LEFT(Table1[[#This Row],[category &amp; sub-category]],SEARCH("/",Table1[[#This Row],[category &amp; sub-category]],1)-1)</f>
        <v>music</v>
      </c>
      <c r="T43" t="str">
        <f>RIGHT(Table1[[#This Row],[category &amp; sub-category]],LEN(Table1[[#This Row],[category &amp; sub-category]])-SEARCH("/",Table1[[#This Row],[category &amp; sub-category]],1))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(Table1[[#This Row],[pledged]]/Table1[[#This Row],[goal]])*100</f>
        <v>443.94444444444446</v>
      </c>
      <c r="G44" t="s">
        <v>20</v>
      </c>
      <c r="H44">
        <v>222</v>
      </c>
      <c r="I44" s="4">
        <f>IFERROR(Table1[[#This Row],[pledged]]/Table1[[#This Row],[backers_count]],0)</f>
        <v>35.995495495495497</v>
      </c>
      <c r="J44" t="s">
        <v>21</v>
      </c>
      <c r="K44" t="s">
        <v>22</v>
      </c>
      <c r="L44">
        <v>1309755600</v>
      </c>
      <c r="M44" s="9">
        <f>(((Table1[[#This Row],[launched_at]]/60)/60)/24)+DATE(1970,1,1)</f>
        <v>40728.208333333336</v>
      </c>
      <c r="N44">
        <v>1310533200</v>
      </c>
      <c r="O44" s="9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LEFT(Table1[[#This Row],[category &amp; sub-category]],SEARCH("/",Table1[[#This Row],[category &amp; sub-category]],1)-1)</f>
        <v>food</v>
      </c>
      <c r="T44" t="str">
        <f>RIGHT(Table1[[#This Row],[category &amp; sub-category]],LEN(Table1[[#This Row],[category &amp; sub-category]])-SEARCH("/",Table1[[#This Row],[category &amp; sub-category]],1))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(Table1[[#This Row],[pledged]]/Table1[[#This Row],[goal]])*100</f>
        <v>185.9390243902439</v>
      </c>
      <c r="G45" t="s">
        <v>20</v>
      </c>
      <c r="H45">
        <v>6212</v>
      </c>
      <c r="I45" s="4">
        <f>IFERROR(Table1[[#This Row],[pledged]]/Table1[[#This Row],[backers_count]],0)</f>
        <v>26.998873148744366</v>
      </c>
      <c r="J45" t="s">
        <v>21</v>
      </c>
      <c r="K45" t="s">
        <v>22</v>
      </c>
      <c r="L45">
        <v>1406178000</v>
      </c>
      <c r="M45" s="9">
        <f>(((Table1[[#This Row],[launched_at]]/60)/60)/24)+DATE(1970,1,1)</f>
        <v>41844.208333333336</v>
      </c>
      <c r="N45">
        <v>1407560400</v>
      </c>
      <c r="O45" s="9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LEFT(Table1[[#This Row],[category &amp; sub-category]],SEARCH("/",Table1[[#This Row],[category &amp; sub-category]],1)-1)</f>
        <v>publishing</v>
      </c>
      <c r="T45" t="str">
        <f>RIGHT(Table1[[#This Row],[category &amp; sub-category]],LEN(Table1[[#This Row],[category &amp; sub-category]])-SEARCH("/",Table1[[#This Row],[category &amp; sub-category]],1))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(Table1[[#This Row],[pledged]]/Table1[[#This Row],[goal]])*100</f>
        <v>658.8125</v>
      </c>
      <c r="G46" t="s">
        <v>20</v>
      </c>
      <c r="H46">
        <v>98</v>
      </c>
      <c r="I46" s="4">
        <f>IFERROR(Table1[[#This Row],[pledged]]/Table1[[#This Row],[backers_count]],0)</f>
        <v>107.56122448979592</v>
      </c>
      <c r="J46" t="s">
        <v>36</v>
      </c>
      <c r="K46" t="s">
        <v>37</v>
      </c>
      <c r="L46">
        <v>1552798800</v>
      </c>
      <c r="M46" s="9">
        <f>(((Table1[[#This Row],[launched_at]]/60)/60)/24)+DATE(1970,1,1)</f>
        <v>43541.208333333328</v>
      </c>
      <c r="N46">
        <v>1552885200</v>
      </c>
      <c r="O46" s="9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LEFT(Table1[[#This Row],[category &amp; sub-category]],SEARCH("/",Table1[[#This Row],[category &amp; sub-category]],1)-1)</f>
        <v>publishing</v>
      </c>
      <c r="T46" t="str">
        <f>RIGHT(Table1[[#This Row],[category &amp; sub-category]],LEN(Table1[[#This Row],[category &amp; sub-category]])-SEARCH("/",Table1[[#This Row],[category &amp; sub-category]],1))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(Table1[[#This Row],[pledged]]/Table1[[#This Row],[goal]])*100</f>
        <v>47.684210526315788</v>
      </c>
      <c r="G47" t="s">
        <v>14</v>
      </c>
      <c r="H47">
        <v>48</v>
      </c>
      <c r="I47" s="4">
        <f>IFERROR(Table1[[#This Row],[pledged]]/Table1[[#This Row],[backers_count]],0)</f>
        <v>94.375</v>
      </c>
      <c r="J47" t="s">
        <v>21</v>
      </c>
      <c r="K47" t="s">
        <v>22</v>
      </c>
      <c r="L47">
        <v>1478062800</v>
      </c>
      <c r="M47" s="9">
        <f>(((Table1[[#This Row],[launched_at]]/60)/60)/24)+DATE(1970,1,1)</f>
        <v>42676.208333333328</v>
      </c>
      <c r="N47">
        <v>1479362400</v>
      </c>
      <c r="O47" s="9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LEFT(Table1[[#This Row],[category &amp; sub-category]],SEARCH("/",Table1[[#This Row],[category &amp; sub-category]],1)-1)</f>
        <v>theater</v>
      </c>
      <c r="T47" t="str">
        <f>RIGHT(Table1[[#This Row],[category &amp; sub-category]],LEN(Table1[[#This Row],[category &amp; sub-category]])-SEARCH("/",Table1[[#This Row],[category &amp; sub-category]],1))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(Table1[[#This Row],[pledged]]/Table1[[#This Row],[goal]])*100</f>
        <v>114.78378378378378</v>
      </c>
      <c r="G48" t="s">
        <v>20</v>
      </c>
      <c r="H48">
        <v>92</v>
      </c>
      <c r="I48" s="4">
        <f>IFERROR(Table1[[#This Row],[pledged]]/Table1[[#This Row],[backers_count]],0)</f>
        <v>46.163043478260867</v>
      </c>
      <c r="J48" t="s">
        <v>21</v>
      </c>
      <c r="K48" t="s">
        <v>22</v>
      </c>
      <c r="L48">
        <v>1278565200</v>
      </c>
      <c r="M48" s="9">
        <f>(((Table1[[#This Row],[launched_at]]/60)/60)/24)+DATE(1970,1,1)</f>
        <v>40367.208333333336</v>
      </c>
      <c r="N48">
        <v>1280552400</v>
      </c>
      <c r="O48" s="9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LEFT(Table1[[#This Row],[category &amp; sub-category]],SEARCH("/",Table1[[#This Row],[category &amp; sub-category]],1)-1)</f>
        <v>music</v>
      </c>
      <c r="T48" t="str">
        <f>RIGHT(Table1[[#This Row],[category &amp; sub-category]],LEN(Table1[[#This Row],[category &amp; sub-category]])-SEARCH("/",Table1[[#This Row],[category &amp; sub-category]],1))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(Table1[[#This Row],[pledged]]/Table1[[#This Row],[goal]])*100</f>
        <v>475.26666666666665</v>
      </c>
      <c r="G49" t="s">
        <v>20</v>
      </c>
      <c r="H49">
        <v>149</v>
      </c>
      <c r="I49" s="4">
        <f>IFERROR(Table1[[#This Row],[pledged]]/Table1[[#This Row],[backers_count]],0)</f>
        <v>47.845637583892618</v>
      </c>
      <c r="J49" t="s">
        <v>21</v>
      </c>
      <c r="K49" t="s">
        <v>22</v>
      </c>
      <c r="L49">
        <v>1396069200</v>
      </c>
      <c r="M49" s="9">
        <f>(((Table1[[#This Row],[launched_at]]/60)/60)/24)+DATE(1970,1,1)</f>
        <v>41727.208333333336</v>
      </c>
      <c r="N49">
        <v>1398661200</v>
      </c>
      <c r="O49" s="9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LEFT(Table1[[#This Row],[category &amp; sub-category]],SEARCH("/",Table1[[#This Row],[category &amp; sub-category]],1)-1)</f>
        <v>theater</v>
      </c>
      <c r="T49" t="str">
        <f>RIGHT(Table1[[#This Row],[category &amp; sub-category]],LEN(Table1[[#This Row],[category &amp; sub-category]])-SEARCH("/",Table1[[#This Row],[category &amp; sub-category]],1))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(Table1[[#This Row],[pledged]]/Table1[[#This Row],[goal]])*100</f>
        <v>386.97297297297297</v>
      </c>
      <c r="G50" t="s">
        <v>20</v>
      </c>
      <c r="H50">
        <v>2431</v>
      </c>
      <c r="I50" s="4">
        <f>IFERROR(Table1[[#This Row],[pledged]]/Table1[[#This Row],[backers_count]],0)</f>
        <v>53.007815713698065</v>
      </c>
      <c r="J50" t="s">
        <v>21</v>
      </c>
      <c r="K50" t="s">
        <v>22</v>
      </c>
      <c r="L50">
        <v>1435208400</v>
      </c>
      <c r="M50" s="9">
        <f>(((Table1[[#This Row],[launched_at]]/60)/60)/24)+DATE(1970,1,1)</f>
        <v>42180.208333333328</v>
      </c>
      <c r="N50">
        <v>1436245200</v>
      </c>
      <c r="O50" s="9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LEFT(Table1[[#This Row],[category &amp; sub-category]],SEARCH("/",Table1[[#This Row],[category &amp; sub-category]],1)-1)</f>
        <v>theater</v>
      </c>
      <c r="T50" t="str">
        <f>RIGHT(Table1[[#This Row],[category &amp; sub-category]],LEN(Table1[[#This Row],[category &amp; sub-category]])-SEARCH("/",Table1[[#This Row],[category &amp; sub-category]],1))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(Table1[[#This Row],[pledged]]/Table1[[#This Row],[goal]])*100</f>
        <v>189.625</v>
      </c>
      <c r="G51" t="s">
        <v>20</v>
      </c>
      <c r="H51">
        <v>303</v>
      </c>
      <c r="I51" s="4">
        <f>IFERROR(Table1[[#This Row],[pledged]]/Table1[[#This Row],[backers_count]],0)</f>
        <v>45.059405940594061</v>
      </c>
      <c r="J51" t="s">
        <v>21</v>
      </c>
      <c r="K51" t="s">
        <v>22</v>
      </c>
      <c r="L51">
        <v>1571547600</v>
      </c>
      <c r="M51" s="9">
        <f>(((Table1[[#This Row],[launched_at]]/60)/60)/24)+DATE(1970,1,1)</f>
        <v>43758.208333333328</v>
      </c>
      <c r="N51">
        <v>1575439200</v>
      </c>
      <c r="O51" s="9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LEFT(Table1[[#This Row],[category &amp; sub-category]],SEARCH("/",Table1[[#This Row],[category &amp; sub-category]],1)-1)</f>
        <v>music</v>
      </c>
      <c r="T51" t="str">
        <f>RIGHT(Table1[[#This Row],[category &amp; sub-category]],LEN(Table1[[#This Row],[category &amp; sub-category]])-SEARCH("/",Table1[[#This Row],[category &amp; sub-category]],1))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(Table1[[#This Row],[pledged]]/Table1[[#This Row],[goal]])*100</f>
        <v>2</v>
      </c>
      <c r="G52" t="s">
        <v>14</v>
      </c>
      <c r="H52">
        <v>1</v>
      </c>
      <c r="I52" s="4">
        <f>IFERROR(Table1[[#This Row],[pledged]]/Table1[[#This Row],[backers_count]],0)</f>
        <v>2</v>
      </c>
      <c r="J52" t="s">
        <v>107</v>
      </c>
      <c r="K52" t="s">
        <v>108</v>
      </c>
      <c r="L52">
        <v>1375333200</v>
      </c>
      <c r="M52" s="9">
        <f>(((Table1[[#This Row],[launched_at]]/60)/60)/24)+DATE(1970,1,1)</f>
        <v>41487.208333333336</v>
      </c>
      <c r="N52">
        <v>1377752400</v>
      </c>
      <c r="O52" s="9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LEFT(Table1[[#This Row],[category &amp; sub-category]],SEARCH("/",Table1[[#This Row],[category &amp; sub-category]],1)-1)</f>
        <v>music</v>
      </c>
      <c r="T52" t="str">
        <f>RIGHT(Table1[[#This Row],[category &amp; sub-category]],LEN(Table1[[#This Row],[category &amp; sub-category]])-SEARCH("/",Table1[[#This Row],[category &amp; sub-category]],1))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(Table1[[#This Row],[pledged]]/Table1[[#This Row],[goal]])*100</f>
        <v>91.867805186590772</v>
      </c>
      <c r="G53" t="s">
        <v>14</v>
      </c>
      <c r="H53">
        <v>1467</v>
      </c>
      <c r="I53" s="4">
        <f>IFERROR(Table1[[#This Row],[pledged]]/Table1[[#This Row],[backers_count]],0)</f>
        <v>99.006816632583508</v>
      </c>
      <c r="J53" t="s">
        <v>40</v>
      </c>
      <c r="K53" t="s">
        <v>41</v>
      </c>
      <c r="L53">
        <v>1332824400</v>
      </c>
      <c r="M53" s="9">
        <f>(((Table1[[#This Row],[launched_at]]/60)/60)/24)+DATE(1970,1,1)</f>
        <v>40995.208333333336</v>
      </c>
      <c r="N53">
        <v>1334206800</v>
      </c>
      <c r="O53" s="9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LEFT(Table1[[#This Row],[category &amp; sub-category]],SEARCH("/",Table1[[#This Row],[category &amp; sub-category]],1)-1)</f>
        <v>technology</v>
      </c>
      <c r="T53" t="str">
        <f>RIGHT(Table1[[#This Row],[category &amp; sub-category]],LEN(Table1[[#This Row],[category &amp; sub-category]])-SEARCH("/",Table1[[#This Row],[category &amp; sub-category]],1))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(Table1[[#This Row],[pledged]]/Table1[[#This Row],[goal]])*100</f>
        <v>34.152777777777779</v>
      </c>
      <c r="G54" t="s">
        <v>14</v>
      </c>
      <c r="H54">
        <v>75</v>
      </c>
      <c r="I54" s="4">
        <f>IFERROR(Table1[[#This Row],[pledged]]/Table1[[#This Row],[backers_count]],0)</f>
        <v>32.786666666666669</v>
      </c>
      <c r="J54" t="s">
        <v>21</v>
      </c>
      <c r="K54" t="s">
        <v>22</v>
      </c>
      <c r="L54">
        <v>1284526800</v>
      </c>
      <c r="M54" s="9">
        <f>(((Table1[[#This Row],[launched_at]]/60)/60)/24)+DATE(1970,1,1)</f>
        <v>40436.208333333336</v>
      </c>
      <c r="N54">
        <v>1284872400</v>
      </c>
      <c r="O54" s="9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LEFT(Table1[[#This Row],[category &amp; sub-category]],SEARCH("/",Table1[[#This Row],[category &amp; sub-category]],1)-1)</f>
        <v>theater</v>
      </c>
      <c r="T54" t="str">
        <f>RIGHT(Table1[[#This Row],[category &amp; sub-category]],LEN(Table1[[#This Row],[category &amp; sub-category]])-SEARCH("/",Table1[[#This Row],[category &amp; sub-category]],1))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(Table1[[#This Row],[pledged]]/Table1[[#This Row],[goal]])*100</f>
        <v>140.40909090909091</v>
      </c>
      <c r="G55" t="s">
        <v>20</v>
      </c>
      <c r="H55">
        <v>209</v>
      </c>
      <c r="I55" s="4">
        <f>IFERROR(Table1[[#This Row],[pledged]]/Table1[[#This Row],[backers_count]],0)</f>
        <v>59.119617224880386</v>
      </c>
      <c r="J55" t="s">
        <v>21</v>
      </c>
      <c r="K55" t="s">
        <v>22</v>
      </c>
      <c r="L55">
        <v>1400562000</v>
      </c>
      <c r="M55" s="9">
        <f>(((Table1[[#This Row],[launched_at]]/60)/60)/24)+DATE(1970,1,1)</f>
        <v>41779.208333333336</v>
      </c>
      <c r="N55">
        <v>1403931600</v>
      </c>
      <c r="O55" s="9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LEFT(Table1[[#This Row],[category &amp; sub-category]],SEARCH("/",Table1[[#This Row],[category &amp; sub-category]],1)-1)</f>
        <v>film &amp; video</v>
      </c>
      <c r="T55" t="str">
        <f>RIGHT(Table1[[#This Row],[category &amp; sub-category]],LEN(Table1[[#This Row],[category &amp; sub-category]])-SEARCH("/",Table1[[#This Row],[category &amp; sub-category]],1))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(Table1[[#This Row],[pledged]]/Table1[[#This Row],[goal]])*100</f>
        <v>89.86666666666666</v>
      </c>
      <c r="G56" t="s">
        <v>14</v>
      </c>
      <c r="H56">
        <v>120</v>
      </c>
      <c r="I56" s="4">
        <f>IFERROR(Table1[[#This Row],[pledged]]/Table1[[#This Row],[backers_count]],0)</f>
        <v>44.93333333333333</v>
      </c>
      <c r="J56" t="s">
        <v>21</v>
      </c>
      <c r="K56" t="s">
        <v>22</v>
      </c>
      <c r="L56">
        <v>1520748000</v>
      </c>
      <c r="M56" s="9">
        <f>(((Table1[[#This Row],[launched_at]]/60)/60)/24)+DATE(1970,1,1)</f>
        <v>43170.25</v>
      </c>
      <c r="N56">
        <v>1521262800</v>
      </c>
      <c r="O56" s="9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LEFT(Table1[[#This Row],[category &amp; sub-category]],SEARCH("/",Table1[[#This Row],[category &amp; sub-category]],1)-1)</f>
        <v>technology</v>
      </c>
      <c r="T56" t="str">
        <f>RIGHT(Table1[[#This Row],[category &amp; sub-category]],LEN(Table1[[#This Row],[category &amp; sub-category]])-SEARCH("/",Table1[[#This Row],[category &amp; sub-category]],1))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(Table1[[#This Row],[pledged]]/Table1[[#This Row],[goal]])*100</f>
        <v>177.96969696969697</v>
      </c>
      <c r="G57" t="s">
        <v>20</v>
      </c>
      <c r="H57">
        <v>131</v>
      </c>
      <c r="I57" s="4">
        <f>IFERROR(Table1[[#This Row],[pledged]]/Table1[[#This Row],[backers_count]],0)</f>
        <v>89.664122137404576</v>
      </c>
      <c r="J57" t="s">
        <v>21</v>
      </c>
      <c r="K57" t="s">
        <v>22</v>
      </c>
      <c r="L57">
        <v>1532926800</v>
      </c>
      <c r="M57" s="9">
        <f>(((Table1[[#This Row],[launched_at]]/60)/60)/24)+DATE(1970,1,1)</f>
        <v>43311.208333333328</v>
      </c>
      <c r="N57">
        <v>1533358800</v>
      </c>
      <c r="O57" s="9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LEFT(Table1[[#This Row],[category &amp; sub-category]],SEARCH("/",Table1[[#This Row],[category &amp; sub-category]],1)-1)</f>
        <v>music</v>
      </c>
      <c r="T57" t="str">
        <f>RIGHT(Table1[[#This Row],[category &amp; sub-category]],LEN(Table1[[#This Row],[category &amp; sub-category]])-SEARCH("/",Table1[[#This Row],[category &amp; sub-category]],1))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(Table1[[#This Row],[pledged]]/Table1[[#This Row],[goal]])*100</f>
        <v>143.66249999999999</v>
      </c>
      <c r="G58" t="s">
        <v>20</v>
      </c>
      <c r="H58">
        <v>164</v>
      </c>
      <c r="I58" s="4">
        <f>IFERROR(Table1[[#This Row],[pledged]]/Table1[[#This Row],[backers_count]],0)</f>
        <v>70.079268292682926</v>
      </c>
      <c r="J58" t="s">
        <v>21</v>
      </c>
      <c r="K58" t="s">
        <v>22</v>
      </c>
      <c r="L58">
        <v>1420869600</v>
      </c>
      <c r="M58" s="9">
        <f>(((Table1[[#This Row],[launched_at]]/60)/60)/24)+DATE(1970,1,1)</f>
        <v>42014.25</v>
      </c>
      <c r="N58">
        <v>1421474400</v>
      </c>
      <c r="O58" s="9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LEFT(Table1[[#This Row],[category &amp; sub-category]],SEARCH("/",Table1[[#This Row],[category &amp; sub-category]],1)-1)</f>
        <v>technology</v>
      </c>
      <c r="T58" t="str">
        <f>RIGHT(Table1[[#This Row],[category &amp; sub-category]],LEN(Table1[[#This Row],[category &amp; sub-category]])-SEARCH("/",Table1[[#This Row],[category &amp; sub-category]],1))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(Table1[[#This Row],[pledged]]/Table1[[#This Row],[goal]])*100</f>
        <v>215.27586206896552</v>
      </c>
      <c r="G59" t="s">
        <v>20</v>
      </c>
      <c r="H59">
        <v>201</v>
      </c>
      <c r="I59" s="4">
        <f>IFERROR(Table1[[#This Row],[pledged]]/Table1[[#This Row],[backers_count]],0)</f>
        <v>31.059701492537314</v>
      </c>
      <c r="J59" t="s">
        <v>21</v>
      </c>
      <c r="K59" t="s">
        <v>22</v>
      </c>
      <c r="L59">
        <v>1504242000</v>
      </c>
      <c r="M59" s="9">
        <f>(((Table1[[#This Row],[launched_at]]/60)/60)/24)+DATE(1970,1,1)</f>
        <v>42979.208333333328</v>
      </c>
      <c r="N59">
        <v>1505278800</v>
      </c>
      <c r="O59" s="9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LEFT(Table1[[#This Row],[category &amp; sub-category]],SEARCH("/",Table1[[#This Row],[category &amp; sub-category]],1)-1)</f>
        <v>games</v>
      </c>
      <c r="T59" t="str">
        <f>RIGHT(Table1[[#This Row],[category &amp; sub-category]],LEN(Table1[[#This Row],[category &amp; sub-category]])-SEARCH("/",Table1[[#This Row],[category &amp; sub-category]],1))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(Table1[[#This Row],[pledged]]/Table1[[#This Row],[goal]])*100</f>
        <v>227.11111111111114</v>
      </c>
      <c r="G60" t="s">
        <v>20</v>
      </c>
      <c r="H60">
        <v>211</v>
      </c>
      <c r="I60" s="4">
        <f>IFERROR(Table1[[#This Row],[pledged]]/Table1[[#This Row],[backers_count]],0)</f>
        <v>29.061611374407583</v>
      </c>
      <c r="J60" t="s">
        <v>21</v>
      </c>
      <c r="K60" t="s">
        <v>22</v>
      </c>
      <c r="L60">
        <v>1442811600</v>
      </c>
      <c r="M60" s="9">
        <f>(((Table1[[#This Row],[launched_at]]/60)/60)/24)+DATE(1970,1,1)</f>
        <v>42268.208333333328</v>
      </c>
      <c r="N60">
        <v>1443934800</v>
      </c>
      <c r="O60" s="9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LEFT(Table1[[#This Row],[category &amp; sub-category]],SEARCH("/",Table1[[#This Row],[category &amp; sub-category]],1)-1)</f>
        <v>theater</v>
      </c>
      <c r="T60" t="str">
        <f>RIGHT(Table1[[#This Row],[category &amp; sub-category]],LEN(Table1[[#This Row],[category &amp; sub-category]])-SEARCH("/",Table1[[#This Row],[category &amp; sub-category]],1))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(Table1[[#This Row],[pledged]]/Table1[[#This Row],[goal]])*100</f>
        <v>275.07142857142861</v>
      </c>
      <c r="G61" t="s">
        <v>20</v>
      </c>
      <c r="H61">
        <v>128</v>
      </c>
      <c r="I61" s="4">
        <f>IFERROR(Table1[[#This Row],[pledged]]/Table1[[#This Row],[backers_count]],0)</f>
        <v>30.0859375</v>
      </c>
      <c r="J61" t="s">
        <v>21</v>
      </c>
      <c r="K61" t="s">
        <v>22</v>
      </c>
      <c r="L61">
        <v>1497243600</v>
      </c>
      <c r="M61" s="9">
        <f>(((Table1[[#This Row],[launched_at]]/60)/60)/24)+DATE(1970,1,1)</f>
        <v>42898.208333333328</v>
      </c>
      <c r="N61">
        <v>1498539600</v>
      </c>
      <c r="O61" s="9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LEFT(Table1[[#This Row],[category &amp; sub-category]],SEARCH("/",Table1[[#This Row],[category &amp; sub-category]],1)-1)</f>
        <v>theater</v>
      </c>
      <c r="T61" t="str">
        <f>RIGHT(Table1[[#This Row],[category &amp; sub-category]],LEN(Table1[[#This Row],[category &amp; sub-category]])-SEARCH("/",Table1[[#This Row],[category &amp; sub-category]],1))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(Table1[[#This Row],[pledged]]/Table1[[#This Row],[goal]])*100</f>
        <v>144.37048832271762</v>
      </c>
      <c r="G62" t="s">
        <v>20</v>
      </c>
      <c r="H62">
        <v>1600</v>
      </c>
      <c r="I62" s="4">
        <f>IFERROR(Table1[[#This Row],[pledged]]/Table1[[#This Row],[backers_count]],0)</f>
        <v>84.998125000000002</v>
      </c>
      <c r="J62" t="s">
        <v>15</v>
      </c>
      <c r="K62" t="s">
        <v>16</v>
      </c>
      <c r="L62">
        <v>1342501200</v>
      </c>
      <c r="M62" s="9">
        <f>(((Table1[[#This Row],[launched_at]]/60)/60)/24)+DATE(1970,1,1)</f>
        <v>41107.208333333336</v>
      </c>
      <c r="N62">
        <v>1342760400</v>
      </c>
      <c r="O62" s="9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LEFT(Table1[[#This Row],[category &amp; sub-category]],SEARCH("/",Table1[[#This Row],[category &amp; sub-category]],1)-1)</f>
        <v>theater</v>
      </c>
      <c r="T62" t="str">
        <f>RIGHT(Table1[[#This Row],[category &amp; sub-category]],LEN(Table1[[#This Row],[category &amp; sub-category]])-SEARCH("/",Table1[[#This Row],[category &amp; sub-category]],1))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(Table1[[#This Row],[pledged]]/Table1[[#This Row],[goal]])*100</f>
        <v>92.74598393574297</v>
      </c>
      <c r="G63" t="s">
        <v>14</v>
      </c>
      <c r="H63">
        <v>2253</v>
      </c>
      <c r="I63" s="4">
        <f>IFERROR(Table1[[#This Row],[pledged]]/Table1[[#This Row],[backers_count]],0)</f>
        <v>82.001775410563695</v>
      </c>
      <c r="J63" t="s">
        <v>15</v>
      </c>
      <c r="K63" t="s">
        <v>16</v>
      </c>
      <c r="L63">
        <v>1298268000</v>
      </c>
      <c r="M63" s="9">
        <f>(((Table1[[#This Row],[launched_at]]/60)/60)/24)+DATE(1970,1,1)</f>
        <v>40595.25</v>
      </c>
      <c r="N63">
        <v>1301720400</v>
      </c>
      <c r="O63" s="9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LEFT(Table1[[#This Row],[category &amp; sub-category]],SEARCH("/",Table1[[#This Row],[category &amp; sub-category]],1)-1)</f>
        <v>theater</v>
      </c>
      <c r="T63" t="str">
        <f>RIGHT(Table1[[#This Row],[category &amp; sub-category]],LEN(Table1[[#This Row],[category &amp; sub-category]])-SEARCH("/",Table1[[#This Row],[category &amp; sub-category]],1))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(Table1[[#This Row],[pledged]]/Table1[[#This Row],[goal]])*100</f>
        <v>722.6</v>
      </c>
      <c r="G64" t="s">
        <v>20</v>
      </c>
      <c r="H64">
        <v>249</v>
      </c>
      <c r="I64" s="4">
        <f>IFERROR(Table1[[#This Row],[pledged]]/Table1[[#This Row],[backers_count]],0)</f>
        <v>58.040160642570278</v>
      </c>
      <c r="J64" t="s">
        <v>21</v>
      </c>
      <c r="K64" t="s">
        <v>22</v>
      </c>
      <c r="L64">
        <v>1433480400</v>
      </c>
      <c r="M64" s="9">
        <f>(((Table1[[#This Row],[launched_at]]/60)/60)/24)+DATE(1970,1,1)</f>
        <v>42160.208333333328</v>
      </c>
      <c r="N64">
        <v>1433566800</v>
      </c>
      <c r="O64" s="9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LEFT(Table1[[#This Row],[category &amp; sub-category]],SEARCH("/",Table1[[#This Row],[category &amp; sub-category]],1)-1)</f>
        <v>technology</v>
      </c>
      <c r="T64" t="str">
        <f>RIGHT(Table1[[#This Row],[category &amp; sub-category]],LEN(Table1[[#This Row],[category &amp; sub-category]])-SEARCH("/",Table1[[#This Row],[category &amp; sub-category]],1))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(Table1[[#This Row],[pledged]]/Table1[[#This Row],[goal]])*100</f>
        <v>11.851063829787234</v>
      </c>
      <c r="G65" t="s">
        <v>14</v>
      </c>
      <c r="H65">
        <v>5</v>
      </c>
      <c r="I65" s="4">
        <f>IFERROR(Table1[[#This Row],[pledged]]/Table1[[#This Row],[backers_count]],0)</f>
        <v>111.4</v>
      </c>
      <c r="J65" t="s">
        <v>21</v>
      </c>
      <c r="K65" t="s">
        <v>22</v>
      </c>
      <c r="L65">
        <v>1493355600</v>
      </c>
      <c r="M65" s="9">
        <f>(((Table1[[#This Row],[launched_at]]/60)/60)/24)+DATE(1970,1,1)</f>
        <v>42853.208333333328</v>
      </c>
      <c r="N65">
        <v>1493874000</v>
      </c>
      <c r="O65" s="9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LEFT(Table1[[#This Row],[category &amp; sub-category]],SEARCH("/",Table1[[#This Row],[category &amp; sub-category]],1)-1)</f>
        <v>theater</v>
      </c>
      <c r="T65" t="str">
        <f>RIGHT(Table1[[#This Row],[category &amp; sub-category]],LEN(Table1[[#This Row],[category &amp; sub-category]])-SEARCH("/",Table1[[#This Row],[category &amp; sub-category]],1))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(Table1[[#This Row],[pledged]]/Table1[[#This Row],[goal]])*100</f>
        <v>97.642857142857139</v>
      </c>
      <c r="G66" t="s">
        <v>14</v>
      </c>
      <c r="H66">
        <v>38</v>
      </c>
      <c r="I66" s="4">
        <f>IFERROR(Table1[[#This Row],[pledged]]/Table1[[#This Row],[backers_count]],0)</f>
        <v>71.94736842105263</v>
      </c>
      <c r="J66" t="s">
        <v>21</v>
      </c>
      <c r="K66" t="s">
        <v>22</v>
      </c>
      <c r="L66">
        <v>1530507600</v>
      </c>
      <c r="M66" s="9">
        <f>(((Table1[[#This Row],[launched_at]]/60)/60)/24)+DATE(1970,1,1)</f>
        <v>43283.208333333328</v>
      </c>
      <c r="N66">
        <v>1531803600</v>
      </c>
      <c r="O66" s="9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LEFT(Table1[[#This Row],[category &amp; sub-category]],SEARCH("/",Table1[[#This Row],[category &amp; sub-category]],1)-1)</f>
        <v>technology</v>
      </c>
      <c r="T66" t="str">
        <f>RIGHT(Table1[[#This Row],[category &amp; sub-category]],LEN(Table1[[#This Row],[category &amp; sub-category]])-SEARCH("/",Table1[[#This Row],[category &amp; sub-category]],1))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(Table1[[#This Row],[pledged]]/Table1[[#This Row],[goal]])*100</f>
        <v>236.14754098360655</v>
      </c>
      <c r="G67" t="s">
        <v>20</v>
      </c>
      <c r="H67">
        <v>236</v>
      </c>
      <c r="I67" s="4">
        <f>IFERROR(Table1[[#This Row],[pledged]]/Table1[[#This Row],[backers_count]],0)</f>
        <v>61.038135593220339</v>
      </c>
      <c r="J67" t="s">
        <v>21</v>
      </c>
      <c r="K67" t="s">
        <v>22</v>
      </c>
      <c r="L67">
        <v>1296108000</v>
      </c>
      <c r="M67" s="9">
        <f>(((Table1[[#This Row],[launched_at]]/60)/60)/24)+DATE(1970,1,1)</f>
        <v>40570.25</v>
      </c>
      <c r="N67">
        <v>1296712800</v>
      </c>
      <c r="O67" s="9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LEFT(Table1[[#This Row],[category &amp; sub-category]],SEARCH("/",Table1[[#This Row],[category &amp; sub-category]],1)-1)</f>
        <v>theater</v>
      </c>
      <c r="T67" t="str">
        <f>RIGHT(Table1[[#This Row],[category &amp; sub-category]],LEN(Table1[[#This Row],[category &amp; sub-category]])-SEARCH("/",Table1[[#This Row],[category &amp; sub-category]],1))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(Table1[[#This Row],[pledged]]/Table1[[#This Row],[goal]])*100</f>
        <v>45.068965517241381</v>
      </c>
      <c r="G68" t="s">
        <v>14</v>
      </c>
      <c r="H68">
        <v>12</v>
      </c>
      <c r="I68" s="4">
        <f>IFERROR(Table1[[#This Row],[pledged]]/Table1[[#This Row],[backers_count]],0)</f>
        <v>108.91666666666667</v>
      </c>
      <c r="J68" t="s">
        <v>21</v>
      </c>
      <c r="K68" t="s">
        <v>22</v>
      </c>
      <c r="L68">
        <v>1428469200</v>
      </c>
      <c r="M68" s="9">
        <f>(((Table1[[#This Row],[launched_at]]/60)/60)/24)+DATE(1970,1,1)</f>
        <v>42102.208333333328</v>
      </c>
      <c r="N68">
        <v>1428901200</v>
      </c>
      <c r="O68" s="9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LEFT(Table1[[#This Row],[category &amp; sub-category]],SEARCH("/",Table1[[#This Row],[category &amp; sub-category]],1)-1)</f>
        <v>theater</v>
      </c>
      <c r="T68" t="str">
        <f>RIGHT(Table1[[#This Row],[category &amp; sub-category]],LEN(Table1[[#This Row],[category &amp; sub-category]])-SEARCH("/",Table1[[#This Row],[category &amp; sub-category]],1))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(Table1[[#This Row],[pledged]]/Table1[[#This Row],[goal]])*100</f>
        <v>162.38567493112947</v>
      </c>
      <c r="G69" t="s">
        <v>20</v>
      </c>
      <c r="H69">
        <v>4065</v>
      </c>
      <c r="I69" s="4">
        <f>IFERROR(Table1[[#This Row],[pledged]]/Table1[[#This Row],[backers_count]],0)</f>
        <v>29.001722017220171</v>
      </c>
      <c r="J69" t="s">
        <v>40</v>
      </c>
      <c r="K69" t="s">
        <v>41</v>
      </c>
      <c r="L69">
        <v>1264399200</v>
      </c>
      <c r="M69" s="9">
        <f>(((Table1[[#This Row],[launched_at]]/60)/60)/24)+DATE(1970,1,1)</f>
        <v>40203.25</v>
      </c>
      <c r="N69">
        <v>1264831200</v>
      </c>
      <c r="O69" s="9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LEFT(Table1[[#This Row],[category &amp; sub-category]],SEARCH("/",Table1[[#This Row],[category &amp; sub-category]],1)-1)</f>
        <v>technology</v>
      </c>
      <c r="T69" t="str">
        <f>RIGHT(Table1[[#This Row],[category &amp; sub-category]],LEN(Table1[[#This Row],[category &amp; sub-category]])-SEARCH("/",Table1[[#This Row],[category &amp; sub-category]],1))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(Table1[[#This Row],[pledged]]/Table1[[#This Row],[goal]])*100</f>
        <v>254.52631578947367</v>
      </c>
      <c r="G70" t="s">
        <v>20</v>
      </c>
      <c r="H70">
        <v>246</v>
      </c>
      <c r="I70" s="4">
        <f>IFERROR(Table1[[#This Row],[pledged]]/Table1[[#This Row],[backers_count]],0)</f>
        <v>58.975609756097562</v>
      </c>
      <c r="J70" t="s">
        <v>107</v>
      </c>
      <c r="K70" t="s">
        <v>108</v>
      </c>
      <c r="L70">
        <v>1501131600</v>
      </c>
      <c r="M70" s="9">
        <f>(((Table1[[#This Row],[launched_at]]/60)/60)/24)+DATE(1970,1,1)</f>
        <v>42943.208333333328</v>
      </c>
      <c r="N70">
        <v>1505192400</v>
      </c>
      <c r="O70" s="9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LEFT(Table1[[#This Row],[category &amp; sub-category]],SEARCH("/",Table1[[#This Row],[category &amp; sub-category]],1)-1)</f>
        <v>theater</v>
      </c>
      <c r="T70" t="str">
        <f>RIGHT(Table1[[#This Row],[category &amp; sub-category]],LEN(Table1[[#This Row],[category &amp; sub-category]])-SEARCH("/",Table1[[#This Row],[category &amp; sub-category]],1))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(Table1[[#This Row],[pledged]]/Table1[[#This Row],[goal]])*100</f>
        <v>24.063291139240505</v>
      </c>
      <c r="G71" t="s">
        <v>74</v>
      </c>
      <c r="H71">
        <v>17</v>
      </c>
      <c r="I71" s="4">
        <f>IFERROR(Table1[[#This Row],[pledged]]/Table1[[#This Row],[backers_count]],0)</f>
        <v>111.82352941176471</v>
      </c>
      <c r="J71" t="s">
        <v>21</v>
      </c>
      <c r="K71" t="s">
        <v>22</v>
      </c>
      <c r="L71">
        <v>1292738400</v>
      </c>
      <c r="M71" s="9">
        <f>(((Table1[[#This Row],[launched_at]]/60)/60)/24)+DATE(1970,1,1)</f>
        <v>40531.25</v>
      </c>
      <c r="N71">
        <v>1295676000</v>
      </c>
      <c r="O71" s="9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LEFT(Table1[[#This Row],[category &amp; sub-category]],SEARCH("/",Table1[[#This Row],[category &amp; sub-category]],1)-1)</f>
        <v>theater</v>
      </c>
      <c r="T71" t="str">
        <f>RIGHT(Table1[[#This Row],[category &amp; sub-category]],LEN(Table1[[#This Row],[category &amp; sub-category]])-SEARCH("/",Table1[[#This Row],[category &amp; sub-category]],1))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(Table1[[#This Row],[pledged]]/Table1[[#This Row],[goal]])*100</f>
        <v>123.74140625000001</v>
      </c>
      <c r="G72" t="s">
        <v>20</v>
      </c>
      <c r="H72">
        <v>2475</v>
      </c>
      <c r="I72" s="4">
        <f>IFERROR(Table1[[#This Row],[pledged]]/Table1[[#This Row],[backers_count]],0)</f>
        <v>63.995555555555555</v>
      </c>
      <c r="J72" t="s">
        <v>107</v>
      </c>
      <c r="K72" t="s">
        <v>108</v>
      </c>
      <c r="L72">
        <v>1288674000</v>
      </c>
      <c r="M72" s="9">
        <f>(((Table1[[#This Row],[launched_at]]/60)/60)/24)+DATE(1970,1,1)</f>
        <v>40484.208333333336</v>
      </c>
      <c r="N72">
        <v>1292911200</v>
      </c>
      <c r="O72" s="9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LEFT(Table1[[#This Row],[category &amp; sub-category]],SEARCH("/",Table1[[#This Row],[category &amp; sub-category]],1)-1)</f>
        <v>theater</v>
      </c>
      <c r="T72" t="str">
        <f>RIGHT(Table1[[#This Row],[category &amp; sub-category]],LEN(Table1[[#This Row],[category &amp; sub-category]])-SEARCH("/",Table1[[#This Row],[category &amp; sub-category]],1))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(Table1[[#This Row],[pledged]]/Table1[[#This Row],[goal]])*100</f>
        <v>108.06666666666666</v>
      </c>
      <c r="G73" t="s">
        <v>20</v>
      </c>
      <c r="H73">
        <v>76</v>
      </c>
      <c r="I73" s="4">
        <f>IFERROR(Table1[[#This Row],[pledged]]/Table1[[#This Row],[backers_count]],0)</f>
        <v>85.315789473684205</v>
      </c>
      <c r="J73" t="s">
        <v>21</v>
      </c>
      <c r="K73" t="s">
        <v>22</v>
      </c>
      <c r="L73">
        <v>1575093600</v>
      </c>
      <c r="M73" s="9">
        <f>(((Table1[[#This Row],[launched_at]]/60)/60)/24)+DATE(1970,1,1)</f>
        <v>43799.25</v>
      </c>
      <c r="N73">
        <v>1575439200</v>
      </c>
      <c r="O73" s="9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LEFT(Table1[[#This Row],[category &amp; sub-category]],SEARCH("/",Table1[[#This Row],[category &amp; sub-category]],1)-1)</f>
        <v>theater</v>
      </c>
      <c r="T73" t="str">
        <f>RIGHT(Table1[[#This Row],[category &amp; sub-category]],LEN(Table1[[#This Row],[category &amp; sub-category]])-SEARCH("/",Table1[[#This Row],[category &amp; sub-category]],1))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(Table1[[#This Row],[pledged]]/Table1[[#This Row],[goal]])*100</f>
        <v>670.33333333333326</v>
      </c>
      <c r="G74" t="s">
        <v>20</v>
      </c>
      <c r="H74">
        <v>54</v>
      </c>
      <c r="I74" s="4">
        <f>IFERROR(Table1[[#This Row],[pledged]]/Table1[[#This Row],[backers_count]],0)</f>
        <v>74.481481481481481</v>
      </c>
      <c r="J74" t="s">
        <v>21</v>
      </c>
      <c r="K74" t="s">
        <v>22</v>
      </c>
      <c r="L74">
        <v>1435726800</v>
      </c>
      <c r="M74" s="9">
        <f>(((Table1[[#This Row],[launched_at]]/60)/60)/24)+DATE(1970,1,1)</f>
        <v>42186.208333333328</v>
      </c>
      <c r="N74">
        <v>1438837200</v>
      </c>
      <c r="O74" s="9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LEFT(Table1[[#This Row],[category &amp; sub-category]],SEARCH("/",Table1[[#This Row],[category &amp; sub-category]],1)-1)</f>
        <v>film &amp; video</v>
      </c>
      <c r="T74" t="str">
        <f>RIGHT(Table1[[#This Row],[category &amp; sub-category]],LEN(Table1[[#This Row],[category &amp; sub-category]])-SEARCH("/",Table1[[#This Row],[category &amp; sub-category]],1))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(Table1[[#This Row],[pledged]]/Table1[[#This Row],[goal]])*100</f>
        <v>660.92857142857144</v>
      </c>
      <c r="G75" t="s">
        <v>20</v>
      </c>
      <c r="H75">
        <v>88</v>
      </c>
      <c r="I75" s="4">
        <f>IFERROR(Table1[[#This Row],[pledged]]/Table1[[#This Row],[backers_count]],0)</f>
        <v>105.14772727272727</v>
      </c>
      <c r="J75" t="s">
        <v>21</v>
      </c>
      <c r="K75" t="s">
        <v>22</v>
      </c>
      <c r="L75">
        <v>1480226400</v>
      </c>
      <c r="M75" s="9">
        <f>(((Table1[[#This Row],[launched_at]]/60)/60)/24)+DATE(1970,1,1)</f>
        <v>42701.25</v>
      </c>
      <c r="N75">
        <v>1480485600</v>
      </c>
      <c r="O75" s="9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LEFT(Table1[[#This Row],[category &amp; sub-category]],SEARCH("/",Table1[[#This Row],[category &amp; sub-category]],1)-1)</f>
        <v>music</v>
      </c>
      <c r="T75" t="str">
        <f>RIGHT(Table1[[#This Row],[category &amp; sub-category]],LEN(Table1[[#This Row],[category &amp; sub-category]])-SEARCH("/",Table1[[#This Row],[category &amp; sub-category]],1))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(Table1[[#This Row],[pledged]]/Table1[[#This Row],[goal]])*100</f>
        <v>122.46153846153847</v>
      </c>
      <c r="G76" t="s">
        <v>20</v>
      </c>
      <c r="H76">
        <v>85</v>
      </c>
      <c r="I76" s="4">
        <f>IFERROR(Table1[[#This Row],[pledged]]/Table1[[#This Row],[backers_count]],0)</f>
        <v>56.188235294117646</v>
      </c>
      <c r="J76" t="s">
        <v>40</v>
      </c>
      <c r="K76" t="s">
        <v>41</v>
      </c>
      <c r="L76">
        <v>1459054800</v>
      </c>
      <c r="M76" s="9">
        <f>(((Table1[[#This Row],[launched_at]]/60)/60)/24)+DATE(1970,1,1)</f>
        <v>42456.208333333328</v>
      </c>
      <c r="N76">
        <v>1459141200</v>
      </c>
      <c r="O76" s="9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LEFT(Table1[[#This Row],[category &amp; sub-category]],SEARCH("/",Table1[[#This Row],[category &amp; sub-category]],1)-1)</f>
        <v>music</v>
      </c>
      <c r="T76" t="str">
        <f>RIGHT(Table1[[#This Row],[category &amp; sub-category]],LEN(Table1[[#This Row],[category &amp; sub-category]])-SEARCH("/",Table1[[#This Row],[category &amp; sub-category]],1))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(Table1[[#This Row],[pledged]]/Table1[[#This Row],[goal]])*100</f>
        <v>150.57731958762886</v>
      </c>
      <c r="G77" t="s">
        <v>20</v>
      </c>
      <c r="H77">
        <v>170</v>
      </c>
      <c r="I77" s="4">
        <f>IFERROR(Table1[[#This Row],[pledged]]/Table1[[#This Row],[backers_count]],0)</f>
        <v>85.917647058823533</v>
      </c>
      <c r="J77" t="s">
        <v>21</v>
      </c>
      <c r="K77" t="s">
        <v>22</v>
      </c>
      <c r="L77">
        <v>1531630800</v>
      </c>
      <c r="M77" s="9">
        <f>(((Table1[[#This Row],[launched_at]]/60)/60)/24)+DATE(1970,1,1)</f>
        <v>43296.208333333328</v>
      </c>
      <c r="N77">
        <v>1532322000</v>
      </c>
      <c r="O77" s="9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LEFT(Table1[[#This Row],[category &amp; sub-category]],SEARCH("/",Table1[[#This Row],[category &amp; sub-category]],1)-1)</f>
        <v>photography</v>
      </c>
      <c r="T77" t="str">
        <f>RIGHT(Table1[[#This Row],[category &amp; sub-category]],LEN(Table1[[#This Row],[category &amp; sub-category]])-SEARCH("/",Table1[[#This Row],[category &amp; sub-category]],1))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(Table1[[#This Row],[pledged]]/Table1[[#This Row],[goal]])*100</f>
        <v>78.106590724165997</v>
      </c>
      <c r="G78" t="s">
        <v>14</v>
      </c>
      <c r="H78">
        <v>1684</v>
      </c>
      <c r="I78" s="4">
        <f>IFERROR(Table1[[#This Row],[pledged]]/Table1[[#This Row],[backers_count]],0)</f>
        <v>57.00296912114014</v>
      </c>
      <c r="J78" t="s">
        <v>21</v>
      </c>
      <c r="K78" t="s">
        <v>22</v>
      </c>
      <c r="L78">
        <v>1421992800</v>
      </c>
      <c r="M78" s="9">
        <f>(((Table1[[#This Row],[launched_at]]/60)/60)/24)+DATE(1970,1,1)</f>
        <v>42027.25</v>
      </c>
      <c r="N78">
        <v>1426222800</v>
      </c>
      <c r="O78" s="9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LEFT(Table1[[#This Row],[category &amp; sub-category]],SEARCH("/",Table1[[#This Row],[category &amp; sub-category]],1)-1)</f>
        <v>theater</v>
      </c>
      <c r="T78" t="str">
        <f>RIGHT(Table1[[#This Row],[category &amp; sub-category]],LEN(Table1[[#This Row],[category &amp; sub-category]])-SEARCH("/",Table1[[#This Row],[category &amp; sub-category]],1))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(Table1[[#This Row],[pledged]]/Table1[[#This Row],[goal]])*100</f>
        <v>46.94736842105263</v>
      </c>
      <c r="G79" t="s">
        <v>14</v>
      </c>
      <c r="H79">
        <v>56</v>
      </c>
      <c r="I79" s="4">
        <f>IFERROR(Table1[[#This Row],[pledged]]/Table1[[#This Row],[backers_count]],0)</f>
        <v>79.642857142857139</v>
      </c>
      <c r="J79" t="s">
        <v>21</v>
      </c>
      <c r="K79" t="s">
        <v>22</v>
      </c>
      <c r="L79">
        <v>1285563600</v>
      </c>
      <c r="M79" s="9">
        <f>(((Table1[[#This Row],[launched_at]]/60)/60)/24)+DATE(1970,1,1)</f>
        <v>40448.208333333336</v>
      </c>
      <c r="N79">
        <v>1286773200</v>
      </c>
      <c r="O79" s="9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LEFT(Table1[[#This Row],[category &amp; sub-category]],SEARCH("/",Table1[[#This Row],[category &amp; sub-category]],1)-1)</f>
        <v>film &amp; video</v>
      </c>
      <c r="T79" t="str">
        <f>RIGHT(Table1[[#This Row],[category &amp; sub-category]],LEN(Table1[[#This Row],[category &amp; sub-category]])-SEARCH("/",Table1[[#This Row],[category &amp; sub-category]],1))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(Table1[[#This Row],[pledged]]/Table1[[#This Row],[goal]])*100</f>
        <v>300.8</v>
      </c>
      <c r="G80" t="s">
        <v>20</v>
      </c>
      <c r="H80">
        <v>330</v>
      </c>
      <c r="I80" s="4">
        <f>IFERROR(Table1[[#This Row],[pledged]]/Table1[[#This Row],[backers_count]],0)</f>
        <v>41.018181818181816</v>
      </c>
      <c r="J80" t="s">
        <v>21</v>
      </c>
      <c r="K80" t="s">
        <v>22</v>
      </c>
      <c r="L80">
        <v>1523854800</v>
      </c>
      <c r="M80" s="9">
        <f>(((Table1[[#This Row],[launched_at]]/60)/60)/24)+DATE(1970,1,1)</f>
        <v>43206.208333333328</v>
      </c>
      <c r="N80">
        <v>1523941200</v>
      </c>
      <c r="O80" s="9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LEFT(Table1[[#This Row],[category &amp; sub-category]],SEARCH("/",Table1[[#This Row],[category &amp; sub-category]],1)-1)</f>
        <v>publishing</v>
      </c>
      <c r="T80" t="str">
        <f>RIGHT(Table1[[#This Row],[category &amp; sub-category]],LEN(Table1[[#This Row],[category &amp; sub-category]])-SEARCH("/",Table1[[#This Row],[category &amp; sub-category]],1))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(Table1[[#This Row],[pledged]]/Table1[[#This Row],[goal]])*100</f>
        <v>69.598615916955026</v>
      </c>
      <c r="G81" t="s">
        <v>14</v>
      </c>
      <c r="H81">
        <v>838</v>
      </c>
      <c r="I81" s="4">
        <f>IFERROR(Table1[[#This Row],[pledged]]/Table1[[#This Row],[backers_count]],0)</f>
        <v>48.004773269689736</v>
      </c>
      <c r="J81" t="s">
        <v>21</v>
      </c>
      <c r="K81" t="s">
        <v>22</v>
      </c>
      <c r="L81">
        <v>1529125200</v>
      </c>
      <c r="M81" s="9">
        <f>(((Table1[[#This Row],[launched_at]]/60)/60)/24)+DATE(1970,1,1)</f>
        <v>43267.208333333328</v>
      </c>
      <c r="N81">
        <v>1529557200</v>
      </c>
      <c r="O81" s="9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LEFT(Table1[[#This Row],[category &amp; sub-category]],SEARCH("/",Table1[[#This Row],[category &amp; sub-category]],1)-1)</f>
        <v>theater</v>
      </c>
      <c r="T81" t="str">
        <f>RIGHT(Table1[[#This Row],[category &amp; sub-category]],LEN(Table1[[#This Row],[category &amp; sub-category]])-SEARCH("/",Table1[[#This Row],[category &amp; sub-category]],1))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(Table1[[#This Row],[pledged]]/Table1[[#This Row],[goal]])*100</f>
        <v>637.4545454545455</v>
      </c>
      <c r="G82" t="s">
        <v>20</v>
      </c>
      <c r="H82">
        <v>127</v>
      </c>
      <c r="I82" s="4">
        <f>IFERROR(Table1[[#This Row],[pledged]]/Table1[[#This Row],[backers_count]],0)</f>
        <v>55.212598425196852</v>
      </c>
      <c r="J82" t="s">
        <v>21</v>
      </c>
      <c r="K82" t="s">
        <v>22</v>
      </c>
      <c r="L82">
        <v>1503982800</v>
      </c>
      <c r="M82" s="9">
        <f>(((Table1[[#This Row],[launched_at]]/60)/60)/24)+DATE(1970,1,1)</f>
        <v>42976.208333333328</v>
      </c>
      <c r="N82">
        <v>1506574800</v>
      </c>
      <c r="O82" s="9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LEFT(Table1[[#This Row],[category &amp; sub-category]],SEARCH("/",Table1[[#This Row],[category &amp; sub-category]],1)-1)</f>
        <v>games</v>
      </c>
      <c r="T82" t="str">
        <f>RIGHT(Table1[[#This Row],[category &amp; sub-category]],LEN(Table1[[#This Row],[category &amp; sub-category]])-SEARCH("/",Table1[[#This Row],[category &amp; sub-category]],1))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(Table1[[#This Row],[pledged]]/Table1[[#This Row],[goal]])*100</f>
        <v>225.33928571428569</v>
      </c>
      <c r="G83" t="s">
        <v>20</v>
      </c>
      <c r="H83">
        <v>411</v>
      </c>
      <c r="I83" s="4">
        <f>IFERROR(Table1[[#This Row],[pledged]]/Table1[[#This Row],[backers_count]],0)</f>
        <v>92.109489051094897</v>
      </c>
      <c r="J83" t="s">
        <v>21</v>
      </c>
      <c r="K83" t="s">
        <v>22</v>
      </c>
      <c r="L83">
        <v>1511416800</v>
      </c>
      <c r="M83" s="9">
        <f>(((Table1[[#This Row],[launched_at]]/60)/60)/24)+DATE(1970,1,1)</f>
        <v>43062.25</v>
      </c>
      <c r="N83">
        <v>1513576800</v>
      </c>
      <c r="O83" s="9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LEFT(Table1[[#This Row],[category &amp; sub-category]],SEARCH("/",Table1[[#This Row],[category &amp; sub-category]],1)-1)</f>
        <v>music</v>
      </c>
      <c r="T83" t="str">
        <f>RIGHT(Table1[[#This Row],[category &amp; sub-category]],LEN(Table1[[#This Row],[category &amp; sub-category]])-SEARCH("/",Table1[[#This Row],[category &amp; sub-category]],1))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(Table1[[#This Row],[pledged]]/Table1[[#This Row],[goal]])*100</f>
        <v>1497.3000000000002</v>
      </c>
      <c r="G84" t="s">
        <v>20</v>
      </c>
      <c r="H84">
        <v>180</v>
      </c>
      <c r="I84" s="4">
        <f>IFERROR(Table1[[#This Row],[pledged]]/Table1[[#This Row],[backers_count]],0)</f>
        <v>83.183333333333337</v>
      </c>
      <c r="J84" t="s">
        <v>40</v>
      </c>
      <c r="K84" t="s">
        <v>41</v>
      </c>
      <c r="L84">
        <v>1547704800</v>
      </c>
      <c r="M84" s="9">
        <f>(((Table1[[#This Row],[launched_at]]/60)/60)/24)+DATE(1970,1,1)</f>
        <v>43482.25</v>
      </c>
      <c r="N84">
        <v>1548309600</v>
      </c>
      <c r="O84" s="9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LEFT(Table1[[#This Row],[category &amp; sub-category]],SEARCH("/",Table1[[#This Row],[category &amp; sub-category]],1)-1)</f>
        <v>games</v>
      </c>
      <c r="T84" t="str">
        <f>RIGHT(Table1[[#This Row],[category &amp; sub-category]],LEN(Table1[[#This Row],[category &amp; sub-category]])-SEARCH("/",Table1[[#This Row],[category &amp; sub-category]],1))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(Table1[[#This Row],[pledged]]/Table1[[#This Row],[goal]])*100</f>
        <v>37.590225563909776</v>
      </c>
      <c r="G85" t="s">
        <v>14</v>
      </c>
      <c r="H85">
        <v>1000</v>
      </c>
      <c r="I85" s="4">
        <f>IFERROR(Table1[[#This Row],[pledged]]/Table1[[#This Row],[backers_count]],0)</f>
        <v>39.996000000000002</v>
      </c>
      <c r="J85" t="s">
        <v>21</v>
      </c>
      <c r="K85" t="s">
        <v>22</v>
      </c>
      <c r="L85">
        <v>1469682000</v>
      </c>
      <c r="M85" s="9">
        <f>(((Table1[[#This Row],[launched_at]]/60)/60)/24)+DATE(1970,1,1)</f>
        <v>42579.208333333328</v>
      </c>
      <c r="N85">
        <v>1471582800</v>
      </c>
      <c r="O85" s="9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LEFT(Table1[[#This Row],[category &amp; sub-category]],SEARCH("/",Table1[[#This Row],[category &amp; sub-category]],1)-1)</f>
        <v>music</v>
      </c>
      <c r="T85" t="str">
        <f>RIGHT(Table1[[#This Row],[category &amp; sub-category]],LEN(Table1[[#This Row],[category &amp; sub-category]])-SEARCH("/",Table1[[#This Row],[category &amp; sub-category]],1))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(Table1[[#This Row],[pledged]]/Table1[[#This Row],[goal]])*100</f>
        <v>132.36942675159236</v>
      </c>
      <c r="G86" t="s">
        <v>20</v>
      </c>
      <c r="H86">
        <v>374</v>
      </c>
      <c r="I86" s="4">
        <f>IFERROR(Table1[[#This Row],[pledged]]/Table1[[#This Row],[backers_count]],0)</f>
        <v>111.1336898395722</v>
      </c>
      <c r="J86" t="s">
        <v>21</v>
      </c>
      <c r="K86" t="s">
        <v>22</v>
      </c>
      <c r="L86">
        <v>1343451600</v>
      </c>
      <c r="M86" s="9">
        <f>(((Table1[[#This Row],[launched_at]]/60)/60)/24)+DATE(1970,1,1)</f>
        <v>41118.208333333336</v>
      </c>
      <c r="N86">
        <v>1344315600</v>
      </c>
      <c r="O86" s="9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LEFT(Table1[[#This Row],[category &amp; sub-category]],SEARCH("/",Table1[[#This Row],[category &amp; sub-category]],1)-1)</f>
        <v>technology</v>
      </c>
      <c r="T86" t="str">
        <f>RIGHT(Table1[[#This Row],[category &amp; sub-category]],LEN(Table1[[#This Row],[category &amp; sub-category]])-SEARCH("/",Table1[[#This Row],[category &amp; sub-category]],1))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(Table1[[#This Row],[pledged]]/Table1[[#This Row],[goal]])*100</f>
        <v>131.22448979591837</v>
      </c>
      <c r="G87" t="s">
        <v>20</v>
      </c>
      <c r="H87">
        <v>71</v>
      </c>
      <c r="I87" s="4">
        <f>IFERROR(Table1[[#This Row],[pledged]]/Table1[[#This Row],[backers_count]],0)</f>
        <v>90.563380281690144</v>
      </c>
      <c r="J87" t="s">
        <v>26</v>
      </c>
      <c r="K87" t="s">
        <v>27</v>
      </c>
      <c r="L87">
        <v>1315717200</v>
      </c>
      <c r="M87" s="9">
        <f>(((Table1[[#This Row],[launched_at]]/60)/60)/24)+DATE(1970,1,1)</f>
        <v>40797.208333333336</v>
      </c>
      <c r="N87">
        <v>1316408400</v>
      </c>
      <c r="O87" s="9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LEFT(Table1[[#This Row],[category &amp; sub-category]],SEARCH("/",Table1[[#This Row],[category &amp; sub-category]],1)-1)</f>
        <v>music</v>
      </c>
      <c r="T87" t="str">
        <f>RIGHT(Table1[[#This Row],[category &amp; sub-category]],LEN(Table1[[#This Row],[category &amp; sub-category]])-SEARCH("/",Table1[[#This Row],[category &amp; sub-category]],1))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(Table1[[#This Row],[pledged]]/Table1[[#This Row],[goal]])*100</f>
        <v>167.63513513513513</v>
      </c>
      <c r="G88" t="s">
        <v>20</v>
      </c>
      <c r="H88">
        <v>203</v>
      </c>
      <c r="I88" s="4">
        <f>IFERROR(Table1[[#This Row],[pledged]]/Table1[[#This Row],[backers_count]],0)</f>
        <v>61.108374384236456</v>
      </c>
      <c r="J88" t="s">
        <v>21</v>
      </c>
      <c r="K88" t="s">
        <v>22</v>
      </c>
      <c r="L88">
        <v>1430715600</v>
      </c>
      <c r="M88" s="9">
        <f>(((Table1[[#This Row],[launched_at]]/60)/60)/24)+DATE(1970,1,1)</f>
        <v>42128.208333333328</v>
      </c>
      <c r="N88">
        <v>1431838800</v>
      </c>
      <c r="O88" s="9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LEFT(Table1[[#This Row],[category &amp; sub-category]],SEARCH("/",Table1[[#This Row],[category &amp; sub-category]],1)-1)</f>
        <v>theater</v>
      </c>
      <c r="T88" t="str">
        <f>RIGHT(Table1[[#This Row],[category &amp; sub-category]],LEN(Table1[[#This Row],[category &amp; sub-category]])-SEARCH("/",Table1[[#This Row],[category &amp; sub-category]],1))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(Table1[[#This Row],[pledged]]/Table1[[#This Row],[goal]])*100</f>
        <v>61.984886649874063</v>
      </c>
      <c r="G89" t="s">
        <v>14</v>
      </c>
      <c r="H89">
        <v>1482</v>
      </c>
      <c r="I89" s="4">
        <f>IFERROR(Table1[[#This Row],[pledged]]/Table1[[#This Row],[backers_count]],0)</f>
        <v>83.022941970310384</v>
      </c>
      <c r="J89" t="s">
        <v>26</v>
      </c>
      <c r="K89" t="s">
        <v>27</v>
      </c>
      <c r="L89">
        <v>1299564000</v>
      </c>
      <c r="M89" s="9">
        <f>(((Table1[[#This Row],[launched_at]]/60)/60)/24)+DATE(1970,1,1)</f>
        <v>40610.25</v>
      </c>
      <c r="N89">
        <v>1300510800</v>
      </c>
      <c r="O89" s="9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LEFT(Table1[[#This Row],[category &amp; sub-category]],SEARCH("/",Table1[[#This Row],[category &amp; sub-category]],1)-1)</f>
        <v>music</v>
      </c>
      <c r="T89" t="str">
        <f>RIGHT(Table1[[#This Row],[category &amp; sub-category]],LEN(Table1[[#This Row],[category &amp; sub-category]])-SEARCH("/",Table1[[#This Row],[category &amp; sub-category]],1))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(Table1[[#This Row],[pledged]]/Table1[[#This Row],[goal]])*100</f>
        <v>260.75</v>
      </c>
      <c r="G90" t="s">
        <v>20</v>
      </c>
      <c r="H90">
        <v>113</v>
      </c>
      <c r="I90" s="4">
        <f>IFERROR(Table1[[#This Row],[pledged]]/Table1[[#This Row],[backers_count]],0)</f>
        <v>110.76106194690266</v>
      </c>
      <c r="J90" t="s">
        <v>21</v>
      </c>
      <c r="K90" t="s">
        <v>22</v>
      </c>
      <c r="L90">
        <v>1429160400</v>
      </c>
      <c r="M90" s="9">
        <f>(((Table1[[#This Row],[launched_at]]/60)/60)/24)+DATE(1970,1,1)</f>
        <v>42110.208333333328</v>
      </c>
      <c r="N90">
        <v>1431061200</v>
      </c>
      <c r="O90" s="9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LEFT(Table1[[#This Row],[category &amp; sub-category]],SEARCH("/",Table1[[#This Row],[category &amp; sub-category]],1)-1)</f>
        <v>publishing</v>
      </c>
      <c r="T90" t="str">
        <f>RIGHT(Table1[[#This Row],[category &amp; sub-category]],LEN(Table1[[#This Row],[category &amp; sub-category]])-SEARCH("/",Table1[[#This Row],[category &amp; sub-category]],1))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(Table1[[#This Row],[pledged]]/Table1[[#This Row],[goal]])*100</f>
        <v>252.58823529411765</v>
      </c>
      <c r="G91" t="s">
        <v>20</v>
      </c>
      <c r="H91">
        <v>96</v>
      </c>
      <c r="I91" s="4">
        <f>IFERROR(Table1[[#This Row],[pledged]]/Table1[[#This Row],[backers_count]],0)</f>
        <v>89.458333333333329</v>
      </c>
      <c r="J91" t="s">
        <v>21</v>
      </c>
      <c r="K91" t="s">
        <v>22</v>
      </c>
      <c r="L91">
        <v>1271307600</v>
      </c>
      <c r="M91" s="9">
        <f>(((Table1[[#This Row],[launched_at]]/60)/60)/24)+DATE(1970,1,1)</f>
        <v>40283.208333333336</v>
      </c>
      <c r="N91">
        <v>1271480400</v>
      </c>
      <c r="O91" s="9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LEFT(Table1[[#This Row],[category &amp; sub-category]],SEARCH("/",Table1[[#This Row],[category &amp; sub-category]],1)-1)</f>
        <v>theater</v>
      </c>
      <c r="T91" t="str">
        <f>RIGHT(Table1[[#This Row],[category &amp; sub-category]],LEN(Table1[[#This Row],[category &amp; sub-category]])-SEARCH("/",Table1[[#This Row],[category &amp; sub-category]],1))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(Table1[[#This Row],[pledged]]/Table1[[#This Row],[goal]])*100</f>
        <v>78.615384615384613</v>
      </c>
      <c r="G92" t="s">
        <v>14</v>
      </c>
      <c r="H92">
        <v>106</v>
      </c>
      <c r="I92" s="4">
        <f>IFERROR(Table1[[#This Row],[pledged]]/Table1[[#This Row],[backers_count]],0)</f>
        <v>57.849056603773583</v>
      </c>
      <c r="J92" t="s">
        <v>21</v>
      </c>
      <c r="K92" t="s">
        <v>22</v>
      </c>
      <c r="L92">
        <v>1456380000</v>
      </c>
      <c r="M92" s="9">
        <f>(((Table1[[#This Row],[launched_at]]/60)/60)/24)+DATE(1970,1,1)</f>
        <v>42425.25</v>
      </c>
      <c r="N92">
        <v>1456380000</v>
      </c>
      <c r="O92" s="9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LEFT(Table1[[#This Row],[category &amp; sub-category]],SEARCH("/",Table1[[#This Row],[category &amp; sub-category]],1)-1)</f>
        <v>theater</v>
      </c>
      <c r="T92" t="str">
        <f>RIGHT(Table1[[#This Row],[category &amp; sub-category]],LEN(Table1[[#This Row],[category &amp; sub-category]])-SEARCH("/",Table1[[#This Row],[category &amp; sub-category]],1))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(Table1[[#This Row],[pledged]]/Table1[[#This Row],[goal]])*100</f>
        <v>48.404406999351913</v>
      </c>
      <c r="G93" t="s">
        <v>14</v>
      </c>
      <c r="H93">
        <v>679</v>
      </c>
      <c r="I93" s="4">
        <f>IFERROR(Table1[[#This Row],[pledged]]/Table1[[#This Row],[backers_count]],0)</f>
        <v>109.99705449189985</v>
      </c>
      <c r="J93" t="s">
        <v>107</v>
      </c>
      <c r="K93" t="s">
        <v>108</v>
      </c>
      <c r="L93">
        <v>1470459600</v>
      </c>
      <c r="M93" s="9">
        <f>(((Table1[[#This Row],[launched_at]]/60)/60)/24)+DATE(1970,1,1)</f>
        <v>42588.208333333328</v>
      </c>
      <c r="N93">
        <v>1472878800</v>
      </c>
      <c r="O93" s="9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LEFT(Table1[[#This Row],[category &amp; sub-category]],SEARCH("/",Table1[[#This Row],[category &amp; sub-category]],1)-1)</f>
        <v>publishing</v>
      </c>
      <c r="T93" t="str">
        <f>RIGHT(Table1[[#This Row],[category &amp; sub-category]],LEN(Table1[[#This Row],[category &amp; sub-category]])-SEARCH("/",Table1[[#This Row],[category &amp; sub-category]],1))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(Table1[[#This Row],[pledged]]/Table1[[#This Row],[goal]])*100</f>
        <v>258.875</v>
      </c>
      <c r="G94" t="s">
        <v>20</v>
      </c>
      <c r="H94">
        <v>498</v>
      </c>
      <c r="I94" s="4">
        <f>IFERROR(Table1[[#This Row],[pledged]]/Table1[[#This Row],[backers_count]],0)</f>
        <v>103.96586345381526</v>
      </c>
      <c r="J94" t="s">
        <v>98</v>
      </c>
      <c r="K94" t="s">
        <v>99</v>
      </c>
      <c r="L94">
        <v>1277269200</v>
      </c>
      <c r="M94" s="9">
        <f>(((Table1[[#This Row],[launched_at]]/60)/60)/24)+DATE(1970,1,1)</f>
        <v>40352.208333333336</v>
      </c>
      <c r="N94">
        <v>1277355600</v>
      </c>
      <c r="O94" s="9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LEFT(Table1[[#This Row],[category &amp; sub-category]],SEARCH("/",Table1[[#This Row],[category &amp; sub-category]],1)-1)</f>
        <v>games</v>
      </c>
      <c r="T94" t="str">
        <f>RIGHT(Table1[[#This Row],[category &amp; sub-category]],LEN(Table1[[#This Row],[category &amp; sub-category]])-SEARCH("/",Table1[[#This Row],[category &amp; sub-category]],1))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(Table1[[#This Row],[pledged]]/Table1[[#This Row],[goal]])*100</f>
        <v>60.548713235294116</v>
      </c>
      <c r="G95" t="s">
        <v>74</v>
      </c>
      <c r="H95">
        <v>610</v>
      </c>
      <c r="I95" s="4">
        <f>IFERROR(Table1[[#This Row],[pledged]]/Table1[[#This Row],[backers_count]],0)</f>
        <v>107.99508196721311</v>
      </c>
      <c r="J95" t="s">
        <v>21</v>
      </c>
      <c r="K95" t="s">
        <v>22</v>
      </c>
      <c r="L95">
        <v>1350709200</v>
      </c>
      <c r="M95" s="9">
        <f>(((Table1[[#This Row],[launched_at]]/60)/60)/24)+DATE(1970,1,1)</f>
        <v>41202.208333333336</v>
      </c>
      <c r="N95">
        <v>1351054800</v>
      </c>
      <c r="O95" s="9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LEFT(Table1[[#This Row],[category &amp; sub-category]],SEARCH("/",Table1[[#This Row],[category &amp; sub-category]],1)-1)</f>
        <v>theater</v>
      </c>
      <c r="T95" t="str">
        <f>RIGHT(Table1[[#This Row],[category &amp; sub-category]],LEN(Table1[[#This Row],[category &amp; sub-category]])-SEARCH("/",Table1[[#This Row],[category &amp; sub-category]],1))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(Table1[[#This Row],[pledged]]/Table1[[#This Row],[goal]])*100</f>
        <v>303.68965517241378</v>
      </c>
      <c r="G96" t="s">
        <v>20</v>
      </c>
      <c r="H96">
        <v>180</v>
      </c>
      <c r="I96" s="4">
        <f>IFERROR(Table1[[#This Row],[pledged]]/Table1[[#This Row],[backers_count]],0)</f>
        <v>48.927777777777777</v>
      </c>
      <c r="J96" t="s">
        <v>40</v>
      </c>
      <c r="K96" t="s">
        <v>41</v>
      </c>
      <c r="L96">
        <v>1554613200</v>
      </c>
      <c r="M96" s="9">
        <f>(((Table1[[#This Row],[launched_at]]/60)/60)/24)+DATE(1970,1,1)</f>
        <v>43562.208333333328</v>
      </c>
      <c r="N96">
        <v>1555563600</v>
      </c>
      <c r="O96" s="9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LEFT(Table1[[#This Row],[category &amp; sub-category]],SEARCH("/",Table1[[#This Row],[category &amp; sub-category]],1)-1)</f>
        <v>technology</v>
      </c>
      <c r="T96" t="str">
        <f>RIGHT(Table1[[#This Row],[category &amp; sub-category]],LEN(Table1[[#This Row],[category &amp; sub-category]])-SEARCH("/",Table1[[#This Row],[category &amp; sub-category]],1))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(Table1[[#This Row],[pledged]]/Table1[[#This Row],[goal]])*100</f>
        <v>112.99999999999999</v>
      </c>
      <c r="G97" t="s">
        <v>20</v>
      </c>
      <c r="H97">
        <v>27</v>
      </c>
      <c r="I97" s="4">
        <f>IFERROR(Table1[[#This Row],[pledged]]/Table1[[#This Row],[backers_count]],0)</f>
        <v>37.666666666666664</v>
      </c>
      <c r="J97" t="s">
        <v>21</v>
      </c>
      <c r="K97" t="s">
        <v>22</v>
      </c>
      <c r="L97">
        <v>1571029200</v>
      </c>
      <c r="M97" s="9">
        <f>(((Table1[[#This Row],[launched_at]]/60)/60)/24)+DATE(1970,1,1)</f>
        <v>43752.208333333328</v>
      </c>
      <c r="N97">
        <v>1571634000</v>
      </c>
      <c r="O97" s="9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LEFT(Table1[[#This Row],[category &amp; sub-category]],SEARCH("/",Table1[[#This Row],[category &amp; sub-category]],1)-1)</f>
        <v>film &amp; video</v>
      </c>
      <c r="T97" t="str">
        <f>RIGHT(Table1[[#This Row],[category &amp; sub-category]],LEN(Table1[[#This Row],[category &amp; sub-category]])-SEARCH("/",Table1[[#This Row],[category &amp; sub-category]],1))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(Table1[[#This Row],[pledged]]/Table1[[#This Row],[goal]])*100</f>
        <v>217.37876614060258</v>
      </c>
      <c r="G98" t="s">
        <v>20</v>
      </c>
      <c r="H98">
        <v>2331</v>
      </c>
      <c r="I98" s="4">
        <f>IFERROR(Table1[[#This Row],[pledged]]/Table1[[#This Row],[backers_count]],0)</f>
        <v>64.999141999141997</v>
      </c>
      <c r="J98" t="s">
        <v>21</v>
      </c>
      <c r="K98" t="s">
        <v>22</v>
      </c>
      <c r="L98">
        <v>1299736800</v>
      </c>
      <c r="M98" s="9">
        <f>(((Table1[[#This Row],[launched_at]]/60)/60)/24)+DATE(1970,1,1)</f>
        <v>40612.25</v>
      </c>
      <c r="N98">
        <v>1300856400</v>
      </c>
      <c r="O98" s="9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LEFT(Table1[[#This Row],[category &amp; sub-category]],SEARCH("/",Table1[[#This Row],[category &amp; sub-category]],1)-1)</f>
        <v>theater</v>
      </c>
      <c r="T98" t="str">
        <f>RIGHT(Table1[[#This Row],[category &amp; sub-category]],LEN(Table1[[#This Row],[category &amp; sub-category]])-SEARCH("/",Table1[[#This Row],[category &amp; sub-category]],1))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(Table1[[#This Row],[pledged]]/Table1[[#This Row],[goal]])*100</f>
        <v>926.69230769230762</v>
      </c>
      <c r="G99" t="s">
        <v>20</v>
      </c>
      <c r="H99">
        <v>113</v>
      </c>
      <c r="I99" s="4">
        <f>IFERROR(Table1[[#This Row],[pledged]]/Table1[[#This Row],[backers_count]],0)</f>
        <v>106.61061946902655</v>
      </c>
      <c r="J99" t="s">
        <v>21</v>
      </c>
      <c r="K99" t="s">
        <v>22</v>
      </c>
      <c r="L99">
        <v>1435208400</v>
      </c>
      <c r="M99" s="9">
        <f>(((Table1[[#This Row],[launched_at]]/60)/60)/24)+DATE(1970,1,1)</f>
        <v>42180.208333333328</v>
      </c>
      <c r="N99">
        <v>1439874000</v>
      </c>
      <c r="O99" s="9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LEFT(Table1[[#This Row],[category &amp; sub-category]],SEARCH("/",Table1[[#This Row],[category &amp; sub-category]],1)-1)</f>
        <v>food</v>
      </c>
      <c r="T99" t="str">
        <f>RIGHT(Table1[[#This Row],[category &amp; sub-category]],LEN(Table1[[#This Row],[category &amp; sub-category]])-SEARCH("/",Table1[[#This Row],[category &amp; sub-category]],1))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(Table1[[#This Row],[pledged]]/Table1[[#This Row],[goal]])*100</f>
        <v>33.692229038854805</v>
      </c>
      <c r="G100" t="s">
        <v>14</v>
      </c>
      <c r="H100">
        <v>1220</v>
      </c>
      <c r="I100" s="4">
        <f>IFERROR(Table1[[#This Row],[pledged]]/Table1[[#This Row],[backers_count]],0)</f>
        <v>27.009016393442622</v>
      </c>
      <c r="J100" t="s">
        <v>26</v>
      </c>
      <c r="K100" t="s">
        <v>27</v>
      </c>
      <c r="L100">
        <v>1437973200</v>
      </c>
      <c r="M100" s="9">
        <f>(((Table1[[#This Row],[launched_at]]/60)/60)/24)+DATE(1970,1,1)</f>
        <v>42212.208333333328</v>
      </c>
      <c r="N100">
        <v>1438318800</v>
      </c>
      <c r="O100" s="9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LEFT(Table1[[#This Row],[category &amp; sub-category]],SEARCH("/",Table1[[#This Row],[category &amp; sub-category]],1)-1)</f>
        <v>games</v>
      </c>
      <c r="T100" t="str">
        <f>RIGHT(Table1[[#This Row],[category &amp; sub-category]],LEN(Table1[[#This Row],[category &amp; sub-category]])-SEARCH("/",Table1[[#This Row],[category &amp; sub-category]],1))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(Table1[[#This Row],[pledged]]/Table1[[#This Row],[goal]])*100</f>
        <v>196.7236842105263</v>
      </c>
      <c r="G101" t="s">
        <v>20</v>
      </c>
      <c r="H101">
        <v>164</v>
      </c>
      <c r="I101" s="4">
        <f>IFERROR(Table1[[#This Row],[pledged]]/Table1[[#This Row],[backers_count]],0)</f>
        <v>91.16463414634147</v>
      </c>
      <c r="J101" t="s">
        <v>21</v>
      </c>
      <c r="K101" t="s">
        <v>22</v>
      </c>
      <c r="L101">
        <v>1416895200</v>
      </c>
      <c r="M101" s="9">
        <f>(((Table1[[#This Row],[launched_at]]/60)/60)/24)+DATE(1970,1,1)</f>
        <v>41968.25</v>
      </c>
      <c r="N101">
        <v>1419400800</v>
      </c>
      <c r="O101" s="9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LEFT(Table1[[#This Row],[category &amp; sub-category]],SEARCH("/",Table1[[#This Row],[category &amp; sub-category]],1)-1)</f>
        <v>theater</v>
      </c>
      <c r="T101" t="str">
        <f>RIGHT(Table1[[#This Row],[category &amp; sub-category]],LEN(Table1[[#This Row],[category &amp; sub-category]])-SEARCH("/",Table1[[#This Row],[category &amp; sub-category]],1))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(Table1[[#This Row],[pledged]]/Table1[[#This Row],[goal]])*100</f>
        <v>1</v>
      </c>
      <c r="G102" t="s">
        <v>14</v>
      </c>
      <c r="H102">
        <v>1</v>
      </c>
      <c r="I102" s="4">
        <f>IFERROR(Table1[[#This Row],[pledged]]/Table1[[#This Row],[backers_count]],0)</f>
        <v>1</v>
      </c>
      <c r="J102" t="s">
        <v>21</v>
      </c>
      <c r="K102" t="s">
        <v>22</v>
      </c>
      <c r="L102">
        <v>1319000400</v>
      </c>
      <c r="M102" s="9">
        <f>(((Table1[[#This Row],[launched_at]]/60)/60)/24)+DATE(1970,1,1)</f>
        <v>40835.208333333336</v>
      </c>
      <c r="N102">
        <v>1320555600</v>
      </c>
      <c r="O102" s="9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LEFT(Table1[[#This Row],[category &amp; sub-category]],SEARCH("/",Table1[[#This Row],[category &amp; sub-category]],1)-1)</f>
        <v>theater</v>
      </c>
      <c r="T102" t="str">
        <f>RIGHT(Table1[[#This Row],[category &amp; sub-category]],LEN(Table1[[#This Row],[category &amp; sub-category]])-SEARCH("/",Table1[[#This Row],[category &amp; sub-category]],1))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(Table1[[#This Row],[pledged]]/Table1[[#This Row],[goal]])*100</f>
        <v>1021.4444444444445</v>
      </c>
      <c r="G103" t="s">
        <v>20</v>
      </c>
      <c r="H103">
        <v>164</v>
      </c>
      <c r="I103" s="4">
        <f>IFERROR(Table1[[#This Row],[pledged]]/Table1[[#This Row],[backers_count]],0)</f>
        <v>56.054878048780488</v>
      </c>
      <c r="J103" t="s">
        <v>21</v>
      </c>
      <c r="K103" t="s">
        <v>22</v>
      </c>
      <c r="L103">
        <v>1424498400</v>
      </c>
      <c r="M103" s="9">
        <f>(((Table1[[#This Row],[launched_at]]/60)/60)/24)+DATE(1970,1,1)</f>
        <v>42056.25</v>
      </c>
      <c r="N103">
        <v>1425103200</v>
      </c>
      <c r="O103" s="9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LEFT(Table1[[#This Row],[category &amp; sub-category]],SEARCH("/",Table1[[#This Row],[category &amp; sub-category]],1)-1)</f>
        <v>music</v>
      </c>
      <c r="T103" t="str">
        <f>RIGHT(Table1[[#This Row],[category &amp; sub-category]],LEN(Table1[[#This Row],[category &amp; sub-category]])-SEARCH("/",Table1[[#This Row],[category &amp; sub-category]],1))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(Table1[[#This Row],[pledged]]/Table1[[#This Row],[goal]])*100</f>
        <v>281.67567567567568</v>
      </c>
      <c r="G104" t="s">
        <v>20</v>
      </c>
      <c r="H104">
        <v>336</v>
      </c>
      <c r="I104" s="4">
        <f>IFERROR(Table1[[#This Row],[pledged]]/Table1[[#This Row],[backers_count]],0)</f>
        <v>31.017857142857142</v>
      </c>
      <c r="J104" t="s">
        <v>21</v>
      </c>
      <c r="K104" t="s">
        <v>22</v>
      </c>
      <c r="L104">
        <v>1526274000</v>
      </c>
      <c r="M104" s="9">
        <f>(((Table1[[#This Row],[launched_at]]/60)/60)/24)+DATE(1970,1,1)</f>
        <v>43234.208333333328</v>
      </c>
      <c r="N104">
        <v>1526878800</v>
      </c>
      <c r="O104" s="9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LEFT(Table1[[#This Row],[category &amp; sub-category]],SEARCH("/",Table1[[#This Row],[category &amp; sub-category]],1)-1)</f>
        <v>technology</v>
      </c>
      <c r="T104" t="str">
        <f>RIGHT(Table1[[#This Row],[category &amp; sub-category]],LEN(Table1[[#This Row],[category &amp; sub-category]])-SEARCH("/",Table1[[#This Row],[category &amp; sub-category]],1))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(Table1[[#This Row],[pledged]]/Table1[[#This Row],[goal]])*100</f>
        <v>24.610000000000003</v>
      </c>
      <c r="G105" t="s">
        <v>14</v>
      </c>
      <c r="H105">
        <v>37</v>
      </c>
      <c r="I105" s="4">
        <f>IFERROR(Table1[[#This Row],[pledged]]/Table1[[#This Row],[backers_count]],0)</f>
        <v>66.513513513513516</v>
      </c>
      <c r="J105" t="s">
        <v>107</v>
      </c>
      <c r="K105" t="s">
        <v>108</v>
      </c>
      <c r="L105">
        <v>1287896400</v>
      </c>
      <c r="M105" s="9">
        <f>(((Table1[[#This Row],[launched_at]]/60)/60)/24)+DATE(1970,1,1)</f>
        <v>40475.208333333336</v>
      </c>
      <c r="N105">
        <v>1288674000</v>
      </c>
      <c r="O105" s="9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LEFT(Table1[[#This Row],[category &amp; sub-category]],SEARCH("/",Table1[[#This Row],[category &amp; sub-category]],1)-1)</f>
        <v>music</v>
      </c>
      <c r="T105" t="str">
        <f>RIGHT(Table1[[#This Row],[category &amp; sub-category]],LEN(Table1[[#This Row],[category &amp; sub-category]])-SEARCH("/",Table1[[#This Row],[category &amp; sub-category]],1))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(Table1[[#This Row],[pledged]]/Table1[[#This Row],[goal]])*100</f>
        <v>143.14010067114094</v>
      </c>
      <c r="G106" t="s">
        <v>20</v>
      </c>
      <c r="H106">
        <v>1917</v>
      </c>
      <c r="I106" s="4">
        <f>IFERROR(Table1[[#This Row],[pledged]]/Table1[[#This Row],[backers_count]],0)</f>
        <v>89.005216484089729</v>
      </c>
      <c r="J106" t="s">
        <v>21</v>
      </c>
      <c r="K106" t="s">
        <v>22</v>
      </c>
      <c r="L106">
        <v>1495515600</v>
      </c>
      <c r="M106" s="9">
        <f>(((Table1[[#This Row],[launched_at]]/60)/60)/24)+DATE(1970,1,1)</f>
        <v>42878.208333333328</v>
      </c>
      <c r="N106">
        <v>1495602000</v>
      </c>
      <c r="O106" s="9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LEFT(Table1[[#This Row],[category &amp; sub-category]],SEARCH("/",Table1[[#This Row],[category &amp; sub-category]],1)-1)</f>
        <v>music</v>
      </c>
      <c r="T106" t="str">
        <f>RIGHT(Table1[[#This Row],[category &amp; sub-category]],LEN(Table1[[#This Row],[category &amp; sub-category]])-SEARCH("/",Table1[[#This Row],[category &amp; sub-category]],1))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(Table1[[#This Row],[pledged]]/Table1[[#This Row],[goal]])*100</f>
        <v>144.54411764705884</v>
      </c>
      <c r="G107" t="s">
        <v>20</v>
      </c>
      <c r="H107">
        <v>95</v>
      </c>
      <c r="I107" s="4">
        <f>IFERROR(Table1[[#This Row],[pledged]]/Table1[[#This Row],[backers_count]],0)</f>
        <v>103.46315789473684</v>
      </c>
      <c r="J107" t="s">
        <v>21</v>
      </c>
      <c r="K107" t="s">
        <v>22</v>
      </c>
      <c r="L107">
        <v>1364878800</v>
      </c>
      <c r="M107" s="9">
        <f>(((Table1[[#This Row],[launched_at]]/60)/60)/24)+DATE(1970,1,1)</f>
        <v>41366.208333333336</v>
      </c>
      <c r="N107">
        <v>1366434000</v>
      </c>
      <c r="O107" s="9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LEFT(Table1[[#This Row],[category &amp; sub-category]],SEARCH("/",Table1[[#This Row],[category &amp; sub-category]],1)-1)</f>
        <v>technology</v>
      </c>
      <c r="T107" t="str">
        <f>RIGHT(Table1[[#This Row],[category &amp; sub-category]],LEN(Table1[[#This Row],[category &amp; sub-category]])-SEARCH("/",Table1[[#This Row],[category &amp; sub-category]],1))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(Table1[[#This Row],[pledged]]/Table1[[#This Row],[goal]])*100</f>
        <v>359.12820512820514</v>
      </c>
      <c r="G108" t="s">
        <v>20</v>
      </c>
      <c r="H108">
        <v>147</v>
      </c>
      <c r="I108" s="4">
        <f>IFERROR(Table1[[#This Row],[pledged]]/Table1[[#This Row],[backers_count]],0)</f>
        <v>95.278911564625844</v>
      </c>
      <c r="J108" t="s">
        <v>21</v>
      </c>
      <c r="K108" t="s">
        <v>22</v>
      </c>
      <c r="L108">
        <v>1567918800</v>
      </c>
      <c r="M108" s="9">
        <f>(((Table1[[#This Row],[launched_at]]/60)/60)/24)+DATE(1970,1,1)</f>
        <v>43716.208333333328</v>
      </c>
      <c r="N108">
        <v>1568350800</v>
      </c>
      <c r="O108" s="9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LEFT(Table1[[#This Row],[category &amp; sub-category]],SEARCH("/",Table1[[#This Row],[category &amp; sub-category]],1)-1)</f>
        <v>theater</v>
      </c>
      <c r="T108" t="str">
        <f>RIGHT(Table1[[#This Row],[category &amp; sub-category]],LEN(Table1[[#This Row],[category &amp; sub-category]])-SEARCH("/",Table1[[#This Row],[category &amp; sub-category]],1))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(Table1[[#This Row],[pledged]]/Table1[[#This Row],[goal]])*100</f>
        <v>186.48571428571427</v>
      </c>
      <c r="G109" t="s">
        <v>20</v>
      </c>
      <c r="H109">
        <v>86</v>
      </c>
      <c r="I109" s="4">
        <f>IFERROR(Table1[[#This Row],[pledged]]/Table1[[#This Row],[backers_count]],0)</f>
        <v>75.895348837209298</v>
      </c>
      <c r="J109" t="s">
        <v>21</v>
      </c>
      <c r="K109" t="s">
        <v>22</v>
      </c>
      <c r="L109">
        <v>1524459600</v>
      </c>
      <c r="M109" s="9">
        <f>(((Table1[[#This Row],[launched_at]]/60)/60)/24)+DATE(1970,1,1)</f>
        <v>43213.208333333328</v>
      </c>
      <c r="N109">
        <v>1525928400</v>
      </c>
      <c r="O109" s="9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LEFT(Table1[[#This Row],[category &amp; sub-category]],SEARCH("/",Table1[[#This Row],[category &amp; sub-category]],1)-1)</f>
        <v>theater</v>
      </c>
      <c r="T109" t="str">
        <f>RIGHT(Table1[[#This Row],[category &amp; sub-category]],LEN(Table1[[#This Row],[category &amp; sub-category]])-SEARCH("/",Table1[[#This Row],[category &amp; sub-category]],1))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(Table1[[#This Row],[pledged]]/Table1[[#This Row],[goal]])*100</f>
        <v>595.26666666666665</v>
      </c>
      <c r="G110" t="s">
        <v>20</v>
      </c>
      <c r="H110">
        <v>83</v>
      </c>
      <c r="I110" s="4">
        <f>IFERROR(Table1[[#This Row],[pledged]]/Table1[[#This Row],[backers_count]],0)</f>
        <v>107.57831325301204</v>
      </c>
      <c r="J110" t="s">
        <v>21</v>
      </c>
      <c r="K110" t="s">
        <v>22</v>
      </c>
      <c r="L110">
        <v>1333688400</v>
      </c>
      <c r="M110" s="9">
        <f>(((Table1[[#This Row],[launched_at]]/60)/60)/24)+DATE(1970,1,1)</f>
        <v>41005.208333333336</v>
      </c>
      <c r="N110">
        <v>1336885200</v>
      </c>
      <c r="O110" s="9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LEFT(Table1[[#This Row],[category &amp; sub-category]],SEARCH("/",Table1[[#This Row],[category &amp; sub-category]],1)-1)</f>
        <v>film &amp; video</v>
      </c>
      <c r="T110" t="str">
        <f>RIGHT(Table1[[#This Row],[category &amp; sub-category]],LEN(Table1[[#This Row],[category &amp; sub-category]])-SEARCH("/",Table1[[#This Row],[category &amp; sub-category]],1))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(Table1[[#This Row],[pledged]]/Table1[[#This Row],[goal]])*100</f>
        <v>59.21153846153846</v>
      </c>
      <c r="G111" t="s">
        <v>14</v>
      </c>
      <c r="H111">
        <v>60</v>
      </c>
      <c r="I111" s="4">
        <f>IFERROR(Table1[[#This Row],[pledged]]/Table1[[#This Row],[backers_count]],0)</f>
        <v>51.31666666666667</v>
      </c>
      <c r="J111" t="s">
        <v>21</v>
      </c>
      <c r="K111" t="s">
        <v>22</v>
      </c>
      <c r="L111">
        <v>1389506400</v>
      </c>
      <c r="M111" s="9">
        <f>(((Table1[[#This Row],[launched_at]]/60)/60)/24)+DATE(1970,1,1)</f>
        <v>41651.25</v>
      </c>
      <c r="N111">
        <v>1389679200</v>
      </c>
      <c r="O111" s="9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LEFT(Table1[[#This Row],[category &amp; sub-category]],SEARCH("/",Table1[[#This Row],[category &amp; sub-category]],1)-1)</f>
        <v>film &amp; video</v>
      </c>
      <c r="T111" t="str">
        <f>RIGHT(Table1[[#This Row],[category &amp; sub-category]],LEN(Table1[[#This Row],[category &amp; sub-category]])-SEARCH("/",Table1[[#This Row],[category &amp; sub-category]],1))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(Table1[[#This Row],[pledged]]/Table1[[#This Row],[goal]])*100</f>
        <v>14.962780898876405</v>
      </c>
      <c r="G112" t="s">
        <v>14</v>
      </c>
      <c r="H112">
        <v>296</v>
      </c>
      <c r="I112" s="4">
        <f>IFERROR(Table1[[#This Row],[pledged]]/Table1[[#This Row],[backers_count]],0)</f>
        <v>71.983108108108112</v>
      </c>
      <c r="J112" t="s">
        <v>21</v>
      </c>
      <c r="K112" t="s">
        <v>22</v>
      </c>
      <c r="L112">
        <v>1536642000</v>
      </c>
      <c r="M112" s="9">
        <f>(((Table1[[#This Row],[launched_at]]/60)/60)/24)+DATE(1970,1,1)</f>
        <v>43354.208333333328</v>
      </c>
      <c r="N112">
        <v>1538283600</v>
      </c>
      <c r="O112" s="9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LEFT(Table1[[#This Row],[category &amp; sub-category]],SEARCH("/",Table1[[#This Row],[category &amp; sub-category]],1)-1)</f>
        <v>food</v>
      </c>
      <c r="T112" t="str">
        <f>RIGHT(Table1[[#This Row],[category &amp; sub-category]],LEN(Table1[[#This Row],[category &amp; sub-category]])-SEARCH("/",Table1[[#This Row],[category &amp; sub-category]],1))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(Table1[[#This Row],[pledged]]/Table1[[#This Row],[goal]])*100</f>
        <v>119.95602605863192</v>
      </c>
      <c r="G113" t="s">
        <v>20</v>
      </c>
      <c r="H113">
        <v>676</v>
      </c>
      <c r="I113" s="4">
        <f>IFERROR(Table1[[#This Row],[pledged]]/Table1[[#This Row],[backers_count]],0)</f>
        <v>108.95414201183432</v>
      </c>
      <c r="J113" t="s">
        <v>21</v>
      </c>
      <c r="K113" t="s">
        <v>22</v>
      </c>
      <c r="L113">
        <v>1348290000</v>
      </c>
      <c r="M113" s="9">
        <f>(((Table1[[#This Row],[launched_at]]/60)/60)/24)+DATE(1970,1,1)</f>
        <v>41174.208333333336</v>
      </c>
      <c r="N113">
        <v>1348808400</v>
      </c>
      <c r="O113" s="9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LEFT(Table1[[#This Row],[category &amp; sub-category]],SEARCH("/",Table1[[#This Row],[category &amp; sub-category]],1)-1)</f>
        <v>publishing</v>
      </c>
      <c r="T113" t="str">
        <f>RIGHT(Table1[[#This Row],[category &amp; sub-category]],LEN(Table1[[#This Row],[category &amp; sub-category]])-SEARCH("/",Table1[[#This Row],[category &amp; sub-category]],1))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(Table1[[#This Row],[pledged]]/Table1[[#This Row],[goal]])*100</f>
        <v>268.82978723404256</v>
      </c>
      <c r="G114" t="s">
        <v>20</v>
      </c>
      <c r="H114">
        <v>361</v>
      </c>
      <c r="I114" s="4">
        <f>IFERROR(Table1[[#This Row],[pledged]]/Table1[[#This Row],[backers_count]],0)</f>
        <v>35</v>
      </c>
      <c r="J114" t="s">
        <v>26</v>
      </c>
      <c r="K114" t="s">
        <v>27</v>
      </c>
      <c r="L114">
        <v>1408856400</v>
      </c>
      <c r="M114" s="9">
        <f>(((Table1[[#This Row],[launched_at]]/60)/60)/24)+DATE(1970,1,1)</f>
        <v>41875.208333333336</v>
      </c>
      <c r="N114">
        <v>1410152400</v>
      </c>
      <c r="O114" s="9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LEFT(Table1[[#This Row],[category &amp; sub-category]],SEARCH("/",Table1[[#This Row],[category &amp; sub-category]],1)-1)</f>
        <v>technology</v>
      </c>
      <c r="T114" t="str">
        <f>RIGHT(Table1[[#This Row],[category &amp; sub-category]],LEN(Table1[[#This Row],[category &amp; sub-category]])-SEARCH("/",Table1[[#This Row],[category &amp; sub-category]],1))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(Table1[[#This Row],[pledged]]/Table1[[#This Row],[goal]])*100</f>
        <v>376.87878787878788</v>
      </c>
      <c r="G115" t="s">
        <v>20</v>
      </c>
      <c r="H115">
        <v>131</v>
      </c>
      <c r="I115" s="4">
        <f>IFERROR(Table1[[#This Row],[pledged]]/Table1[[#This Row],[backers_count]],0)</f>
        <v>94.938931297709928</v>
      </c>
      <c r="J115" t="s">
        <v>21</v>
      </c>
      <c r="K115" t="s">
        <v>22</v>
      </c>
      <c r="L115">
        <v>1505192400</v>
      </c>
      <c r="M115" s="9">
        <f>(((Table1[[#This Row],[launched_at]]/60)/60)/24)+DATE(1970,1,1)</f>
        <v>42990.208333333328</v>
      </c>
      <c r="N115">
        <v>1505797200</v>
      </c>
      <c r="O115" s="9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LEFT(Table1[[#This Row],[category &amp; sub-category]],SEARCH("/",Table1[[#This Row],[category &amp; sub-category]],1)-1)</f>
        <v>food</v>
      </c>
      <c r="T115" t="str">
        <f>RIGHT(Table1[[#This Row],[category &amp; sub-category]],LEN(Table1[[#This Row],[category &amp; sub-category]])-SEARCH("/",Table1[[#This Row],[category &amp; sub-category]],1))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(Table1[[#This Row],[pledged]]/Table1[[#This Row],[goal]])*100</f>
        <v>727.15789473684208</v>
      </c>
      <c r="G116" t="s">
        <v>20</v>
      </c>
      <c r="H116">
        <v>126</v>
      </c>
      <c r="I116" s="4">
        <f>IFERROR(Table1[[#This Row],[pledged]]/Table1[[#This Row],[backers_count]],0)</f>
        <v>109.65079365079364</v>
      </c>
      <c r="J116" t="s">
        <v>21</v>
      </c>
      <c r="K116" t="s">
        <v>22</v>
      </c>
      <c r="L116">
        <v>1554786000</v>
      </c>
      <c r="M116" s="9">
        <f>(((Table1[[#This Row],[launched_at]]/60)/60)/24)+DATE(1970,1,1)</f>
        <v>43564.208333333328</v>
      </c>
      <c r="N116">
        <v>1554872400</v>
      </c>
      <c r="O116" s="9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LEFT(Table1[[#This Row],[category &amp; sub-category]],SEARCH("/",Table1[[#This Row],[category &amp; sub-category]],1)-1)</f>
        <v>technology</v>
      </c>
      <c r="T116" t="str">
        <f>RIGHT(Table1[[#This Row],[category &amp; sub-category]],LEN(Table1[[#This Row],[category &amp; sub-category]])-SEARCH("/",Table1[[#This Row],[category &amp; sub-category]],1))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(Table1[[#This Row],[pledged]]/Table1[[#This Row],[goal]])*100</f>
        <v>87.211757648470297</v>
      </c>
      <c r="G117" t="s">
        <v>14</v>
      </c>
      <c r="H117">
        <v>3304</v>
      </c>
      <c r="I117" s="4">
        <f>IFERROR(Table1[[#This Row],[pledged]]/Table1[[#This Row],[backers_count]],0)</f>
        <v>44.001815980629537</v>
      </c>
      <c r="J117" t="s">
        <v>107</v>
      </c>
      <c r="K117" t="s">
        <v>108</v>
      </c>
      <c r="L117">
        <v>1510898400</v>
      </c>
      <c r="M117" s="9">
        <f>(((Table1[[#This Row],[launched_at]]/60)/60)/24)+DATE(1970,1,1)</f>
        <v>43056.25</v>
      </c>
      <c r="N117">
        <v>1513922400</v>
      </c>
      <c r="O117" s="9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LEFT(Table1[[#This Row],[category &amp; sub-category]],SEARCH("/",Table1[[#This Row],[category &amp; sub-category]],1)-1)</f>
        <v>publishing</v>
      </c>
      <c r="T117" t="str">
        <f>RIGHT(Table1[[#This Row],[category &amp; sub-category]],LEN(Table1[[#This Row],[category &amp; sub-category]])-SEARCH("/",Table1[[#This Row],[category &amp; sub-category]],1))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(Table1[[#This Row],[pledged]]/Table1[[#This Row],[goal]])*100</f>
        <v>88</v>
      </c>
      <c r="G118" t="s">
        <v>14</v>
      </c>
      <c r="H118">
        <v>73</v>
      </c>
      <c r="I118" s="4">
        <f>IFERROR(Table1[[#This Row],[pledged]]/Table1[[#This Row],[backers_count]],0)</f>
        <v>86.794520547945211</v>
      </c>
      <c r="J118" t="s">
        <v>21</v>
      </c>
      <c r="K118" t="s">
        <v>22</v>
      </c>
      <c r="L118">
        <v>1442552400</v>
      </c>
      <c r="M118" s="9">
        <f>(((Table1[[#This Row],[launched_at]]/60)/60)/24)+DATE(1970,1,1)</f>
        <v>42265.208333333328</v>
      </c>
      <c r="N118">
        <v>1442638800</v>
      </c>
      <c r="O118" s="9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LEFT(Table1[[#This Row],[category &amp; sub-category]],SEARCH("/",Table1[[#This Row],[category &amp; sub-category]],1)-1)</f>
        <v>theater</v>
      </c>
      <c r="T118" t="str">
        <f>RIGHT(Table1[[#This Row],[category &amp; sub-category]],LEN(Table1[[#This Row],[category &amp; sub-category]])-SEARCH("/",Table1[[#This Row],[category &amp; sub-category]],1))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(Table1[[#This Row],[pledged]]/Table1[[#This Row],[goal]])*100</f>
        <v>173.9387755102041</v>
      </c>
      <c r="G119" t="s">
        <v>20</v>
      </c>
      <c r="H119">
        <v>275</v>
      </c>
      <c r="I119" s="4">
        <f>IFERROR(Table1[[#This Row],[pledged]]/Table1[[#This Row],[backers_count]],0)</f>
        <v>30.992727272727272</v>
      </c>
      <c r="J119" t="s">
        <v>21</v>
      </c>
      <c r="K119" t="s">
        <v>22</v>
      </c>
      <c r="L119">
        <v>1316667600</v>
      </c>
      <c r="M119" s="9">
        <f>(((Table1[[#This Row],[launched_at]]/60)/60)/24)+DATE(1970,1,1)</f>
        <v>40808.208333333336</v>
      </c>
      <c r="N119">
        <v>1317186000</v>
      </c>
      <c r="O119" s="9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LEFT(Table1[[#This Row],[category &amp; sub-category]],SEARCH("/",Table1[[#This Row],[category &amp; sub-category]],1)-1)</f>
        <v>film &amp; video</v>
      </c>
      <c r="T119" t="str">
        <f>RIGHT(Table1[[#This Row],[category &amp; sub-category]],LEN(Table1[[#This Row],[category &amp; sub-category]])-SEARCH("/",Table1[[#This Row],[category &amp; sub-category]],1))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(Table1[[#This Row],[pledged]]/Table1[[#This Row],[goal]])*100</f>
        <v>117.61111111111111</v>
      </c>
      <c r="G120" t="s">
        <v>20</v>
      </c>
      <c r="H120">
        <v>67</v>
      </c>
      <c r="I120" s="4">
        <f>IFERROR(Table1[[#This Row],[pledged]]/Table1[[#This Row],[backers_count]],0)</f>
        <v>94.791044776119406</v>
      </c>
      <c r="J120" t="s">
        <v>21</v>
      </c>
      <c r="K120" t="s">
        <v>22</v>
      </c>
      <c r="L120">
        <v>1390716000</v>
      </c>
      <c r="M120" s="9">
        <f>(((Table1[[#This Row],[launched_at]]/60)/60)/24)+DATE(1970,1,1)</f>
        <v>41665.25</v>
      </c>
      <c r="N120">
        <v>1391234400</v>
      </c>
      <c r="O120" s="9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LEFT(Table1[[#This Row],[category &amp; sub-category]],SEARCH("/",Table1[[#This Row],[category &amp; sub-category]],1)-1)</f>
        <v>photography</v>
      </c>
      <c r="T120" t="str">
        <f>RIGHT(Table1[[#This Row],[category &amp; sub-category]],LEN(Table1[[#This Row],[category &amp; sub-category]])-SEARCH("/",Table1[[#This Row],[category &amp; sub-category]],1))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(Table1[[#This Row],[pledged]]/Table1[[#This Row],[goal]])*100</f>
        <v>214.96</v>
      </c>
      <c r="G121" t="s">
        <v>20</v>
      </c>
      <c r="H121">
        <v>154</v>
      </c>
      <c r="I121" s="4">
        <f>IFERROR(Table1[[#This Row],[pledged]]/Table1[[#This Row],[backers_count]],0)</f>
        <v>69.79220779220779</v>
      </c>
      <c r="J121" t="s">
        <v>21</v>
      </c>
      <c r="K121" t="s">
        <v>22</v>
      </c>
      <c r="L121">
        <v>1402894800</v>
      </c>
      <c r="M121" s="9">
        <f>(((Table1[[#This Row],[launched_at]]/60)/60)/24)+DATE(1970,1,1)</f>
        <v>41806.208333333336</v>
      </c>
      <c r="N121">
        <v>1404363600</v>
      </c>
      <c r="O121" s="9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LEFT(Table1[[#This Row],[category &amp; sub-category]],SEARCH("/",Table1[[#This Row],[category &amp; sub-category]],1)-1)</f>
        <v>film &amp; video</v>
      </c>
      <c r="T121" t="str">
        <f>RIGHT(Table1[[#This Row],[category &amp; sub-category]],LEN(Table1[[#This Row],[category &amp; sub-category]])-SEARCH("/",Table1[[#This Row],[category &amp; sub-category]],1))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(Table1[[#This Row],[pledged]]/Table1[[#This Row],[goal]])*100</f>
        <v>149.49667110519306</v>
      </c>
      <c r="G122" t="s">
        <v>20</v>
      </c>
      <c r="H122">
        <v>1782</v>
      </c>
      <c r="I122" s="4">
        <f>IFERROR(Table1[[#This Row],[pledged]]/Table1[[#This Row],[backers_count]],0)</f>
        <v>63.003367003367003</v>
      </c>
      <c r="J122" t="s">
        <v>21</v>
      </c>
      <c r="K122" t="s">
        <v>22</v>
      </c>
      <c r="L122">
        <v>1429246800</v>
      </c>
      <c r="M122" s="9">
        <f>(((Table1[[#This Row],[launched_at]]/60)/60)/24)+DATE(1970,1,1)</f>
        <v>42111.208333333328</v>
      </c>
      <c r="N122">
        <v>1429592400</v>
      </c>
      <c r="O122" s="9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LEFT(Table1[[#This Row],[category &amp; sub-category]],SEARCH("/",Table1[[#This Row],[category &amp; sub-category]],1)-1)</f>
        <v>games</v>
      </c>
      <c r="T122" t="str">
        <f>RIGHT(Table1[[#This Row],[category &amp; sub-category]],LEN(Table1[[#This Row],[category &amp; sub-category]])-SEARCH("/",Table1[[#This Row],[category &amp; sub-category]],1))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(Table1[[#This Row],[pledged]]/Table1[[#This Row],[goal]])*100</f>
        <v>219.33995584988963</v>
      </c>
      <c r="G123" t="s">
        <v>20</v>
      </c>
      <c r="H123">
        <v>903</v>
      </c>
      <c r="I123" s="4">
        <f>IFERROR(Table1[[#This Row],[pledged]]/Table1[[#This Row],[backers_count]],0)</f>
        <v>110.0343300110742</v>
      </c>
      <c r="J123" t="s">
        <v>21</v>
      </c>
      <c r="K123" t="s">
        <v>22</v>
      </c>
      <c r="L123">
        <v>1412485200</v>
      </c>
      <c r="M123" s="9">
        <f>(((Table1[[#This Row],[launched_at]]/60)/60)/24)+DATE(1970,1,1)</f>
        <v>41917.208333333336</v>
      </c>
      <c r="N123">
        <v>1413608400</v>
      </c>
      <c r="O123" s="9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LEFT(Table1[[#This Row],[category &amp; sub-category]],SEARCH("/",Table1[[#This Row],[category &amp; sub-category]],1)-1)</f>
        <v>games</v>
      </c>
      <c r="T123" t="str">
        <f>RIGHT(Table1[[#This Row],[category &amp; sub-category]],LEN(Table1[[#This Row],[category &amp; sub-category]])-SEARCH("/",Table1[[#This Row],[category &amp; sub-category]],1))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(Table1[[#This Row],[pledged]]/Table1[[#This Row],[goal]])*100</f>
        <v>64.367690058479525</v>
      </c>
      <c r="G124" t="s">
        <v>14</v>
      </c>
      <c r="H124">
        <v>3387</v>
      </c>
      <c r="I124" s="4">
        <f>IFERROR(Table1[[#This Row],[pledged]]/Table1[[#This Row],[backers_count]],0)</f>
        <v>25.997933274284026</v>
      </c>
      <c r="J124" t="s">
        <v>21</v>
      </c>
      <c r="K124" t="s">
        <v>22</v>
      </c>
      <c r="L124">
        <v>1417068000</v>
      </c>
      <c r="M124" s="9">
        <f>(((Table1[[#This Row],[launched_at]]/60)/60)/24)+DATE(1970,1,1)</f>
        <v>41970.25</v>
      </c>
      <c r="N124">
        <v>1419400800</v>
      </c>
      <c r="O124" s="9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LEFT(Table1[[#This Row],[category &amp; sub-category]],SEARCH("/",Table1[[#This Row],[category &amp; sub-category]],1)-1)</f>
        <v>publishing</v>
      </c>
      <c r="T124" t="str">
        <f>RIGHT(Table1[[#This Row],[category &amp; sub-category]],LEN(Table1[[#This Row],[category &amp; sub-category]])-SEARCH("/",Table1[[#This Row],[category &amp; sub-category]],1))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(Table1[[#This Row],[pledged]]/Table1[[#This Row],[goal]])*100</f>
        <v>18.622397298818232</v>
      </c>
      <c r="G125" t="s">
        <v>14</v>
      </c>
      <c r="H125">
        <v>662</v>
      </c>
      <c r="I125" s="4">
        <f>IFERROR(Table1[[#This Row],[pledged]]/Table1[[#This Row],[backers_count]],0)</f>
        <v>49.987915407854985</v>
      </c>
      <c r="J125" t="s">
        <v>15</v>
      </c>
      <c r="K125" t="s">
        <v>16</v>
      </c>
      <c r="L125">
        <v>1448344800</v>
      </c>
      <c r="M125" s="9">
        <f>(((Table1[[#This Row],[launched_at]]/60)/60)/24)+DATE(1970,1,1)</f>
        <v>42332.25</v>
      </c>
      <c r="N125">
        <v>1448604000</v>
      </c>
      <c r="O125" s="9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LEFT(Table1[[#This Row],[category &amp; sub-category]],SEARCH("/",Table1[[#This Row],[category &amp; sub-category]],1)-1)</f>
        <v>theater</v>
      </c>
      <c r="T125" t="str">
        <f>RIGHT(Table1[[#This Row],[category &amp; sub-category]],LEN(Table1[[#This Row],[category &amp; sub-category]])-SEARCH("/",Table1[[#This Row],[category &amp; sub-category]],1))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(Table1[[#This Row],[pledged]]/Table1[[#This Row],[goal]])*100</f>
        <v>367.76923076923077</v>
      </c>
      <c r="G126" t="s">
        <v>20</v>
      </c>
      <c r="H126">
        <v>94</v>
      </c>
      <c r="I126" s="4">
        <f>IFERROR(Table1[[#This Row],[pledged]]/Table1[[#This Row],[backers_count]],0)</f>
        <v>101.72340425531915</v>
      </c>
      <c r="J126" t="s">
        <v>107</v>
      </c>
      <c r="K126" t="s">
        <v>108</v>
      </c>
      <c r="L126">
        <v>1557723600</v>
      </c>
      <c r="M126" s="9">
        <f>(((Table1[[#This Row],[launched_at]]/60)/60)/24)+DATE(1970,1,1)</f>
        <v>43598.208333333328</v>
      </c>
      <c r="N126">
        <v>1562302800</v>
      </c>
      <c r="O126" s="9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LEFT(Table1[[#This Row],[category &amp; sub-category]],SEARCH("/",Table1[[#This Row],[category &amp; sub-category]],1)-1)</f>
        <v>photography</v>
      </c>
      <c r="T126" t="str">
        <f>RIGHT(Table1[[#This Row],[category &amp; sub-category]],LEN(Table1[[#This Row],[category &amp; sub-category]])-SEARCH("/",Table1[[#This Row],[category &amp; sub-category]],1))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(Table1[[#This Row],[pledged]]/Table1[[#This Row],[goal]])*100</f>
        <v>159.90566037735849</v>
      </c>
      <c r="G127" t="s">
        <v>20</v>
      </c>
      <c r="H127">
        <v>180</v>
      </c>
      <c r="I127" s="4">
        <f>IFERROR(Table1[[#This Row],[pledged]]/Table1[[#This Row],[backers_count]],0)</f>
        <v>47.083333333333336</v>
      </c>
      <c r="J127" t="s">
        <v>21</v>
      </c>
      <c r="K127" t="s">
        <v>22</v>
      </c>
      <c r="L127">
        <v>1537333200</v>
      </c>
      <c r="M127" s="9">
        <f>(((Table1[[#This Row],[launched_at]]/60)/60)/24)+DATE(1970,1,1)</f>
        <v>43362.208333333328</v>
      </c>
      <c r="N127">
        <v>1537678800</v>
      </c>
      <c r="O127" s="9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LEFT(Table1[[#This Row],[category &amp; sub-category]],SEARCH("/",Table1[[#This Row],[category &amp; sub-category]],1)-1)</f>
        <v>theater</v>
      </c>
      <c r="T127" t="str">
        <f>RIGHT(Table1[[#This Row],[category &amp; sub-category]],LEN(Table1[[#This Row],[category &amp; sub-category]])-SEARCH("/",Table1[[#This Row],[category &amp; sub-category]],1))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(Table1[[#This Row],[pledged]]/Table1[[#This Row],[goal]])*100</f>
        <v>38.633185349611544</v>
      </c>
      <c r="G128" t="s">
        <v>14</v>
      </c>
      <c r="H128">
        <v>774</v>
      </c>
      <c r="I128" s="4">
        <f>IFERROR(Table1[[#This Row],[pledged]]/Table1[[#This Row],[backers_count]],0)</f>
        <v>89.944444444444443</v>
      </c>
      <c r="J128" t="s">
        <v>21</v>
      </c>
      <c r="K128" t="s">
        <v>22</v>
      </c>
      <c r="L128">
        <v>1471150800</v>
      </c>
      <c r="M128" s="9">
        <f>(((Table1[[#This Row],[launched_at]]/60)/60)/24)+DATE(1970,1,1)</f>
        <v>42596.208333333328</v>
      </c>
      <c r="N128">
        <v>1473570000</v>
      </c>
      <c r="O128" s="9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LEFT(Table1[[#This Row],[category &amp; sub-category]],SEARCH("/",Table1[[#This Row],[category &amp; sub-category]],1)-1)</f>
        <v>theater</v>
      </c>
      <c r="T128" t="str">
        <f>RIGHT(Table1[[#This Row],[category &amp; sub-category]],LEN(Table1[[#This Row],[category &amp; sub-category]])-SEARCH("/",Table1[[#This Row],[category &amp; sub-category]],1))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(Table1[[#This Row],[pledged]]/Table1[[#This Row],[goal]])*100</f>
        <v>51.42151162790698</v>
      </c>
      <c r="G129" t="s">
        <v>14</v>
      </c>
      <c r="H129">
        <v>672</v>
      </c>
      <c r="I129" s="4">
        <f>IFERROR(Table1[[#This Row],[pledged]]/Table1[[#This Row],[backers_count]],0)</f>
        <v>78.96875</v>
      </c>
      <c r="J129" t="s">
        <v>15</v>
      </c>
      <c r="K129" t="s">
        <v>16</v>
      </c>
      <c r="L129">
        <v>1273640400</v>
      </c>
      <c r="M129" s="9">
        <f>(((Table1[[#This Row],[launched_at]]/60)/60)/24)+DATE(1970,1,1)</f>
        <v>40310.208333333336</v>
      </c>
      <c r="N129">
        <v>1273899600</v>
      </c>
      <c r="O129" s="9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LEFT(Table1[[#This Row],[category &amp; sub-category]],SEARCH("/",Table1[[#This Row],[category &amp; sub-category]],1)-1)</f>
        <v>theater</v>
      </c>
      <c r="T129" t="str">
        <f>RIGHT(Table1[[#This Row],[category &amp; sub-category]],LEN(Table1[[#This Row],[category &amp; sub-category]])-SEARCH("/",Table1[[#This Row],[category &amp; sub-category]],1))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(Table1[[#This Row],[pledged]]/Table1[[#This Row],[goal]])*100</f>
        <v>60.334277620396605</v>
      </c>
      <c r="G130" t="s">
        <v>74</v>
      </c>
      <c r="H130">
        <v>532</v>
      </c>
      <c r="I130" s="4">
        <f>IFERROR(Table1[[#This Row],[pledged]]/Table1[[#This Row],[backers_count]],0)</f>
        <v>80.067669172932327</v>
      </c>
      <c r="J130" t="s">
        <v>21</v>
      </c>
      <c r="K130" t="s">
        <v>22</v>
      </c>
      <c r="L130">
        <v>1282885200</v>
      </c>
      <c r="M130" s="9">
        <f>(((Table1[[#This Row],[launched_at]]/60)/60)/24)+DATE(1970,1,1)</f>
        <v>40417.208333333336</v>
      </c>
      <c r="N130">
        <v>1284008400</v>
      </c>
      <c r="O130" s="9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LEFT(Table1[[#This Row],[category &amp; sub-category]],SEARCH("/",Table1[[#This Row],[category &amp; sub-category]],1)-1)</f>
        <v>music</v>
      </c>
      <c r="T130" t="str">
        <f>RIGHT(Table1[[#This Row],[category &amp; sub-category]],LEN(Table1[[#This Row],[category &amp; sub-category]])-SEARCH("/",Table1[[#This Row],[category &amp; sub-category]],1))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(Table1[[#This Row],[pledged]]/Table1[[#This Row],[goal]])*100</f>
        <v>3.202693602693603</v>
      </c>
      <c r="G131" t="s">
        <v>74</v>
      </c>
      <c r="H131">
        <v>55</v>
      </c>
      <c r="I131" s="4">
        <f>IFERROR(Table1[[#This Row],[pledged]]/Table1[[#This Row],[backers_count]],0)</f>
        <v>86.472727272727269</v>
      </c>
      <c r="J131" t="s">
        <v>26</v>
      </c>
      <c r="K131" t="s">
        <v>27</v>
      </c>
      <c r="L131">
        <v>1422943200</v>
      </c>
      <c r="M131" s="9">
        <f>(((Table1[[#This Row],[launched_at]]/60)/60)/24)+DATE(1970,1,1)</f>
        <v>42038.25</v>
      </c>
      <c r="N131">
        <v>1425103200</v>
      </c>
      <c r="O131" s="9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LEFT(Table1[[#This Row],[category &amp; sub-category]],SEARCH("/",Table1[[#This Row],[category &amp; sub-category]],1)-1)</f>
        <v>food</v>
      </c>
      <c r="T131" t="str">
        <f>RIGHT(Table1[[#This Row],[category &amp; sub-category]],LEN(Table1[[#This Row],[category &amp; sub-category]])-SEARCH("/",Table1[[#This Row],[category &amp; sub-category]],1))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(Table1[[#This Row],[pledged]]/Table1[[#This Row],[goal]])*100</f>
        <v>155.46875</v>
      </c>
      <c r="G132" t="s">
        <v>20</v>
      </c>
      <c r="H132">
        <v>533</v>
      </c>
      <c r="I132" s="4">
        <f>IFERROR(Table1[[#This Row],[pledged]]/Table1[[#This Row],[backers_count]],0)</f>
        <v>28.001876172607879</v>
      </c>
      <c r="J132" t="s">
        <v>36</v>
      </c>
      <c r="K132" t="s">
        <v>37</v>
      </c>
      <c r="L132">
        <v>1319605200</v>
      </c>
      <c r="M132" s="9">
        <f>(((Table1[[#This Row],[launched_at]]/60)/60)/24)+DATE(1970,1,1)</f>
        <v>40842.208333333336</v>
      </c>
      <c r="N132">
        <v>1320991200</v>
      </c>
      <c r="O132" s="9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LEFT(Table1[[#This Row],[category &amp; sub-category]],SEARCH("/",Table1[[#This Row],[category &amp; sub-category]],1)-1)</f>
        <v>film &amp; video</v>
      </c>
      <c r="T132" t="str">
        <f>RIGHT(Table1[[#This Row],[category &amp; sub-category]],LEN(Table1[[#This Row],[category &amp; sub-category]])-SEARCH("/",Table1[[#This Row],[category &amp; sub-category]],1))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(Table1[[#This Row],[pledged]]/Table1[[#This Row],[goal]])*100</f>
        <v>100.85974499089254</v>
      </c>
      <c r="G133" t="s">
        <v>20</v>
      </c>
      <c r="H133">
        <v>2443</v>
      </c>
      <c r="I133" s="4">
        <f>IFERROR(Table1[[#This Row],[pledged]]/Table1[[#This Row],[backers_count]],0)</f>
        <v>67.996725337699544</v>
      </c>
      <c r="J133" t="s">
        <v>40</v>
      </c>
      <c r="K133" t="s">
        <v>41</v>
      </c>
      <c r="L133">
        <v>1385704800</v>
      </c>
      <c r="M133" s="9">
        <f>(((Table1[[#This Row],[launched_at]]/60)/60)/24)+DATE(1970,1,1)</f>
        <v>41607.25</v>
      </c>
      <c r="N133">
        <v>1386828000</v>
      </c>
      <c r="O133" s="9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LEFT(Table1[[#This Row],[category &amp; sub-category]],SEARCH("/",Table1[[#This Row],[category &amp; sub-category]],1)-1)</f>
        <v>technology</v>
      </c>
      <c r="T133" t="str">
        <f>RIGHT(Table1[[#This Row],[category &amp; sub-category]],LEN(Table1[[#This Row],[category &amp; sub-category]])-SEARCH("/",Table1[[#This Row],[category &amp; sub-category]],1))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(Table1[[#This Row],[pledged]]/Table1[[#This Row],[goal]])*100</f>
        <v>116.18181818181819</v>
      </c>
      <c r="G134" t="s">
        <v>20</v>
      </c>
      <c r="H134">
        <v>89</v>
      </c>
      <c r="I134" s="4">
        <f>IFERROR(Table1[[#This Row],[pledged]]/Table1[[#This Row],[backers_count]],0)</f>
        <v>43.078651685393261</v>
      </c>
      <c r="J134" t="s">
        <v>21</v>
      </c>
      <c r="K134" t="s">
        <v>22</v>
      </c>
      <c r="L134">
        <v>1515736800</v>
      </c>
      <c r="M134" s="9">
        <f>(((Table1[[#This Row],[launched_at]]/60)/60)/24)+DATE(1970,1,1)</f>
        <v>43112.25</v>
      </c>
      <c r="N134">
        <v>1517119200</v>
      </c>
      <c r="O134" s="9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LEFT(Table1[[#This Row],[category &amp; sub-category]],SEARCH("/",Table1[[#This Row],[category &amp; sub-category]],1)-1)</f>
        <v>theater</v>
      </c>
      <c r="T134" t="str">
        <f>RIGHT(Table1[[#This Row],[category &amp; sub-category]],LEN(Table1[[#This Row],[category &amp; sub-category]])-SEARCH("/",Table1[[#This Row],[category &amp; sub-category]],1))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(Table1[[#This Row],[pledged]]/Table1[[#This Row],[goal]])*100</f>
        <v>310.77777777777777</v>
      </c>
      <c r="G135" t="s">
        <v>20</v>
      </c>
      <c r="H135">
        <v>159</v>
      </c>
      <c r="I135" s="4">
        <f>IFERROR(Table1[[#This Row],[pledged]]/Table1[[#This Row],[backers_count]],0)</f>
        <v>87.95597484276729</v>
      </c>
      <c r="J135" t="s">
        <v>21</v>
      </c>
      <c r="K135" t="s">
        <v>22</v>
      </c>
      <c r="L135">
        <v>1313125200</v>
      </c>
      <c r="M135" s="9">
        <f>(((Table1[[#This Row],[launched_at]]/60)/60)/24)+DATE(1970,1,1)</f>
        <v>40767.208333333336</v>
      </c>
      <c r="N135">
        <v>1315026000</v>
      </c>
      <c r="O135" s="9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LEFT(Table1[[#This Row],[category &amp; sub-category]],SEARCH("/",Table1[[#This Row],[category &amp; sub-category]],1)-1)</f>
        <v>music</v>
      </c>
      <c r="T135" t="str">
        <f>RIGHT(Table1[[#This Row],[category &amp; sub-category]],LEN(Table1[[#This Row],[category &amp; sub-category]])-SEARCH("/",Table1[[#This Row],[category &amp; sub-category]],1))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(Table1[[#This Row],[pledged]]/Table1[[#This Row],[goal]])*100</f>
        <v>89.73668341708543</v>
      </c>
      <c r="G136" t="s">
        <v>14</v>
      </c>
      <c r="H136">
        <v>940</v>
      </c>
      <c r="I136" s="4">
        <f>IFERROR(Table1[[#This Row],[pledged]]/Table1[[#This Row],[backers_count]],0)</f>
        <v>94.987234042553197</v>
      </c>
      <c r="J136" t="s">
        <v>98</v>
      </c>
      <c r="K136" t="s">
        <v>99</v>
      </c>
      <c r="L136">
        <v>1308459600</v>
      </c>
      <c r="M136" s="9">
        <f>(((Table1[[#This Row],[launched_at]]/60)/60)/24)+DATE(1970,1,1)</f>
        <v>40713.208333333336</v>
      </c>
      <c r="N136">
        <v>1312693200</v>
      </c>
      <c r="O136" s="9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LEFT(Table1[[#This Row],[category &amp; sub-category]],SEARCH("/",Table1[[#This Row],[category &amp; sub-category]],1)-1)</f>
        <v>film &amp; video</v>
      </c>
      <c r="T136" t="str">
        <f>RIGHT(Table1[[#This Row],[category &amp; sub-category]],LEN(Table1[[#This Row],[category &amp; sub-category]])-SEARCH("/",Table1[[#This Row],[category &amp; sub-category]],1))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(Table1[[#This Row],[pledged]]/Table1[[#This Row],[goal]])*100</f>
        <v>71.27272727272728</v>
      </c>
      <c r="G137" t="s">
        <v>14</v>
      </c>
      <c r="H137">
        <v>117</v>
      </c>
      <c r="I137" s="4">
        <f>IFERROR(Table1[[#This Row],[pledged]]/Table1[[#This Row],[backers_count]],0)</f>
        <v>46.905982905982903</v>
      </c>
      <c r="J137" t="s">
        <v>21</v>
      </c>
      <c r="K137" t="s">
        <v>22</v>
      </c>
      <c r="L137">
        <v>1362636000</v>
      </c>
      <c r="M137" s="9">
        <f>(((Table1[[#This Row],[launched_at]]/60)/60)/24)+DATE(1970,1,1)</f>
        <v>41340.25</v>
      </c>
      <c r="N137">
        <v>1363064400</v>
      </c>
      <c r="O137" s="9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LEFT(Table1[[#This Row],[category &amp; sub-category]],SEARCH("/",Table1[[#This Row],[category &amp; sub-category]],1)-1)</f>
        <v>theater</v>
      </c>
      <c r="T137" t="str">
        <f>RIGHT(Table1[[#This Row],[category &amp; sub-category]],LEN(Table1[[#This Row],[category &amp; sub-category]])-SEARCH("/",Table1[[#This Row],[category &amp; sub-category]],1))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(Table1[[#This Row],[pledged]]/Table1[[#This Row],[goal]])*100</f>
        <v>3.2862318840579712</v>
      </c>
      <c r="G138" t="s">
        <v>74</v>
      </c>
      <c r="H138">
        <v>58</v>
      </c>
      <c r="I138" s="4">
        <f>IFERROR(Table1[[#This Row],[pledged]]/Table1[[#This Row],[backers_count]],0)</f>
        <v>46.913793103448278</v>
      </c>
      <c r="J138" t="s">
        <v>21</v>
      </c>
      <c r="K138" t="s">
        <v>22</v>
      </c>
      <c r="L138">
        <v>1402117200</v>
      </c>
      <c r="M138" s="9">
        <f>(((Table1[[#This Row],[launched_at]]/60)/60)/24)+DATE(1970,1,1)</f>
        <v>41797.208333333336</v>
      </c>
      <c r="N138">
        <v>1403154000</v>
      </c>
      <c r="O138" s="9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LEFT(Table1[[#This Row],[category &amp; sub-category]],SEARCH("/",Table1[[#This Row],[category &amp; sub-category]],1)-1)</f>
        <v>film &amp; video</v>
      </c>
      <c r="T138" t="str">
        <f>RIGHT(Table1[[#This Row],[category &amp; sub-category]],LEN(Table1[[#This Row],[category &amp; sub-category]])-SEARCH("/",Table1[[#This Row],[category &amp; sub-category]],1))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(Table1[[#This Row],[pledged]]/Table1[[#This Row],[goal]])*100</f>
        <v>261.77777777777777</v>
      </c>
      <c r="G139" t="s">
        <v>20</v>
      </c>
      <c r="H139">
        <v>50</v>
      </c>
      <c r="I139" s="4">
        <f>IFERROR(Table1[[#This Row],[pledged]]/Table1[[#This Row],[backers_count]],0)</f>
        <v>94.24</v>
      </c>
      <c r="J139" t="s">
        <v>21</v>
      </c>
      <c r="K139" t="s">
        <v>22</v>
      </c>
      <c r="L139">
        <v>1286341200</v>
      </c>
      <c r="M139" s="9">
        <f>(((Table1[[#This Row],[launched_at]]/60)/60)/24)+DATE(1970,1,1)</f>
        <v>40457.208333333336</v>
      </c>
      <c r="N139">
        <v>1286859600</v>
      </c>
      <c r="O139" s="9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LEFT(Table1[[#This Row],[category &amp; sub-category]],SEARCH("/",Table1[[#This Row],[category &amp; sub-category]],1)-1)</f>
        <v>publishing</v>
      </c>
      <c r="T139" t="str">
        <f>RIGHT(Table1[[#This Row],[category &amp; sub-category]],LEN(Table1[[#This Row],[category &amp; sub-category]])-SEARCH("/",Table1[[#This Row],[category &amp; sub-category]],1))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(Table1[[#This Row],[pledged]]/Table1[[#This Row],[goal]])*100</f>
        <v>96</v>
      </c>
      <c r="G140" t="s">
        <v>14</v>
      </c>
      <c r="H140">
        <v>115</v>
      </c>
      <c r="I140" s="4">
        <f>IFERROR(Table1[[#This Row],[pledged]]/Table1[[#This Row],[backers_count]],0)</f>
        <v>80.139130434782615</v>
      </c>
      <c r="J140" t="s">
        <v>21</v>
      </c>
      <c r="K140" t="s">
        <v>22</v>
      </c>
      <c r="L140">
        <v>1348808400</v>
      </c>
      <c r="M140" s="9">
        <f>(((Table1[[#This Row],[launched_at]]/60)/60)/24)+DATE(1970,1,1)</f>
        <v>41180.208333333336</v>
      </c>
      <c r="N140">
        <v>1349326800</v>
      </c>
      <c r="O140" s="9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LEFT(Table1[[#This Row],[category &amp; sub-category]],SEARCH("/",Table1[[#This Row],[category &amp; sub-category]],1)-1)</f>
        <v>games</v>
      </c>
      <c r="T140" t="str">
        <f>RIGHT(Table1[[#This Row],[category &amp; sub-category]],LEN(Table1[[#This Row],[category &amp; sub-category]])-SEARCH("/",Table1[[#This Row],[category &amp; sub-category]],1))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(Table1[[#This Row],[pledged]]/Table1[[#This Row],[goal]])*100</f>
        <v>20.896851248642779</v>
      </c>
      <c r="G141" t="s">
        <v>14</v>
      </c>
      <c r="H141">
        <v>326</v>
      </c>
      <c r="I141" s="4">
        <f>IFERROR(Table1[[#This Row],[pledged]]/Table1[[#This Row],[backers_count]],0)</f>
        <v>59.036809815950917</v>
      </c>
      <c r="J141" t="s">
        <v>21</v>
      </c>
      <c r="K141" t="s">
        <v>22</v>
      </c>
      <c r="L141">
        <v>1429592400</v>
      </c>
      <c r="M141" s="9">
        <f>(((Table1[[#This Row],[launched_at]]/60)/60)/24)+DATE(1970,1,1)</f>
        <v>42115.208333333328</v>
      </c>
      <c r="N141">
        <v>1430974800</v>
      </c>
      <c r="O141" s="9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LEFT(Table1[[#This Row],[category &amp; sub-category]],SEARCH("/",Table1[[#This Row],[category &amp; sub-category]],1)-1)</f>
        <v>technology</v>
      </c>
      <c r="T141" t="str">
        <f>RIGHT(Table1[[#This Row],[category &amp; sub-category]],LEN(Table1[[#This Row],[category &amp; sub-category]])-SEARCH("/",Table1[[#This Row],[category &amp; sub-category]],1))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(Table1[[#This Row],[pledged]]/Table1[[#This Row],[goal]])*100</f>
        <v>223.16363636363636</v>
      </c>
      <c r="G142" t="s">
        <v>20</v>
      </c>
      <c r="H142">
        <v>186</v>
      </c>
      <c r="I142" s="4">
        <f>IFERROR(Table1[[#This Row],[pledged]]/Table1[[#This Row],[backers_count]],0)</f>
        <v>65.989247311827953</v>
      </c>
      <c r="J142" t="s">
        <v>21</v>
      </c>
      <c r="K142" t="s">
        <v>22</v>
      </c>
      <c r="L142">
        <v>1519538400</v>
      </c>
      <c r="M142" s="9">
        <f>(((Table1[[#This Row],[launched_at]]/60)/60)/24)+DATE(1970,1,1)</f>
        <v>43156.25</v>
      </c>
      <c r="N142">
        <v>1519970400</v>
      </c>
      <c r="O142" s="9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LEFT(Table1[[#This Row],[category &amp; sub-category]],SEARCH("/",Table1[[#This Row],[category &amp; sub-category]],1)-1)</f>
        <v>film &amp; video</v>
      </c>
      <c r="T142" t="str">
        <f>RIGHT(Table1[[#This Row],[category &amp; sub-category]],LEN(Table1[[#This Row],[category &amp; sub-category]])-SEARCH("/",Table1[[#This Row],[category &amp; sub-category]],1))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(Table1[[#This Row],[pledged]]/Table1[[#This Row],[goal]])*100</f>
        <v>101.59097978227061</v>
      </c>
      <c r="G143" t="s">
        <v>20</v>
      </c>
      <c r="H143">
        <v>1071</v>
      </c>
      <c r="I143" s="4">
        <f>IFERROR(Table1[[#This Row],[pledged]]/Table1[[#This Row],[backers_count]],0)</f>
        <v>60.992530345471522</v>
      </c>
      <c r="J143" t="s">
        <v>21</v>
      </c>
      <c r="K143" t="s">
        <v>22</v>
      </c>
      <c r="L143">
        <v>1434085200</v>
      </c>
      <c r="M143" s="9">
        <f>(((Table1[[#This Row],[launched_at]]/60)/60)/24)+DATE(1970,1,1)</f>
        <v>42167.208333333328</v>
      </c>
      <c r="N143">
        <v>1434603600</v>
      </c>
      <c r="O143" s="9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LEFT(Table1[[#This Row],[category &amp; sub-category]],SEARCH("/",Table1[[#This Row],[category &amp; sub-category]],1)-1)</f>
        <v>technology</v>
      </c>
      <c r="T143" t="str">
        <f>RIGHT(Table1[[#This Row],[category &amp; sub-category]],LEN(Table1[[#This Row],[category &amp; sub-category]])-SEARCH("/",Table1[[#This Row],[category &amp; sub-category]],1))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(Table1[[#This Row],[pledged]]/Table1[[#This Row],[goal]])*100</f>
        <v>230.03999999999996</v>
      </c>
      <c r="G144" t="s">
        <v>20</v>
      </c>
      <c r="H144">
        <v>117</v>
      </c>
      <c r="I144" s="4">
        <f>IFERROR(Table1[[#This Row],[pledged]]/Table1[[#This Row],[backers_count]],0)</f>
        <v>98.307692307692307</v>
      </c>
      <c r="J144" t="s">
        <v>21</v>
      </c>
      <c r="K144" t="s">
        <v>22</v>
      </c>
      <c r="L144">
        <v>1333688400</v>
      </c>
      <c r="M144" s="9">
        <f>(((Table1[[#This Row],[launched_at]]/60)/60)/24)+DATE(1970,1,1)</f>
        <v>41005.208333333336</v>
      </c>
      <c r="N144">
        <v>1337230800</v>
      </c>
      <c r="O144" s="9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LEFT(Table1[[#This Row],[category &amp; sub-category]],SEARCH("/",Table1[[#This Row],[category &amp; sub-category]],1)-1)</f>
        <v>technology</v>
      </c>
      <c r="T144" t="str">
        <f>RIGHT(Table1[[#This Row],[category &amp; sub-category]],LEN(Table1[[#This Row],[category &amp; sub-category]])-SEARCH("/",Table1[[#This Row],[category &amp; sub-category]],1))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(Table1[[#This Row],[pledged]]/Table1[[#This Row],[goal]])*100</f>
        <v>135.59259259259261</v>
      </c>
      <c r="G145" t="s">
        <v>20</v>
      </c>
      <c r="H145">
        <v>70</v>
      </c>
      <c r="I145" s="4">
        <f>IFERROR(Table1[[#This Row],[pledged]]/Table1[[#This Row],[backers_count]],0)</f>
        <v>104.6</v>
      </c>
      <c r="J145" t="s">
        <v>21</v>
      </c>
      <c r="K145" t="s">
        <v>22</v>
      </c>
      <c r="L145">
        <v>1277701200</v>
      </c>
      <c r="M145" s="9">
        <f>(((Table1[[#This Row],[launched_at]]/60)/60)/24)+DATE(1970,1,1)</f>
        <v>40357.208333333336</v>
      </c>
      <c r="N145">
        <v>1279429200</v>
      </c>
      <c r="O145" s="9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LEFT(Table1[[#This Row],[category &amp; sub-category]],SEARCH("/",Table1[[#This Row],[category &amp; sub-category]],1)-1)</f>
        <v>music</v>
      </c>
      <c r="T145" t="str">
        <f>RIGHT(Table1[[#This Row],[category &amp; sub-category]],LEN(Table1[[#This Row],[category &amp; sub-category]])-SEARCH("/",Table1[[#This Row],[category &amp; sub-category]],1))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(Table1[[#This Row],[pledged]]/Table1[[#This Row],[goal]])*100</f>
        <v>129.1</v>
      </c>
      <c r="G146" t="s">
        <v>20</v>
      </c>
      <c r="H146">
        <v>135</v>
      </c>
      <c r="I146" s="4">
        <f>IFERROR(Table1[[#This Row],[pledged]]/Table1[[#This Row],[backers_count]],0)</f>
        <v>86.066666666666663</v>
      </c>
      <c r="J146" t="s">
        <v>21</v>
      </c>
      <c r="K146" t="s">
        <v>22</v>
      </c>
      <c r="L146">
        <v>1560747600</v>
      </c>
      <c r="M146" s="9">
        <f>(((Table1[[#This Row],[launched_at]]/60)/60)/24)+DATE(1970,1,1)</f>
        <v>43633.208333333328</v>
      </c>
      <c r="N146">
        <v>1561438800</v>
      </c>
      <c r="O146" s="9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LEFT(Table1[[#This Row],[category &amp; sub-category]],SEARCH("/",Table1[[#This Row],[category &amp; sub-category]],1)-1)</f>
        <v>theater</v>
      </c>
      <c r="T146" t="str">
        <f>RIGHT(Table1[[#This Row],[category &amp; sub-category]],LEN(Table1[[#This Row],[category &amp; sub-category]])-SEARCH("/",Table1[[#This Row],[category &amp; sub-category]],1))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(Table1[[#This Row],[pledged]]/Table1[[#This Row],[goal]])*100</f>
        <v>236.512</v>
      </c>
      <c r="G147" t="s">
        <v>20</v>
      </c>
      <c r="H147">
        <v>768</v>
      </c>
      <c r="I147" s="4">
        <f>IFERROR(Table1[[#This Row],[pledged]]/Table1[[#This Row],[backers_count]],0)</f>
        <v>76.989583333333329</v>
      </c>
      <c r="J147" t="s">
        <v>98</v>
      </c>
      <c r="K147" t="s">
        <v>99</v>
      </c>
      <c r="L147">
        <v>1410066000</v>
      </c>
      <c r="M147" s="9">
        <f>(((Table1[[#This Row],[launched_at]]/60)/60)/24)+DATE(1970,1,1)</f>
        <v>41889.208333333336</v>
      </c>
      <c r="N147">
        <v>1410498000</v>
      </c>
      <c r="O147" s="9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LEFT(Table1[[#This Row],[category &amp; sub-category]],SEARCH("/",Table1[[#This Row],[category &amp; sub-category]],1)-1)</f>
        <v>technology</v>
      </c>
      <c r="T147" t="str">
        <f>RIGHT(Table1[[#This Row],[category &amp; sub-category]],LEN(Table1[[#This Row],[category &amp; sub-category]])-SEARCH("/",Table1[[#This Row],[category &amp; sub-category]],1))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(Table1[[#This Row],[pledged]]/Table1[[#This Row],[goal]])*100</f>
        <v>17.25</v>
      </c>
      <c r="G148" t="s">
        <v>74</v>
      </c>
      <c r="H148">
        <v>51</v>
      </c>
      <c r="I148" s="4">
        <f>IFERROR(Table1[[#This Row],[pledged]]/Table1[[#This Row],[backers_count]],0)</f>
        <v>29.764705882352942</v>
      </c>
      <c r="J148" t="s">
        <v>21</v>
      </c>
      <c r="K148" t="s">
        <v>22</v>
      </c>
      <c r="L148">
        <v>1320732000</v>
      </c>
      <c r="M148" s="9">
        <f>(((Table1[[#This Row],[launched_at]]/60)/60)/24)+DATE(1970,1,1)</f>
        <v>40855.25</v>
      </c>
      <c r="N148">
        <v>1322460000</v>
      </c>
      <c r="O148" s="9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LEFT(Table1[[#This Row],[category &amp; sub-category]],SEARCH("/",Table1[[#This Row],[category &amp; sub-category]],1)-1)</f>
        <v>theater</v>
      </c>
      <c r="T148" t="str">
        <f>RIGHT(Table1[[#This Row],[category &amp; sub-category]],LEN(Table1[[#This Row],[category &amp; sub-category]])-SEARCH("/",Table1[[#This Row],[category &amp; sub-category]],1))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(Table1[[#This Row],[pledged]]/Table1[[#This Row],[goal]])*100</f>
        <v>112.49397590361446</v>
      </c>
      <c r="G149" t="s">
        <v>20</v>
      </c>
      <c r="H149">
        <v>199</v>
      </c>
      <c r="I149" s="4">
        <f>IFERROR(Table1[[#This Row],[pledged]]/Table1[[#This Row],[backers_count]],0)</f>
        <v>46.91959798994975</v>
      </c>
      <c r="J149" t="s">
        <v>21</v>
      </c>
      <c r="K149" t="s">
        <v>22</v>
      </c>
      <c r="L149">
        <v>1465794000</v>
      </c>
      <c r="M149" s="9">
        <f>(((Table1[[#This Row],[launched_at]]/60)/60)/24)+DATE(1970,1,1)</f>
        <v>42534.208333333328</v>
      </c>
      <c r="N149">
        <v>1466312400</v>
      </c>
      <c r="O149" s="9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LEFT(Table1[[#This Row],[category &amp; sub-category]],SEARCH("/",Table1[[#This Row],[category &amp; sub-category]],1)-1)</f>
        <v>theater</v>
      </c>
      <c r="T149" t="str">
        <f>RIGHT(Table1[[#This Row],[category &amp; sub-category]],LEN(Table1[[#This Row],[category &amp; sub-category]])-SEARCH("/",Table1[[#This Row],[category &amp; sub-category]],1))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(Table1[[#This Row],[pledged]]/Table1[[#This Row],[goal]])*100</f>
        <v>121.02150537634408</v>
      </c>
      <c r="G150" t="s">
        <v>20</v>
      </c>
      <c r="H150">
        <v>107</v>
      </c>
      <c r="I150" s="4">
        <f>IFERROR(Table1[[#This Row],[pledged]]/Table1[[#This Row],[backers_count]],0)</f>
        <v>105.18691588785046</v>
      </c>
      <c r="J150" t="s">
        <v>21</v>
      </c>
      <c r="K150" t="s">
        <v>22</v>
      </c>
      <c r="L150">
        <v>1500958800</v>
      </c>
      <c r="M150" s="9">
        <f>(((Table1[[#This Row],[launched_at]]/60)/60)/24)+DATE(1970,1,1)</f>
        <v>42941.208333333328</v>
      </c>
      <c r="N150">
        <v>1501736400</v>
      </c>
      <c r="O150" s="9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LEFT(Table1[[#This Row],[category &amp; sub-category]],SEARCH("/",Table1[[#This Row],[category &amp; sub-category]],1)-1)</f>
        <v>technology</v>
      </c>
      <c r="T150" t="str">
        <f>RIGHT(Table1[[#This Row],[category &amp; sub-category]],LEN(Table1[[#This Row],[category &amp; sub-category]])-SEARCH("/",Table1[[#This Row],[category &amp; sub-category]],1))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(Table1[[#This Row],[pledged]]/Table1[[#This Row],[goal]])*100</f>
        <v>219.87096774193549</v>
      </c>
      <c r="G151" t="s">
        <v>20</v>
      </c>
      <c r="H151">
        <v>195</v>
      </c>
      <c r="I151" s="4">
        <f>IFERROR(Table1[[#This Row],[pledged]]/Table1[[#This Row],[backers_count]],0)</f>
        <v>69.907692307692301</v>
      </c>
      <c r="J151" t="s">
        <v>21</v>
      </c>
      <c r="K151" t="s">
        <v>22</v>
      </c>
      <c r="L151">
        <v>1357020000</v>
      </c>
      <c r="M151" s="9">
        <f>(((Table1[[#This Row],[launched_at]]/60)/60)/24)+DATE(1970,1,1)</f>
        <v>41275.25</v>
      </c>
      <c r="N151">
        <v>1361512800</v>
      </c>
      <c r="O151" s="9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LEFT(Table1[[#This Row],[category &amp; sub-category]],SEARCH("/",Table1[[#This Row],[category &amp; sub-category]],1)-1)</f>
        <v>music</v>
      </c>
      <c r="T151" t="str">
        <f>RIGHT(Table1[[#This Row],[category &amp; sub-category]],LEN(Table1[[#This Row],[category &amp; sub-category]])-SEARCH("/",Table1[[#This Row],[category &amp; sub-category]],1))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(Table1[[#This Row],[pledged]]/Table1[[#This Row],[goal]])*100</f>
        <v>1</v>
      </c>
      <c r="G152" t="s">
        <v>14</v>
      </c>
      <c r="H152">
        <v>1</v>
      </c>
      <c r="I152" s="4">
        <f>IFERROR(Table1[[#This Row],[pledged]]/Table1[[#This Row],[backers_count]],0)</f>
        <v>1</v>
      </c>
      <c r="J152" t="s">
        <v>21</v>
      </c>
      <c r="K152" t="s">
        <v>22</v>
      </c>
      <c r="L152">
        <v>1544940000</v>
      </c>
      <c r="M152" s="9">
        <f>(((Table1[[#This Row],[launched_at]]/60)/60)/24)+DATE(1970,1,1)</f>
        <v>43450.25</v>
      </c>
      <c r="N152">
        <v>1545026400</v>
      </c>
      <c r="O152" s="9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LEFT(Table1[[#This Row],[category &amp; sub-category]],SEARCH("/",Table1[[#This Row],[category &amp; sub-category]],1)-1)</f>
        <v>music</v>
      </c>
      <c r="T152" t="str">
        <f>RIGHT(Table1[[#This Row],[category &amp; sub-category]],LEN(Table1[[#This Row],[category &amp; sub-category]])-SEARCH("/",Table1[[#This Row],[category &amp; sub-category]],1))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(Table1[[#This Row],[pledged]]/Table1[[#This Row],[goal]])*100</f>
        <v>64.166909620991248</v>
      </c>
      <c r="G153" t="s">
        <v>14</v>
      </c>
      <c r="H153">
        <v>1467</v>
      </c>
      <c r="I153" s="4">
        <f>IFERROR(Table1[[#This Row],[pledged]]/Table1[[#This Row],[backers_count]],0)</f>
        <v>60.011588275391958</v>
      </c>
      <c r="J153" t="s">
        <v>21</v>
      </c>
      <c r="K153" t="s">
        <v>22</v>
      </c>
      <c r="L153">
        <v>1402290000</v>
      </c>
      <c r="M153" s="9">
        <f>(((Table1[[#This Row],[launched_at]]/60)/60)/24)+DATE(1970,1,1)</f>
        <v>41799.208333333336</v>
      </c>
      <c r="N153">
        <v>1406696400</v>
      </c>
      <c r="O153" s="9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LEFT(Table1[[#This Row],[category &amp; sub-category]],SEARCH("/",Table1[[#This Row],[category &amp; sub-category]],1)-1)</f>
        <v>music</v>
      </c>
      <c r="T153" t="str">
        <f>RIGHT(Table1[[#This Row],[category &amp; sub-category]],LEN(Table1[[#This Row],[category &amp; sub-category]])-SEARCH("/",Table1[[#This Row],[category &amp; sub-category]],1))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(Table1[[#This Row],[pledged]]/Table1[[#This Row],[goal]])*100</f>
        <v>423.06746987951806</v>
      </c>
      <c r="G154" t="s">
        <v>20</v>
      </c>
      <c r="H154">
        <v>3376</v>
      </c>
      <c r="I154" s="4">
        <f>IFERROR(Table1[[#This Row],[pledged]]/Table1[[#This Row],[backers_count]],0)</f>
        <v>52.006220379146917</v>
      </c>
      <c r="J154" t="s">
        <v>21</v>
      </c>
      <c r="K154" t="s">
        <v>22</v>
      </c>
      <c r="L154">
        <v>1487311200</v>
      </c>
      <c r="M154" s="9">
        <f>(((Table1[[#This Row],[launched_at]]/60)/60)/24)+DATE(1970,1,1)</f>
        <v>42783.25</v>
      </c>
      <c r="N154">
        <v>1487916000</v>
      </c>
      <c r="O154" s="9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LEFT(Table1[[#This Row],[category &amp; sub-category]],SEARCH("/",Table1[[#This Row],[category &amp; sub-category]],1)-1)</f>
        <v>music</v>
      </c>
      <c r="T154" t="str">
        <f>RIGHT(Table1[[#This Row],[category &amp; sub-category]],LEN(Table1[[#This Row],[category &amp; sub-category]])-SEARCH("/",Table1[[#This Row],[category &amp; sub-category]],1))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(Table1[[#This Row],[pledged]]/Table1[[#This Row],[goal]])*100</f>
        <v>92.984160506863773</v>
      </c>
      <c r="G155" t="s">
        <v>14</v>
      </c>
      <c r="H155">
        <v>5681</v>
      </c>
      <c r="I155" s="4">
        <f>IFERROR(Table1[[#This Row],[pledged]]/Table1[[#This Row],[backers_count]],0)</f>
        <v>31.000176025347649</v>
      </c>
      <c r="J155" t="s">
        <v>21</v>
      </c>
      <c r="K155" t="s">
        <v>22</v>
      </c>
      <c r="L155">
        <v>1350622800</v>
      </c>
      <c r="M155" s="9">
        <f>(((Table1[[#This Row],[launched_at]]/60)/60)/24)+DATE(1970,1,1)</f>
        <v>41201.208333333336</v>
      </c>
      <c r="N155">
        <v>1351141200</v>
      </c>
      <c r="O155" s="9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LEFT(Table1[[#This Row],[category &amp; sub-category]],SEARCH("/",Table1[[#This Row],[category &amp; sub-category]],1)-1)</f>
        <v>theater</v>
      </c>
      <c r="T155" t="str">
        <f>RIGHT(Table1[[#This Row],[category &amp; sub-category]],LEN(Table1[[#This Row],[category &amp; sub-category]])-SEARCH("/",Table1[[#This Row],[category &amp; sub-category]],1))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(Table1[[#This Row],[pledged]]/Table1[[#This Row],[goal]])*100</f>
        <v>58.756567425569173</v>
      </c>
      <c r="G156" t="s">
        <v>14</v>
      </c>
      <c r="H156">
        <v>1059</v>
      </c>
      <c r="I156" s="4">
        <f>IFERROR(Table1[[#This Row],[pledged]]/Table1[[#This Row],[backers_count]],0)</f>
        <v>95.042492917847028</v>
      </c>
      <c r="J156" t="s">
        <v>21</v>
      </c>
      <c r="K156" t="s">
        <v>22</v>
      </c>
      <c r="L156">
        <v>1463029200</v>
      </c>
      <c r="M156" s="9">
        <f>(((Table1[[#This Row],[launched_at]]/60)/60)/24)+DATE(1970,1,1)</f>
        <v>42502.208333333328</v>
      </c>
      <c r="N156">
        <v>1465016400</v>
      </c>
      <c r="O156" s="9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LEFT(Table1[[#This Row],[category &amp; sub-category]],SEARCH("/",Table1[[#This Row],[category &amp; sub-category]],1)-1)</f>
        <v>music</v>
      </c>
      <c r="T156" t="str">
        <f>RIGHT(Table1[[#This Row],[category &amp; sub-category]],LEN(Table1[[#This Row],[category &amp; sub-category]])-SEARCH("/",Table1[[#This Row],[category &amp; sub-category]],1))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(Table1[[#This Row],[pledged]]/Table1[[#This Row],[goal]])*100</f>
        <v>65.022222222222226</v>
      </c>
      <c r="G157" t="s">
        <v>14</v>
      </c>
      <c r="H157">
        <v>1194</v>
      </c>
      <c r="I157" s="4">
        <f>IFERROR(Table1[[#This Row],[pledged]]/Table1[[#This Row],[backers_count]],0)</f>
        <v>75.968174204355108</v>
      </c>
      <c r="J157" t="s">
        <v>21</v>
      </c>
      <c r="K157" t="s">
        <v>22</v>
      </c>
      <c r="L157">
        <v>1269493200</v>
      </c>
      <c r="M157" s="9">
        <f>(((Table1[[#This Row],[launched_at]]/60)/60)/24)+DATE(1970,1,1)</f>
        <v>40262.208333333336</v>
      </c>
      <c r="N157">
        <v>1270789200</v>
      </c>
      <c r="O157" s="9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LEFT(Table1[[#This Row],[category &amp; sub-category]],SEARCH("/",Table1[[#This Row],[category &amp; sub-category]],1)-1)</f>
        <v>theater</v>
      </c>
      <c r="T157" t="str">
        <f>RIGHT(Table1[[#This Row],[category &amp; sub-category]],LEN(Table1[[#This Row],[category &amp; sub-category]])-SEARCH("/",Table1[[#This Row],[category &amp; sub-category]],1))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(Table1[[#This Row],[pledged]]/Table1[[#This Row],[goal]])*100</f>
        <v>73.939560439560438</v>
      </c>
      <c r="G158" t="s">
        <v>74</v>
      </c>
      <c r="H158">
        <v>379</v>
      </c>
      <c r="I158" s="4">
        <f>IFERROR(Table1[[#This Row],[pledged]]/Table1[[#This Row],[backers_count]],0)</f>
        <v>71.013192612137203</v>
      </c>
      <c r="J158" t="s">
        <v>26</v>
      </c>
      <c r="K158" t="s">
        <v>27</v>
      </c>
      <c r="L158">
        <v>1570251600</v>
      </c>
      <c r="M158" s="9">
        <f>(((Table1[[#This Row],[launched_at]]/60)/60)/24)+DATE(1970,1,1)</f>
        <v>43743.208333333328</v>
      </c>
      <c r="N158">
        <v>1572325200</v>
      </c>
      <c r="O158" s="9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LEFT(Table1[[#This Row],[category &amp; sub-category]],SEARCH("/",Table1[[#This Row],[category &amp; sub-category]],1)-1)</f>
        <v>music</v>
      </c>
      <c r="T158" t="str">
        <f>RIGHT(Table1[[#This Row],[category &amp; sub-category]],LEN(Table1[[#This Row],[category &amp; sub-category]])-SEARCH("/",Table1[[#This Row],[category &amp; sub-category]],1))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(Table1[[#This Row],[pledged]]/Table1[[#This Row],[goal]])*100</f>
        <v>52.666666666666664</v>
      </c>
      <c r="G159" t="s">
        <v>14</v>
      </c>
      <c r="H159">
        <v>30</v>
      </c>
      <c r="I159" s="4">
        <f>IFERROR(Table1[[#This Row],[pledged]]/Table1[[#This Row],[backers_count]],0)</f>
        <v>73.733333333333334</v>
      </c>
      <c r="J159" t="s">
        <v>26</v>
      </c>
      <c r="K159" t="s">
        <v>27</v>
      </c>
      <c r="L159">
        <v>1388383200</v>
      </c>
      <c r="M159" s="9">
        <f>(((Table1[[#This Row],[launched_at]]/60)/60)/24)+DATE(1970,1,1)</f>
        <v>41638.25</v>
      </c>
      <c r="N159">
        <v>1389420000</v>
      </c>
      <c r="O159" s="9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LEFT(Table1[[#This Row],[category &amp; sub-category]],SEARCH("/",Table1[[#This Row],[category &amp; sub-category]],1)-1)</f>
        <v>photography</v>
      </c>
      <c r="T159" t="str">
        <f>RIGHT(Table1[[#This Row],[category &amp; sub-category]],LEN(Table1[[#This Row],[category &amp; sub-category]])-SEARCH("/",Table1[[#This Row],[category &amp; sub-category]],1))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(Table1[[#This Row],[pledged]]/Table1[[#This Row],[goal]])*100</f>
        <v>220.95238095238096</v>
      </c>
      <c r="G160" t="s">
        <v>20</v>
      </c>
      <c r="H160">
        <v>41</v>
      </c>
      <c r="I160" s="4">
        <f>IFERROR(Table1[[#This Row],[pledged]]/Table1[[#This Row],[backers_count]],0)</f>
        <v>113.17073170731707</v>
      </c>
      <c r="J160" t="s">
        <v>21</v>
      </c>
      <c r="K160" t="s">
        <v>22</v>
      </c>
      <c r="L160">
        <v>1449554400</v>
      </c>
      <c r="M160" s="9">
        <f>(((Table1[[#This Row],[launched_at]]/60)/60)/24)+DATE(1970,1,1)</f>
        <v>42346.25</v>
      </c>
      <c r="N160">
        <v>1449640800</v>
      </c>
      <c r="O160" s="9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LEFT(Table1[[#This Row],[category &amp; sub-category]],SEARCH("/",Table1[[#This Row],[category &amp; sub-category]],1)-1)</f>
        <v>music</v>
      </c>
      <c r="T160" t="str">
        <f>RIGHT(Table1[[#This Row],[category &amp; sub-category]],LEN(Table1[[#This Row],[category &amp; sub-category]])-SEARCH("/",Table1[[#This Row],[category &amp; sub-category]],1))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(Table1[[#This Row],[pledged]]/Table1[[#This Row],[goal]])*100</f>
        <v>100.01150627615063</v>
      </c>
      <c r="G161" t="s">
        <v>20</v>
      </c>
      <c r="H161">
        <v>1821</v>
      </c>
      <c r="I161" s="4">
        <f>IFERROR(Table1[[#This Row],[pledged]]/Table1[[#This Row],[backers_count]],0)</f>
        <v>105.00933552992861</v>
      </c>
      <c r="J161" t="s">
        <v>21</v>
      </c>
      <c r="K161" t="s">
        <v>22</v>
      </c>
      <c r="L161">
        <v>1553662800</v>
      </c>
      <c r="M161" s="9">
        <f>(((Table1[[#This Row],[launched_at]]/60)/60)/24)+DATE(1970,1,1)</f>
        <v>43551.208333333328</v>
      </c>
      <c r="N161">
        <v>1555218000</v>
      </c>
      <c r="O161" s="9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LEFT(Table1[[#This Row],[category &amp; sub-category]],SEARCH("/",Table1[[#This Row],[category &amp; sub-category]],1)-1)</f>
        <v>theater</v>
      </c>
      <c r="T161" t="str">
        <f>RIGHT(Table1[[#This Row],[category &amp; sub-category]],LEN(Table1[[#This Row],[category &amp; sub-category]])-SEARCH("/",Table1[[#This Row],[category &amp; sub-category]],1))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(Table1[[#This Row],[pledged]]/Table1[[#This Row],[goal]])*100</f>
        <v>162.3125</v>
      </c>
      <c r="G162" t="s">
        <v>20</v>
      </c>
      <c r="H162">
        <v>164</v>
      </c>
      <c r="I162" s="4">
        <f>IFERROR(Table1[[#This Row],[pledged]]/Table1[[#This Row],[backers_count]],0)</f>
        <v>79.176829268292678</v>
      </c>
      <c r="J162" t="s">
        <v>21</v>
      </c>
      <c r="K162" t="s">
        <v>22</v>
      </c>
      <c r="L162">
        <v>1556341200</v>
      </c>
      <c r="M162" s="9">
        <f>(((Table1[[#This Row],[launched_at]]/60)/60)/24)+DATE(1970,1,1)</f>
        <v>43582.208333333328</v>
      </c>
      <c r="N162">
        <v>1557723600</v>
      </c>
      <c r="O162" s="9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LEFT(Table1[[#This Row],[category &amp; sub-category]],SEARCH("/",Table1[[#This Row],[category &amp; sub-category]],1)-1)</f>
        <v>technology</v>
      </c>
      <c r="T162" t="str">
        <f>RIGHT(Table1[[#This Row],[category &amp; sub-category]],LEN(Table1[[#This Row],[category &amp; sub-category]])-SEARCH("/",Table1[[#This Row],[category &amp; sub-category]],1))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(Table1[[#This Row],[pledged]]/Table1[[#This Row],[goal]])*100</f>
        <v>78.181818181818187</v>
      </c>
      <c r="G163" t="s">
        <v>14</v>
      </c>
      <c r="H163">
        <v>75</v>
      </c>
      <c r="I163" s="4">
        <f>IFERROR(Table1[[#This Row],[pledged]]/Table1[[#This Row],[backers_count]],0)</f>
        <v>57.333333333333336</v>
      </c>
      <c r="J163" t="s">
        <v>21</v>
      </c>
      <c r="K163" t="s">
        <v>22</v>
      </c>
      <c r="L163">
        <v>1442984400</v>
      </c>
      <c r="M163" s="9">
        <f>(((Table1[[#This Row],[launched_at]]/60)/60)/24)+DATE(1970,1,1)</f>
        <v>42270.208333333328</v>
      </c>
      <c r="N163">
        <v>1443502800</v>
      </c>
      <c r="O163" s="9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LEFT(Table1[[#This Row],[category &amp; sub-category]],SEARCH("/",Table1[[#This Row],[category &amp; sub-category]],1)-1)</f>
        <v>technology</v>
      </c>
      <c r="T163" t="str">
        <f>RIGHT(Table1[[#This Row],[category &amp; sub-category]],LEN(Table1[[#This Row],[category &amp; sub-category]])-SEARCH("/",Table1[[#This Row],[category &amp; sub-category]],1))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(Table1[[#This Row],[pledged]]/Table1[[#This Row],[goal]])*100</f>
        <v>149.73770491803279</v>
      </c>
      <c r="G164" t="s">
        <v>20</v>
      </c>
      <c r="H164">
        <v>157</v>
      </c>
      <c r="I164" s="4">
        <f>IFERROR(Table1[[#This Row],[pledged]]/Table1[[#This Row],[backers_count]],0)</f>
        <v>58.178343949044589</v>
      </c>
      <c r="J164" t="s">
        <v>98</v>
      </c>
      <c r="K164" t="s">
        <v>99</v>
      </c>
      <c r="L164">
        <v>1544248800</v>
      </c>
      <c r="M164" s="9">
        <f>(((Table1[[#This Row],[launched_at]]/60)/60)/24)+DATE(1970,1,1)</f>
        <v>43442.25</v>
      </c>
      <c r="N164">
        <v>1546840800</v>
      </c>
      <c r="O164" s="9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LEFT(Table1[[#This Row],[category &amp; sub-category]],SEARCH("/",Table1[[#This Row],[category &amp; sub-category]],1)-1)</f>
        <v>music</v>
      </c>
      <c r="T164" t="str">
        <f>RIGHT(Table1[[#This Row],[category &amp; sub-category]],LEN(Table1[[#This Row],[category &amp; sub-category]])-SEARCH("/",Table1[[#This Row],[category &amp; sub-category]],1))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(Table1[[#This Row],[pledged]]/Table1[[#This Row],[goal]])*100</f>
        <v>253.25714285714284</v>
      </c>
      <c r="G165" t="s">
        <v>20</v>
      </c>
      <c r="H165">
        <v>246</v>
      </c>
      <c r="I165" s="4">
        <f>IFERROR(Table1[[#This Row],[pledged]]/Table1[[#This Row],[backers_count]],0)</f>
        <v>36.032520325203251</v>
      </c>
      <c r="J165" t="s">
        <v>21</v>
      </c>
      <c r="K165" t="s">
        <v>22</v>
      </c>
      <c r="L165">
        <v>1508475600</v>
      </c>
      <c r="M165" s="9">
        <f>(((Table1[[#This Row],[launched_at]]/60)/60)/24)+DATE(1970,1,1)</f>
        <v>43028.208333333328</v>
      </c>
      <c r="N165">
        <v>1512712800</v>
      </c>
      <c r="O165" s="9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LEFT(Table1[[#This Row],[category &amp; sub-category]],SEARCH("/",Table1[[#This Row],[category &amp; sub-category]],1)-1)</f>
        <v>photography</v>
      </c>
      <c r="T165" t="str">
        <f>RIGHT(Table1[[#This Row],[category &amp; sub-category]],LEN(Table1[[#This Row],[category &amp; sub-category]])-SEARCH("/",Table1[[#This Row],[category &amp; sub-category]],1))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(Table1[[#This Row],[pledged]]/Table1[[#This Row],[goal]])*100</f>
        <v>100.16943521594683</v>
      </c>
      <c r="G166" t="s">
        <v>20</v>
      </c>
      <c r="H166">
        <v>1396</v>
      </c>
      <c r="I166" s="4">
        <f>IFERROR(Table1[[#This Row],[pledged]]/Table1[[#This Row],[backers_count]],0)</f>
        <v>107.99068767908309</v>
      </c>
      <c r="J166" t="s">
        <v>21</v>
      </c>
      <c r="K166" t="s">
        <v>22</v>
      </c>
      <c r="L166">
        <v>1507438800</v>
      </c>
      <c r="M166" s="9">
        <f>(((Table1[[#This Row],[launched_at]]/60)/60)/24)+DATE(1970,1,1)</f>
        <v>43016.208333333328</v>
      </c>
      <c r="N166">
        <v>1507525200</v>
      </c>
      <c r="O166" s="9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LEFT(Table1[[#This Row],[category &amp; sub-category]],SEARCH("/",Table1[[#This Row],[category &amp; sub-category]],1)-1)</f>
        <v>theater</v>
      </c>
      <c r="T166" t="str">
        <f>RIGHT(Table1[[#This Row],[category &amp; sub-category]],LEN(Table1[[#This Row],[category &amp; sub-category]])-SEARCH("/",Table1[[#This Row],[category &amp; sub-category]],1))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(Table1[[#This Row],[pledged]]/Table1[[#This Row],[goal]])*100</f>
        <v>121.99004424778761</v>
      </c>
      <c r="G167" t="s">
        <v>20</v>
      </c>
      <c r="H167">
        <v>2506</v>
      </c>
      <c r="I167" s="4">
        <f>IFERROR(Table1[[#This Row],[pledged]]/Table1[[#This Row],[backers_count]],0)</f>
        <v>44.005985634477256</v>
      </c>
      <c r="J167" t="s">
        <v>21</v>
      </c>
      <c r="K167" t="s">
        <v>22</v>
      </c>
      <c r="L167">
        <v>1501563600</v>
      </c>
      <c r="M167" s="9">
        <f>(((Table1[[#This Row],[launched_at]]/60)/60)/24)+DATE(1970,1,1)</f>
        <v>42948.208333333328</v>
      </c>
      <c r="N167">
        <v>1504328400</v>
      </c>
      <c r="O167" s="9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LEFT(Table1[[#This Row],[category &amp; sub-category]],SEARCH("/",Table1[[#This Row],[category &amp; sub-category]],1)-1)</f>
        <v>technology</v>
      </c>
      <c r="T167" t="str">
        <f>RIGHT(Table1[[#This Row],[category &amp; sub-category]],LEN(Table1[[#This Row],[category &amp; sub-category]])-SEARCH("/",Table1[[#This Row],[category &amp; sub-category]],1))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(Table1[[#This Row],[pledged]]/Table1[[#This Row],[goal]])*100</f>
        <v>137.13265306122449</v>
      </c>
      <c r="G168" t="s">
        <v>20</v>
      </c>
      <c r="H168">
        <v>244</v>
      </c>
      <c r="I168" s="4">
        <f>IFERROR(Table1[[#This Row],[pledged]]/Table1[[#This Row],[backers_count]],0)</f>
        <v>55.077868852459019</v>
      </c>
      <c r="J168" t="s">
        <v>21</v>
      </c>
      <c r="K168" t="s">
        <v>22</v>
      </c>
      <c r="L168">
        <v>1292997600</v>
      </c>
      <c r="M168" s="9">
        <f>(((Table1[[#This Row],[launched_at]]/60)/60)/24)+DATE(1970,1,1)</f>
        <v>40534.25</v>
      </c>
      <c r="N168">
        <v>1293343200</v>
      </c>
      <c r="O168" s="9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LEFT(Table1[[#This Row],[category &amp; sub-category]],SEARCH("/",Table1[[#This Row],[category &amp; sub-category]],1)-1)</f>
        <v>photography</v>
      </c>
      <c r="T168" t="str">
        <f>RIGHT(Table1[[#This Row],[category &amp; sub-category]],LEN(Table1[[#This Row],[category &amp; sub-category]])-SEARCH("/",Table1[[#This Row],[category &amp; sub-category]],1))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(Table1[[#This Row],[pledged]]/Table1[[#This Row],[goal]])*100</f>
        <v>415.53846153846149</v>
      </c>
      <c r="G169" t="s">
        <v>20</v>
      </c>
      <c r="H169">
        <v>146</v>
      </c>
      <c r="I169" s="4">
        <f>IFERROR(Table1[[#This Row],[pledged]]/Table1[[#This Row],[backers_count]],0)</f>
        <v>74</v>
      </c>
      <c r="J169" t="s">
        <v>26</v>
      </c>
      <c r="K169" t="s">
        <v>27</v>
      </c>
      <c r="L169">
        <v>1370840400</v>
      </c>
      <c r="M169" s="9">
        <f>(((Table1[[#This Row],[launched_at]]/60)/60)/24)+DATE(1970,1,1)</f>
        <v>41435.208333333336</v>
      </c>
      <c r="N169">
        <v>1371704400</v>
      </c>
      <c r="O169" s="9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LEFT(Table1[[#This Row],[category &amp; sub-category]],SEARCH("/",Table1[[#This Row],[category &amp; sub-category]],1)-1)</f>
        <v>theater</v>
      </c>
      <c r="T169" t="str">
        <f>RIGHT(Table1[[#This Row],[category &amp; sub-category]],LEN(Table1[[#This Row],[category &amp; sub-category]])-SEARCH("/",Table1[[#This Row],[category &amp; sub-category]],1))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(Table1[[#This Row],[pledged]]/Table1[[#This Row],[goal]])*100</f>
        <v>31.30913348946136</v>
      </c>
      <c r="G170" t="s">
        <v>14</v>
      </c>
      <c r="H170">
        <v>955</v>
      </c>
      <c r="I170" s="4">
        <f>IFERROR(Table1[[#This Row],[pledged]]/Table1[[#This Row],[backers_count]],0)</f>
        <v>41.996858638743454</v>
      </c>
      <c r="J170" t="s">
        <v>36</v>
      </c>
      <c r="K170" t="s">
        <v>37</v>
      </c>
      <c r="L170">
        <v>1550815200</v>
      </c>
      <c r="M170" s="9">
        <f>(((Table1[[#This Row],[launched_at]]/60)/60)/24)+DATE(1970,1,1)</f>
        <v>43518.25</v>
      </c>
      <c r="N170">
        <v>1552798800</v>
      </c>
      <c r="O170" s="9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LEFT(Table1[[#This Row],[category &amp; sub-category]],SEARCH("/",Table1[[#This Row],[category &amp; sub-category]],1)-1)</f>
        <v>music</v>
      </c>
      <c r="T170" t="str">
        <f>RIGHT(Table1[[#This Row],[category &amp; sub-category]],LEN(Table1[[#This Row],[category &amp; sub-category]])-SEARCH("/",Table1[[#This Row],[category &amp; sub-category]],1))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(Table1[[#This Row],[pledged]]/Table1[[#This Row],[goal]])*100</f>
        <v>424.08154506437768</v>
      </c>
      <c r="G171" t="s">
        <v>20</v>
      </c>
      <c r="H171">
        <v>1267</v>
      </c>
      <c r="I171" s="4">
        <f>IFERROR(Table1[[#This Row],[pledged]]/Table1[[#This Row],[backers_count]],0)</f>
        <v>77.988161010260455</v>
      </c>
      <c r="J171" t="s">
        <v>21</v>
      </c>
      <c r="K171" t="s">
        <v>22</v>
      </c>
      <c r="L171">
        <v>1339909200</v>
      </c>
      <c r="M171" s="9">
        <f>(((Table1[[#This Row],[launched_at]]/60)/60)/24)+DATE(1970,1,1)</f>
        <v>41077.208333333336</v>
      </c>
      <c r="N171">
        <v>1342328400</v>
      </c>
      <c r="O171" s="9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LEFT(Table1[[#This Row],[category &amp; sub-category]],SEARCH("/",Table1[[#This Row],[category &amp; sub-category]],1)-1)</f>
        <v>film &amp; video</v>
      </c>
      <c r="T171" t="str">
        <f>RIGHT(Table1[[#This Row],[category &amp; sub-category]],LEN(Table1[[#This Row],[category &amp; sub-category]])-SEARCH("/",Table1[[#This Row],[category &amp; sub-category]],1))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(Table1[[#This Row],[pledged]]/Table1[[#This Row],[goal]])*100</f>
        <v>2.93886230728336</v>
      </c>
      <c r="G172" t="s">
        <v>14</v>
      </c>
      <c r="H172">
        <v>67</v>
      </c>
      <c r="I172" s="4">
        <f>IFERROR(Table1[[#This Row],[pledged]]/Table1[[#This Row],[backers_count]],0)</f>
        <v>82.507462686567166</v>
      </c>
      <c r="J172" t="s">
        <v>21</v>
      </c>
      <c r="K172" t="s">
        <v>22</v>
      </c>
      <c r="L172">
        <v>1501736400</v>
      </c>
      <c r="M172" s="9">
        <f>(((Table1[[#This Row],[launched_at]]/60)/60)/24)+DATE(1970,1,1)</f>
        <v>42950.208333333328</v>
      </c>
      <c r="N172">
        <v>1502341200</v>
      </c>
      <c r="O172" s="9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LEFT(Table1[[#This Row],[category &amp; sub-category]],SEARCH("/",Table1[[#This Row],[category &amp; sub-category]],1)-1)</f>
        <v>music</v>
      </c>
      <c r="T172" t="str">
        <f>RIGHT(Table1[[#This Row],[category &amp; sub-category]],LEN(Table1[[#This Row],[category &amp; sub-category]])-SEARCH("/",Table1[[#This Row],[category &amp; sub-category]],1))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(Table1[[#This Row],[pledged]]/Table1[[#This Row],[goal]])*100</f>
        <v>10.63265306122449</v>
      </c>
      <c r="G173" t="s">
        <v>14</v>
      </c>
      <c r="H173">
        <v>5</v>
      </c>
      <c r="I173" s="4">
        <f>IFERROR(Table1[[#This Row],[pledged]]/Table1[[#This Row],[backers_count]],0)</f>
        <v>104.2</v>
      </c>
      <c r="J173" t="s">
        <v>21</v>
      </c>
      <c r="K173" t="s">
        <v>22</v>
      </c>
      <c r="L173">
        <v>1395291600</v>
      </c>
      <c r="M173" s="9">
        <f>(((Table1[[#This Row],[launched_at]]/60)/60)/24)+DATE(1970,1,1)</f>
        <v>41718.208333333336</v>
      </c>
      <c r="N173">
        <v>1397192400</v>
      </c>
      <c r="O173" s="9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LEFT(Table1[[#This Row],[category &amp; sub-category]],SEARCH("/",Table1[[#This Row],[category &amp; sub-category]],1)-1)</f>
        <v>publishing</v>
      </c>
      <c r="T173" t="str">
        <f>RIGHT(Table1[[#This Row],[category &amp; sub-category]],LEN(Table1[[#This Row],[category &amp; sub-category]])-SEARCH("/",Table1[[#This Row],[category &amp; sub-category]],1))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(Table1[[#This Row],[pledged]]/Table1[[#This Row],[goal]])*100</f>
        <v>82.875</v>
      </c>
      <c r="G174" t="s">
        <v>14</v>
      </c>
      <c r="H174">
        <v>26</v>
      </c>
      <c r="I174" s="4">
        <f>IFERROR(Table1[[#This Row],[pledged]]/Table1[[#This Row],[backers_count]],0)</f>
        <v>25.5</v>
      </c>
      <c r="J174" t="s">
        <v>21</v>
      </c>
      <c r="K174" t="s">
        <v>22</v>
      </c>
      <c r="L174">
        <v>1405746000</v>
      </c>
      <c r="M174" s="9">
        <f>(((Table1[[#This Row],[launched_at]]/60)/60)/24)+DATE(1970,1,1)</f>
        <v>41839.208333333336</v>
      </c>
      <c r="N174">
        <v>1407042000</v>
      </c>
      <c r="O174" s="9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LEFT(Table1[[#This Row],[category &amp; sub-category]],SEARCH("/",Table1[[#This Row],[category &amp; sub-category]],1)-1)</f>
        <v>film &amp; video</v>
      </c>
      <c r="T174" t="str">
        <f>RIGHT(Table1[[#This Row],[category &amp; sub-category]],LEN(Table1[[#This Row],[category &amp; sub-category]])-SEARCH("/",Table1[[#This Row],[category &amp; sub-category]],1))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(Table1[[#This Row],[pledged]]/Table1[[#This Row],[goal]])*100</f>
        <v>163.01447776628748</v>
      </c>
      <c r="G175" t="s">
        <v>20</v>
      </c>
      <c r="H175">
        <v>1561</v>
      </c>
      <c r="I175" s="4">
        <f>IFERROR(Table1[[#This Row],[pledged]]/Table1[[#This Row],[backers_count]],0)</f>
        <v>100.98334401024984</v>
      </c>
      <c r="J175" t="s">
        <v>21</v>
      </c>
      <c r="K175" t="s">
        <v>22</v>
      </c>
      <c r="L175">
        <v>1368853200</v>
      </c>
      <c r="M175" s="9">
        <f>(((Table1[[#This Row],[launched_at]]/60)/60)/24)+DATE(1970,1,1)</f>
        <v>41412.208333333336</v>
      </c>
      <c r="N175">
        <v>1369371600</v>
      </c>
      <c r="O175" s="9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LEFT(Table1[[#This Row],[category &amp; sub-category]],SEARCH("/",Table1[[#This Row],[category &amp; sub-category]],1)-1)</f>
        <v>theater</v>
      </c>
      <c r="T175" t="str">
        <f>RIGHT(Table1[[#This Row],[category &amp; sub-category]],LEN(Table1[[#This Row],[category &amp; sub-category]])-SEARCH("/",Table1[[#This Row],[category &amp; sub-category]],1))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(Table1[[#This Row],[pledged]]/Table1[[#This Row],[goal]])*100</f>
        <v>894.66666666666674</v>
      </c>
      <c r="G176" t="s">
        <v>20</v>
      </c>
      <c r="H176">
        <v>48</v>
      </c>
      <c r="I176" s="4">
        <f>IFERROR(Table1[[#This Row],[pledged]]/Table1[[#This Row],[backers_count]],0)</f>
        <v>111.83333333333333</v>
      </c>
      <c r="J176" t="s">
        <v>21</v>
      </c>
      <c r="K176" t="s">
        <v>22</v>
      </c>
      <c r="L176">
        <v>1444021200</v>
      </c>
      <c r="M176" s="9">
        <f>(((Table1[[#This Row],[launched_at]]/60)/60)/24)+DATE(1970,1,1)</f>
        <v>42282.208333333328</v>
      </c>
      <c r="N176">
        <v>1444107600</v>
      </c>
      <c r="O176" s="9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LEFT(Table1[[#This Row],[category &amp; sub-category]],SEARCH("/",Table1[[#This Row],[category &amp; sub-category]],1)-1)</f>
        <v>technology</v>
      </c>
      <c r="T176" t="str">
        <f>RIGHT(Table1[[#This Row],[category &amp; sub-category]],LEN(Table1[[#This Row],[category &amp; sub-category]])-SEARCH("/",Table1[[#This Row],[category &amp; sub-category]],1))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(Table1[[#This Row],[pledged]]/Table1[[#This Row],[goal]])*100</f>
        <v>26.191501103752756</v>
      </c>
      <c r="G177" t="s">
        <v>14</v>
      </c>
      <c r="H177">
        <v>1130</v>
      </c>
      <c r="I177" s="4">
        <f>IFERROR(Table1[[#This Row],[pledged]]/Table1[[#This Row],[backers_count]],0)</f>
        <v>41.999115044247787</v>
      </c>
      <c r="J177" t="s">
        <v>21</v>
      </c>
      <c r="K177" t="s">
        <v>22</v>
      </c>
      <c r="L177">
        <v>1472619600</v>
      </c>
      <c r="M177" s="9">
        <f>(((Table1[[#This Row],[launched_at]]/60)/60)/24)+DATE(1970,1,1)</f>
        <v>42613.208333333328</v>
      </c>
      <c r="N177">
        <v>1474261200</v>
      </c>
      <c r="O177" s="9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LEFT(Table1[[#This Row],[category &amp; sub-category]],SEARCH("/",Table1[[#This Row],[category &amp; sub-category]],1)-1)</f>
        <v>theater</v>
      </c>
      <c r="T177" t="str">
        <f>RIGHT(Table1[[#This Row],[category &amp; sub-category]],LEN(Table1[[#This Row],[category &amp; sub-category]])-SEARCH("/",Table1[[#This Row],[category &amp; sub-category]],1))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(Table1[[#This Row],[pledged]]/Table1[[#This Row],[goal]])*100</f>
        <v>74.834782608695647</v>
      </c>
      <c r="G178" t="s">
        <v>14</v>
      </c>
      <c r="H178">
        <v>782</v>
      </c>
      <c r="I178" s="4">
        <f>IFERROR(Table1[[#This Row],[pledged]]/Table1[[#This Row],[backers_count]],0)</f>
        <v>110.05115089514067</v>
      </c>
      <c r="J178" t="s">
        <v>21</v>
      </c>
      <c r="K178" t="s">
        <v>22</v>
      </c>
      <c r="L178">
        <v>1472878800</v>
      </c>
      <c r="M178" s="9">
        <f>(((Table1[[#This Row],[launched_at]]/60)/60)/24)+DATE(1970,1,1)</f>
        <v>42616.208333333328</v>
      </c>
      <c r="N178">
        <v>1473656400</v>
      </c>
      <c r="O178" s="9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LEFT(Table1[[#This Row],[category &amp; sub-category]],SEARCH("/",Table1[[#This Row],[category &amp; sub-category]],1)-1)</f>
        <v>theater</v>
      </c>
      <c r="T178" t="str">
        <f>RIGHT(Table1[[#This Row],[category &amp; sub-category]],LEN(Table1[[#This Row],[category &amp; sub-category]])-SEARCH("/",Table1[[#This Row],[category &amp; sub-category]],1))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(Table1[[#This Row],[pledged]]/Table1[[#This Row],[goal]])*100</f>
        <v>416.47680412371136</v>
      </c>
      <c r="G179" t="s">
        <v>20</v>
      </c>
      <c r="H179">
        <v>2739</v>
      </c>
      <c r="I179" s="4">
        <f>IFERROR(Table1[[#This Row],[pledged]]/Table1[[#This Row],[backers_count]],0)</f>
        <v>58.997079225994888</v>
      </c>
      <c r="J179" t="s">
        <v>21</v>
      </c>
      <c r="K179" t="s">
        <v>22</v>
      </c>
      <c r="L179">
        <v>1289800800</v>
      </c>
      <c r="M179" s="9">
        <f>(((Table1[[#This Row],[launched_at]]/60)/60)/24)+DATE(1970,1,1)</f>
        <v>40497.25</v>
      </c>
      <c r="N179">
        <v>1291960800</v>
      </c>
      <c r="O179" s="9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LEFT(Table1[[#This Row],[category &amp; sub-category]],SEARCH("/",Table1[[#This Row],[category &amp; sub-category]],1)-1)</f>
        <v>theater</v>
      </c>
      <c r="T179" t="str">
        <f>RIGHT(Table1[[#This Row],[category &amp; sub-category]],LEN(Table1[[#This Row],[category &amp; sub-category]])-SEARCH("/",Table1[[#This Row],[category &amp; sub-category]],1))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(Table1[[#This Row],[pledged]]/Table1[[#This Row],[goal]])*100</f>
        <v>96.208333333333329</v>
      </c>
      <c r="G180" t="s">
        <v>14</v>
      </c>
      <c r="H180">
        <v>210</v>
      </c>
      <c r="I180" s="4">
        <f>IFERROR(Table1[[#This Row],[pledged]]/Table1[[#This Row],[backers_count]],0)</f>
        <v>32.985714285714288</v>
      </c>
      <c r="J180" t="s">
        <v>21</v>
      </c>
      <c r="K180" t="s">
        <v>22</v>
      </c>
      <c r="L180">
        <v>1505970000</v>
      </c>
      <c r="M180" s="9">
        <f>(((Table1[[#This Row],[launched_at]]/60)/60)/24)+DATE(1970,1,1)</f>
        <v>42999.208333333328</v>
      </c>
      <c r="N180">
        <v>1506747600</v>
      </c>
      <c r="O180" s="9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LEFT(Table1[[#This Row],[category &amp; sub-category]],SEARCH("/",Table1[[#This Row],[category &amp; sub-category]],1)-1)</f>
        <v>food</v>
      </c>
      <c r="T180" t="str">
        <f>RIGHT(Table1[[#This Row],[category &amp; sub-category]],LEN(Table1[[#This Row],[category &amp; sub-category]])-SEARCH("/",Table1[[#This Row],[category &amp; sub-category]],1))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(Table1[[#This Row],[pledged]]/Table1[[#This Row],[goal]])*100</f>
        <v>357.71910112359546</v>
      </c>
      <c r="G181" t="s">
        <v>20</v>
      </c>
      <c r="H181">
        <v>3537</v>
      </c>
      <c r="I181" s="4">
        <f>IFERROR(Table1[[#This Row],[pledged]]/Table1[[#This Row],[backers_count]],0)</f>
        <v>45.005654509471306</v>
      </c>
      <c r="J181" t="s">
        <v>15</v>
      </c>
      <c r="K181" t="s">
        <v>16</v>
      </c>
      <c r="L181">
        <v>1363496400</v>
      </c>
      <c r="M181" s="9">
        <f>(((Table1[[#This Row],[launched_at]]/60)/60)/24)+DATE(1970,1,1)</f>
        <v>41350.208333333336</v>
      </c>
      <c r="N181">
        <v>1363582800</v>
      </c>
      <c r="O181" s="9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LEFT(Table1[[#This Row],[category &amp; sub-category]],SEARCH("/",Table1[[#This Row],[category &amp; sub-category]],1)-1)</f>
        <v>theater</v>
      </c>
      <c r="T181" t="str">
        <f>RIGHT(Table1[[#This Row],[category &amp; sub-category]],LEN(Table1[[#This Row],[category &amp; sub-category]])-SEARCH("/",Table1[[#This Row],[category &amp; sub-category]],1))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(Table1[[#This Row],[pledged]]/Table1[[#This Row],[goal]])*100</f>
        <v>308.45714285714286</v>
      </c>
      <c r="G182" t="s">
        <v>20</v>
      </c>
      <c r="H182">
        <v>2107</v>
      </c>
      <c r="I182" s="4">
        <f>IFERROR(Table1[[#This Row],[pledged]]/Table1[[#This Row],[backers_count]],0)</f>
        <v>81.98196487897485</v>
      </c>
      <c r="J182" t="s">
        <v>26</v>
      </c>
      <c r="K182" t="s">
        <v>27</v>
      </c>
      <c r="L182">
        <v>1269234000</v>
      </c>
      <c r="M182" s="9">
        <f>(((Table1[[#This Row],[launched_at]]/60)/60)/24)+DATE(1970,1,1)</f>
        <v>40259.208333333336</v>
      </c>
      <c r="N182">
        <v>1269666000</v>
      </c>
      <c r="O182" s="9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LEFT(Table1[[#This Row],[category &amp; sub-category]],SEARCH("/",Table1[[#This Row],[category &amp; sub-category]],1)-1)</f>
        <v>technology</v>
      </c>
      <c r="T182" t="str">
        <f>RIGHT(Table1[[#This Row],[category &amp; sub-category]],LEN(Table1[[#This Row],[category &amp; sub-category]])-SEARCH("/",Table1[[#This Row],[category &amp; sub-category]],1))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(Table1[[#This Row],[pledged]]/Table1[[#This Row],[goal]])*100</f>
        <v>61.802325581395344</v>
      </c>
      <c r="G183" t="s">
        <v>14</v>
      </c>
      <c r="H183">
        <v>136</v>
      </c>
      <c r="I183" s="4">
        <f>IFERROR(Table1[[#This Row],[pledged]]/Table1[[#This Row],[backers_count]],0)</f>
        <v>39.080882352941174</v>
      </c>
      <c r="J183" t="s">
        <v>21</v>
      </c>
      <c r="K183" t="s">
        <v>22</v>
      </c>
      <c r="L183">
        <v>1507093200</v>
      </c>
      <c r="M183" s="9">
        <f>(((Table1[[#This Row],[launched_at]]/60)/60)/24)+DATE(1970,1,1)</f>
        <v>43012.208333333328</v>
      </c>
      <c r="N183">
        <v>1508648400</v>
      </c>
      <c r="O183" s="9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LEFT(Table1[[#This Row],[category &amp; sub-category]],SEARCH("/",Table1[[#This Row],[category &amp; sub-category]],1)-1)</f>
        <v>technology</v>
      </c>
      <c r="T183" t="str">
        <f>RIGHT(Table1[[#This Row],[category &amp; sub-category]],LEN(Table1[[#This Row],[category &amp; sub-category]])-SEARCH("/",Table1[[#This Row],[category &amp; sub-category]],1))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(Table1[[#This Row],[pledged]]/Table1[[#This Row],[goal]])*100</f>
        <v>722.32472324723244</v>
      </c>
      <c r="G184" t="s">
        <v>20</v>
      </c>
      <c r="H184">
        <v>3318</v>
      </c>
      <c r="I184" s="4">
        <f>IFERROR(Table1[[#This Row],[pledged]]/Table1[[#This Row],[backers_count]],0)</f>
        <v>58.996383363471971</v>
      </c>
      <c r="J184" t="s">
        <v>36</v>
      </c>
      <c r="K184" t="s">
        <v>37</v>
      </c>
      <c r="L184">
        <v>1560574800</v>
      </c>
      <c r="M184" s="9">
        <f>(((Table1[[#This Row],[launched_at]]/60)/60)/24)+DATE(1970,1,1)</f>
        <v>43631.208333333328</v>
      </c>
      <c r="N184">
        <v>1561957200</v>
      </c>
      <c r="O184" s="9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LEFT(Table1[[#This Row],[category &amp; sub-category]],SEARCH("/",Table1[[#This Row],[category &amp; sub-category]],1)-1)</f>
        <v>theater</v>
      </c>
      <c r="T184" t="str">
        <f>RIGHT(Table1[[#This Row],[category &amp; sub-category]],LEN(Table1[[#This Row],[category &amp; sub-category]])-SEARCH("/",Table1[[#This Row],[category &amp; sub-category]],1))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(Table1[[#This Row],[pledged]]/Table1[[#This Row],[goal]])*100</f>
        <v>69.117647058823522</v>
      </c>
      <c r="G185" t="s">
        <v>14</v>
      </c>
      <c r="H185">
        <v>86</v>
      </c>
      <c r="I185" s="4">
        <f>IFERROR(Table1[[#This Row],[pledged]]/Table1[[#This Row],[backers_count]],0)</f>
        <v>40.988372093023258</v>
      </c>
      <c r="J185" t="s">
        <v>15</v>
      </c>
      <c r="K185" t="s">
        <v>16</v>
      </c>
      <c r="L185">
        <v>1284008400</v>
      </c>
      <c r="M185" s="9">
        <f>(((Table1[[#This Row],[launched_at]]/60)/60)/24)+DATE(1970,1,1)</f>
        <v>40430.208333333336</v>
      </c>
      <c r="N185">
        <v>1285131600</v>
      </c>
      <c r="O185" s="9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LEFT(Table1[[#This Row],[category &amp; sub-category]],SEARCH("/",Table1[[#This Row],[category &amp; sub-category]],1)-1)</f>
        <v>music</v>
      </c>
      <c r="T185" t="str">
        <f>RIGHT(Table1[[#This Row],[category &amp; sub-category]],LEN(Table1[[#This Row],[category &amp; sub-category]])-SEARCH("/",Table1[[#This Row],[category &amp; sub-category]],1))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(Table1[[#This Row],[pledged]]/Table1[[#This Row],[goal]])*100</f>
        <v>293.05555555555554</v>
      </c>
      <c r="G186" t="s">
        <v>20</v>
      </c>
      <c r="H186">
        <v>340</v>
      </c>
      <c r="I186" s="4">
        <f>IFERROR(Table1[[#This Row],[pledged]]/Table1[[#This Row],[backers_count]],0)</f>
        <v>31.029411764705884</v>
      </c>
      <c r="J186" t="s">
        <v>21</v>
      </c>
      <c r="K186" t="s">
        <v>22</v>
      </c>
      <c r="L186">
        <v>1556859600</v>
      </c>
      <c r="M186" s="9">
        <f>(((Table1[[#This Row],[launched_at]]/60)/60)/24)+DATE(1970,1,1)</f>
        <v>43588.208333333328</v>
      </c>
      <c r="N186">
        <v>1556946000</v>
      </c>
      <c r="O186" s="9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LEFT(Table1[[#This Row],[category &amp; sub-category]],SEARCH("/",Table1[[#This Row],[category &amp; sub-category]],1)-1)</f>
        <v>theater</v>
      </c>
      <c r="T186" t="str">
        <f>RIGHT(Table1[[#This Row],[category &amp; sub-category]],LEN(Table1[[#This Row],[category &amp; sub-category]])-SEARCH("/",Table1[[#This Row],[category &amp; sub-category]],1))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(Table1[[#This Row],[pledged]]/Table1[[#This Row],[goal]])*100</f>
        <v>71.8</v>
      </c>
      <c r="G187" t="s">
        <v>14</v>
      </c>
      <c r="H187">
        <v>19</v>
      </c>
      <c r="I187" s="4">
        <f>IFERROR(Table1[[#This Row],[pledged]]/Table1[[#This Row],[backers_count]],0)</f>
        <v>37.789473684210527</v>
      </c>
      <c r="J187" t="s">
        <v>21</v>
      </c>
      <c r="K187" t="s">
        <v>22</v>
      </c>
      <c r="L187">
        <v>1526187600</v>
      </c>
      <c r="M187" s="9">
        <f>(((Table1[[#This Row],[launched_at]]/60)/60)/24)+DATE(1970,1,1)</f>
        <v>43233.208333333328</v>
      </c>
      <c r="N187">
        <v>1527138000</v>
      </c>
      <c r="O187" s="9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LEFT(Table1[[#This Row],[category &amp; sub-category]],SEARCH("/",Table1[[#This Row],[category &amp; sub-category]],1)-1)</f>
        <v>film &amp; video</v>
      </c>
      <c r="T187" t="str">
        <f>RIGHT(Table1[[#This Row],[category &amp; sub-category]],LEN(Table1[[#This Row],[category &amp; sub-category]])-SEARCH("/",Table1[[#This Row],[category &amp; sub-category]],1))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(Table1[[#This Row],[pledged]]/Table1[[#This Row],[goal]])*100</f>
        <v>31.934684684684683</v>
      </c>
      <c r="G188" t="s">
        <v>14</v>
      </c>
      <c r="H188">
        <v>886</v>
      </c>
      <c r="I188" s="4">
        <f>IFERROR(Table1[[#This Row],[pledged]]/Table1[[#This Row],[backers_count]],0)</f>
        <v>32.006772009029348</v>
      </c>
      <c r="J188" t="s">
        <v>21</v>
      </c>
      <c r="K188" t="s">
        <v>22</v>
      </c>
      <c r="L188">
        <v>1400821200</v>
      </c>
      <c r="M188" s="9">
        <f>(((Table1[[#This Row],[launched_at]]/60)/60)/24)+DATE(1970,1,1)</f>
        <v>41782.208333333336</v>
      </c>
      <c r="N188">
        <v>1402117200</v>
      </c>
      <c r="O188" s="9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LEFT(Table1[[#This Row],[category &amp; sub-category]],SEARCH("/",Table1[[#This Row],[category &amp; sub-category]],1)-1)</f>
        <v>theater</v>
      </c>
      <c r="T188" t="str">
        <f>RIGHT(Table1[[#This Row],[category &amp; sub-category]],LEN(Table1[[#This Row],[category &amp; sub-category]])-SEARCH("/",Table1[[#This Row],[category &amp; sub-category]],1))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(Table1[[#This Row],[pledged]]/Table1[[#This Row],[goal]])*100</f>
        <v>229.87375415282392</v>
      </c>
      <c r="G189" t="s">
        <v>20</v>
      </c>
      <c r="H189">
        <v>1442</v>
      </c>
      <c r="I189" s="4">
        <f>IFERROR(Table1[[#This Row],[pledged]]/Table1[[#This Row],[backers_count]],0)</f>
        <v>95.966712898751737</v>
      </c>
      <c r="J189" t="s">
        <v>15</v>
      </c>
      <c r="K189" t="s">
        <v>16</v>
      </c>
      <c r="L189">
        <v>1361599200</v>
      </c>
      <c r="M189" s="9">
        <f>(((Table1[[#This Row],[launched_at]]/60)/60)/24)+DATE(1970,1,1)</f>
        <v>41328.25</v>
      </c>
      <c r="N189">
        <v>1364014800</v>
      </c>
      <c r="O189" s="9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LEFT(Table1[[#This Row],[category &amp; sub-category]],SEARCH("/",Table1[[#This Row],[category &amp; sub-category]],1)-1)</f>
        <v>film &amp; video</v>
      </c>
      <c r="T189" t="str">
        <f>RIGHT(Table1[[#This Row],[category &amp; sub-category]],LEN(Table1[[#This Row],[category &amp; sub-category]])-SEARCH("/",Table1[[#This Row],[category &amp; sub-category]],1))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(Table1[[#This Row],[pledged]]/Table1[[#This Row],[goal]])*100</f>
        <v>32.012195121951223</v>
      </c>
      <c r="G190" t="s">
        <v>14</v>
      </c>
      <c r="H190">
        <v>35</v>
      </c>
      <c r="I190" s="4">
        <f>IFERROR(Table1[[#This Row],[pledged]]/Table1[[#This Row],[backers_count]],0)</f>
        <v>75</v>
      </c>
      <c r="J190" t="s">
        <v>107</v>
      </c>
      <c r="K190" t="s">
        <v>108</v>
      </c>
      <c r="L190">
        <v>1417500000</v>
      </c>
      <c r="M190" s="9">
        <f>(((Table1[[#This Row],[launched_at]]/60)/60)/24)+DATE(1970,1,1)</f>
        <v>41975.25</v>
      </c>
      <c r="N190">
        <v>1417586400</v>
      </c>
      <c r="O190" s="9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LEFT(Table1[[#This Row],[category &amp; sub-category]],SEARCH("/",Table1[[#This Row],[category &amp; sub-category]],1)-1)</f>
        <v>theater</v>
      </c>
      <c r="T190" t="str">
        <f>RIGHT(Table1[[#This Row],[category &amp; sub-category]],LEN(Table1[[#This Row],[category &amp; sub-category]])-SEARCH("/",Table1[[#This Row],[category &amp; sub-category]],1))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(Table1[[#This Row],[pledged]]/Table1[[#This Row],[goal]])*100</f>
        <v>23.525352848928385</v>
      </c>
      <c r="G191" t="s">
        <v>74</v>
      </c>
      <c r="H191">
        <v>441</v>
      </c>
      <c r="I191" s="4">
        <f>IFERROR(Table1[[#This Row],[pledged]]/Table1[[#This Row],[backers_count]],0)</f>
        <v>102.0498866213152</v>
      </c>
      <c r="J191" t="s">
        <v>21</v>
      </c>
      <c r="K191" t="s">
        <v>22</v>
      </c>
      <c r="L191">
        <v>1457071200</v>
      </c>
      <c r="M191" s="9">
        <f>(((Table1[[#This Row],[launched_at]]/60)/60)/24)+DATE(1970,1,1)</f>
        <v>42433.25</v>
      </c>
      <c r="N191">
        <v>1457071200</v>
      </c>
      <c r="O191" s="9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LEFT(Table1[[#This Row],[category &amp; sub-category]],SEARCH("/",Table1[[#This Row],[category &amp; sub-category]],1)-1)</f>
        <v>theater</v>
      </c>
      <c r="T191" t="str">
        <f>RIGHT(Table1[[#This Row],[category &amp; sub-category]],LEN(Table1[[#This Row],[category &amp; sub-category]])-SEARCH("/",Table1[[#This Row],[category &amp; sub-category]],1))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(Table1[[#This Row],[pledged]]/Table1[[#This Row],[goal]])*100</f>
        <v>68.594594594594597</v>
      </c>
      <c r="G192" t="s">
        <v>14</v>
      </c>
      <c r="H192">
        <v>24</v>
      </c>
      <c r="I192" s="4">
        <f>IFERROR(Table1[[#This Row],[pledged]]/Table1[[#This Row],[backers_count]],0)</f>
        <v>105.75</v>
      </c>
      <c r="J192" t="s">
        <v>21</v>
      </c>
      <c r="K192" t="s">
        <v>22</v>
      </c>
      <c r="L192">
        <v>1370322000</v>
      </c>
      <c r="M192" s="9">
        <f>(((Table1[[#This Row],[launched_at]]/60)/60)/24)+DATE(1970,1,1)</f>
        <v>41429.208333333336</v>
      </c>
      <c r="N192">
        <v>1370408400</v>
      </c>
      <c r="O192" s="9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LEFT(Table1[[#This Row],[category &amp; sub-category]],SEARCH("/",Table1[[#This Row],[category &amp; sub-category]],1)-1)</f>
        <v>theater</v>
      </c>
      <c r="T192" t="str">
        <f>RIGHT(Table1[[#This Row],[category &amp; sub-category]],LEN(Table1[[#This Row],[category &amp; sub-category]])-SEARCH("/",Table1[[#This Row],[category &amp; sub-category]],1))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(Table1[[#This Row],[pledged]]/Table1[[#This Row],[goal]])*100</f>
        <v>37.952380952380956</v>
      </c>
      <c r="G193" t="s">
        <v>14</v>
      </c>
      <c r="H193">
        <v>86</v>
      </c>
      <c r="I193" s="4">
        <f>IFERROR(Table1[[#This Row],[pledged]]/Table1[[#This Row],[backers_count]],0)</f>
        <v>37.069767441860463</v>
      </c>
      <c r="J193" t="s">
        <v>107</v>
      </c>
      <c r="K193" t="s">
        <v>108</v>
      </c>
      <c r="L193">
        <v>1552366800</v>
      </c>
      <c r="M193" s="9">
        <f>(((Table1[[#This Row],[launched_at]]/60)/60)/24)+DATE(1970,1,1)</f>
        <v>43536.208333333328</v>
      </c>
      <c r="N193">
        <v>1552626000</v>
      </c>
      <c r="O193" s="9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LEFT(Table1[[#This Row],[category &amp; sub-category]],SEARCH("/",Table1[[#This Row],[category &amp; sub-category]],1)-1)</f>
        <v>theater</v>
      </c>
      <c r="T193" t="str">
        <f>RIGHT(Table1[[#This Row],[category &amp; sub-category]],LEN(Table1[[#This Row],[category &amp; sub-category]])-SEARCH("/",Table1[[#This Row],[category &amp; sub-category]],1))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(Table1[[#This Row],[pledged]]/Table1[[#This Row],[goal]])*100</f>
        <v>19.992957746478872</v>
      </c>
      <c r="G194" t="s">
        <v>14</v>
      </c>
      <c r="H194">
        <v>243</v>
      </c>
      <c r="I194" s="4">
        <f>IFERROR(Table1[[#This Row],[pledged]]/Table1[[#This Row],[backers_count]],0)</f>
        <v>35.049382716049379</v>
      </c>
      <c r="J194" t="s">
        <v>21</v>
      </c>
      <c r="K194" t="s">
        <v>22</v>
      </c>
      <c r="L194">
        <v>1403845200</v>
      </c>
      <c r="M194" s="9">
        <f>(((Table1[[#This Row],[launched_at]]/60)/60)/24)+DATE(1970,1,1)</f>
        <v>41817.208333333336</v>
      </c>
      <c r="N194">
        <v>1404190800</v>
      </c>
      <c r="O194" s="9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LEFT(Table1[[#This Row],[category &amp; sub-category]],SEARCH("/",Table1[[#This Row],[category &amp; sub-category]],1)-1)</f>
        <v>music</v>
      </c>
      <c r="T194" t="str">
        <f>RIGHT(Table1[[#This Row],[category &amp; sub-category]],LEN(Table1[[#This Row],[category &amp; sub-category]])-SEARCH("/",Table1[[#This Row],[category &amp; sub-category]],1))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(Table1[[#This Row],[pledged]]/Table1[[#This Row],[goal]])*100</f>
        <v>45.636363636363633</v>
      </c>
      <c r="G195" t="s">
        <v>14</v>
      </c>
      <c r="H195">
        <v>65</v>
      </c>
      <c r="I195" s="4">
        <f>IFERROR(Table1[[#This Row],[pledged]]/Table1[[#This Row],[backers_count]],0)</f>
        <v>46.338461538461537</v>
      </c>
      <c r="J195" t="s">
        <v>21</v>
      </c>
      <c r="K195" t="s">
        <v>22</v>
      </c>
      <c r="L195">
        <v>1523163600</v>
      </c>
      <c r="M195" s="9">
        <f>(((Table1[[#This Row],[launched_at]]/60)/60)/24)+DATE(1970,1,1)</f>
        <v>43198.208333333328</v>
      </c>
      <c r="N195">
        <v>1523509200</v>
      </c>
      <c r="O195" s="9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LEFT(Table1[[#This Row],[category &amp; sub-category]],SEARCH("/",Table1[[#This Row],[category &amp; sub-category]],1)-1)</f>
        <v>music</v>
      </c>
      <c r="T195" t="str">
        <f>RIGHT(Table1[[#This Row],[category &amp; sub-category]],LEN(Table1[[#This Row],[category &amp; sub-category]])-SEARCH("/",Table1[[#This Row],[category &amp; sub-category]],1))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(Table1[[#This Row],[pledged]]/Table1[[#This Row],[goal]])*100</f>
        <v>122.7605633802817</v>
      </c>
      <c r="G196" t="s">
        <v>20</v>
      </c>
      <c r="H196">
        <v>126</v>
      </c>
      <c r="I196" s="4">
        <f>IFERROR(Table1[[#This Row],[pledged]]/Table1[[#This Row],[backers_count]],0)</f>
        <v>69.174603174603178</v>
      </c>
      <c r="J196" t="s">
        <v>21</v>
      </c>
      <c r="K196" t="s">
        <v>22</v>
      </c>
      <c r="L196">
        <v>1442206800</v>
      </c>
      <c r="M196" s="9">
        <f>(((Table1[[#This Row],[launched_at]]/60)/60)/24)+DATE(1970,1,1)</f>
        <v>42261.208333333328</v>
      </c>
      <c r="N196">
        <v>1443589200</v>
      </c>
      <c r="O196" s="9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LEFT(Table1[[#This Row],[category &amp; sub-category]],SEARCH("/",Table1[[#This Row],[category &amp; sub-category]],1)-1)</f>
        <v>music</v>
      </c>
      <c r="T196" t="str">
        <f>RIGHT(Table1[[#This Row],[category &amp; sub-category]],LEN(Table1[[#This Row],[category &amp; sub-category]])-SEARCH("/",Table1[[#This Row],[category &amp; sub-category]],1))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(Table1[[#This Row],[pledged]]/Table1[[#This Row],[goal]])*100</f>
        <v>361.75316455696202</v>
      </c>
      <c r="G197" t="s">
        <v>20</v>
      </c>
      <c r="H197">
        <v>524</v>
      </c>
      <c r="I197" s="4">
        <f>IFERROR(Table1[[#This Row],[pledged]]/Table1[[#This Row],[backers_count]],0)</f>
        <v>109.07824427480917</v>
      </c>
      <c r="J197" t="s">
        <v>21</v>
      </c>
      <c r="K197" t="s">
        <v>22</v>
      </c>
      <c r="L197">
        <v>1532840400</v>
      </c>
      <c r="M197" s="9">
        <f>(((Table1[[#This Row],[launched_at]]/60)/60)/24)+DATE(1970,1,1)</f>
        <v>43310.208333333328</v>
      </c>
      <c r="N197">
        <v>1533445200</v>
      </c>
      <c r="O197" s="9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LEFT(Table1[[#This Row],[category &amp; sub-category]],SEARCH("/",Table1[[#This Row],[category &amp; sub-category]],1)-1)</f>
        <v>music</v>
      </c>
      <c r="T197" t="str">
        <f>RIGHT(Table1[[#This Row],[category &amp; sub-category]],LEN(Table1[[#This Row],[category &amp; sub-category]])-SEARCH("/",Table1[[#This Row],[category &amp; sub-category]],1))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(Table1[[#This Row],[pledged]]/Table1[[#This Row],[goal]])*100</f>
        <v>63.146341463414636</v>
      </c>
      <c r="G198" t="s">
        <v>14</v>
      </c>
      <c r="H198">
        <v>100</v>
      </c>
      <c r="I198" s="4">
        <f>IFERROR(Table1[[#This Row],[pledged]]/Table1[[#This Row],[backers_count]],0)</f>
        <v>51.78</v>
      </c>
      <c r="J198" t="s">
        <v>36</v>
      </c>
      <c r="K198" t="s">
        <v>37</v>
      </c>
      <c r="L198">
        <v>1472878800</v>
      </c>
      <c r="M198" s="9">
        <f>(((Table1[[#This Row],[launched_at]]/60)/60)/24)+DATE(1970,1,1)</f>
        <v>42616.208333333328</v>
      </c>
      <c r="N198">
        <v>1474520400</v>
      </c>
      <c r="O198" s="9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LEFT(Table1[[#This Row],[category &amp; sub-category]],SEARCH("/",Table1[[#This Row],[category &amp; sub-category]],1)-1)</f>
        <v>technology</v>
      </c>
      <c r="T198" t="str">
        <f>RIGHT(Table1[[#This Row],[category &amp; sub-category]],LEN(Table1[[#This Row],[category &amp; sub-category]])-SEARCH("/",Table1[[#This Row],[category &amp; sub-category]],1))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(Table1[[#This Row],[pledged]]/Table1[[#This Row],[goal]])*100</f>
        <v>298.20475319926874</v>
      </c>
      <c r="G199" t="s">
        <v>20</v>
      </c>
      <c r="H199">
        <v>1989</v>
      </c>
      <c r="I199" s="4">
        <f>IFERROR(Table1[[#This Row],[pledged]]/Table1[[#This Row],[backers_count]],0)</f>
        <v>82.010055304172951</v>
      </c>
      <c r="J199" t="s">
        <v>21</v>
      </c>
      <c r="K199" t="s">
        <v>22</v>
      </c>
      <c r="L199">
        <v>1498194000</v>
      </c>
      <c r="M199" s="9">
        <f>(((Table1[[#This Row],[launched_at]]/60)/60)/24)+DATE(1970,1,1)</f>
        <v>42909.208333333328</v>
      </c>
      <c r="N199">
        <v>1499403600</v>
      </c>
      <c r="O199" s="9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LEFT(Table1[[#This Row],[category &amp; sub-category]],SEARCH("/",Table1[[#This Row],[category &amp; sub-category]],1)-1)</f>
        <v>film &amp; video</v>
      </c>
      <c r="T199" t="str">
        <f>RIGHT(Table1[[#This Row],[category &amp; sub-category]],LEN(Table1[[#This Row],[category &amp; sub-category]])-SEARCH("/",Table1[[#This Row],[category &amp; sub-category]],1))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(Table1[[#This Row],[pledged]]/Table1[[#This Row],[goal]])*100</f>
        <v>9.5585443037974684</v>
      </c>
      <c r="G200" t="s">
        <v>14</v>
      </c>
      <c r="H200">
        <v>168</v>
      </c>
      <c r="I200" s="4">
        <f>IFERROR(Table1[[#This Row],[pledged]]/Table1[[#This Row],[backers_count]],0)</f>
        <v>35.958333333333336</v>
      </c>
      <c r="J200" t="s">
        <v>21</v>
      </c>
      <c r="K200" t="s">
        <v>22</v>
      </c>
      <c r="L200">
        <v>1281070800</v>
      </c>
      <c r="M200" s="9">
        <f>(((Table1[[#This Row],[launched_at]]/60)/60)/24)+DATE(1970,1,1)</f>
        <v>40396.208333333336</v>
      </c>
      <c r="N200">
        <v>1283576400</v>
      </c>
      <c r="O200" s="9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LEFT(Table1[[#This Row],[category &amp; sub-category]],SEARCH("/",Table1[[#This Row],[category &amp; sub-category]],1)-1)</f>
        <v>music</v>
      </c>
      <c r="T200" t="str">
        <f>RIGHT(Table1[[#This Row],[category &amp; sub-category]],LEN(Table1[[#This Row],[category &amp; sub-category]])-SEARCH("/",Table1[[#This Row],[category &amp; sub-category]],1))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(Table1[[#This Row],[pledged]]/Table1[[#This Row],[goal]])*100</f>
        <v>53.777777777777779</v>
      </c>
      <c r="G201" t="s">
        <v>14</v>
      </c>
      <c r="H201">
        <v>13</v>
      </c>
      <c r="I201" s="4">
        <f>IFERROR(Table1[[#This Row],[pledged]]/Table1[[#This Row],[backers_count]],0)</f>
        <v>74.461538461538467</v>
      </c>
      <c r="J201" t="s">
        <v>21</v>
      </c>
      <c r="K201" t="s">
        <v>22</v>
      </c>
      <c r="L201">
        <v>1436245200</v>
      </c>
      <c r="M201" s="9">
        <f>(((Table1[[#This Row],[launched_at]]/60)/60)/24)+DATE(1970,1,1)</f>
        <v>42192.208333333328</v>
      </c>
      <c r="N201">
        <v>1436590800</v>
      </c>
      <c r="O201" s="9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LEFT(Table1[[#This Row],[category &amp; sub-category]],SEARCH("/",Table1[[#This Row],[category &amp; sub-category]],1)-1)</f>
        <v>music</v>
      </c>
      <c r="T201" t="str">
        <f>RIGHT(Table1[[#This Row],[category &amp; sub-category]],LEN(Table1[[#This Row],[category &amp; sub-category]])-SEARCH("/",Table1[[#This Row],[category &amp; sub-category]],1))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(Table1[[#This Row],[pledged]]/Table1[[#This Row],[goal]])*100</f>
        <v>2</v>
      </c>
      <c r="G202" t="s">
        <v>14</v>
      </c>
      <c r="H202">
        <v>1</v>
      </c>
      <c r="I202" s="4">
        <f>IFERROR(Table1[[#This Row],[pledged]]/Table1[[#This Row],[backers_count]],0)</f>
        <v>2</v>
      </c>
      <c r="J202" t="s">
        <v>15</v>
      </c>
      <c r="K202" t="s">
        <v>16</v>
      </c>
      <c r="L202">
        <v>1269493200</v>
      </c>
      <c r="M202" s="9">
        <f>(((Table1[[#This Row],[launched_at]]/60)/60)/24)+DATE(1970,1,1)</f>
        <v>40262.208333333336</v>
      </c>
      <c r="N202">
        <v>1270443600</v>
      </c>
      <c r="O202" s="9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LEFT(Table1[[#This Row],[category &amp; sub-category]],SEARCH("/",Table1[[#This Row],[category &amp; sub-category]],1)-1)</f>
        <v>theater</v>
      </c>
      <c r="T202" t="str">
        <f>RIGHT(Table1[[#This Row],[category &amp; sub-category]],LEN(Table1[[#This Row],[category &amp; sub-category]])-SEARCH("/",Table1[[#This Row],[category &amp; sub-category]],1))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(Table1[[#This Row],[pledged]]/Table1[[#This Row],[goal]])*100</f>
        <v>681.19047619047615</v>
      </c>
      <c r="G203" t="s">
        <v>20</v>
      </c>
      <c r="H203">
        <v>157</v>
      </c>
      <c r="I203" s="4">
        <f>IFERROR(Table1[[#This Row],[pledged]]/Table1[[#This Row],[backers_count]],0)</f>
        <v>91.114649681528661</v>
      </c>
      <c r="J203" t="s">
        <v>21</v>
      </c>
      <c r="K203" t="s">
        <v>22</v>
      </c>
      <c r="L203">
        <v>1406264400</v>
      </c>
      <c r="M203" s="9">
        <f>(((Table1[[#This Row],[launched_at]]/60)/60)/24)+DATE(1970,1,1)</f>
        <v>41845.208333333336</v>
      </c>
      <c r="N203">
        <v>1407819600</v>
      </c>
      <c r="O203" s="9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LEFT(Table1[[#This Row],[category &amp; sub-category]],SEARCH("/",Table1[[#This Row],[category &amp; sub-category]],1)-1)</f>
        <v>technology</v>
      </c>
      <c r="T203" t="str">
        <f>RIGHT(Table1[[#This Row],[category &amp; sub-category]],LEN(Table1[[#This Row],[category &amp; sub-category]])-SEARCH("/",Table1[[#This Row],[category &amp; sub-category]],1))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(Table1[[#This Row],[pledged]]/Table1[[#This Row],[goal]])*100</f>
        <v>78.831325301204828</v>
      </c>
      <c r="G204" t="s">
        <v>74</v>
      </c>
      <c r="H204">
        <v>82</v>
      </c>
      <c r="I204" s="4">
        <f>IFERROR(Table1[[#This Row],[pledged]]/Table1[[#This Row],[backers_count]],0)</f>
        <v>79.792682926829272</v>
      </c>
      <c r="J204" t="s">
        <v>21</v>
      </c>
      <c r="K204" t="s">
        <v>22</v>
      </c>
      <c r="L204">
        <v>1317531600</v>
      </c>
      <c r="M204" s="9">
        <f>(((Table1[[#This Row],[launched_at]]/60)/60)/24)+DATE(1970,1,1)</f>
        <v>40818.208333333336</v>
      </c>
      <c r="N204">
        <v>1317877200</v>
      </c>
      <c r="O204" s="9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LEFT(Table1[[#This Row],[category &amp; sub-category]],SEARCH("/",Table1[[#This Row],[category &amp; sub-category]],1)-1)</f>
        <v>food</v>
      </c>
      <c r="T204" t="str">
        <f>RIGHT(Table1[[#This Row],[category &amp; sub-category]],LEN(Table1[[#This Row],[category &amp; sub-category]])-SEARCH("/",Table1[[#This Row],[category &amp; sub-category]],1))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(Table1[[#This Row],[pledged]]/Table1[[#This Row],[goal]])*100</f>
        <v>134.40792216817235</v>
      </c>
      <c r="G205" t="s">
        <v>20</v>
      </c>
      <c r="H205">
        <v>4498</v>
      </c>
      <c r="I205" s="4">
        <f>IFERROR(Table1[[#This Row],[pledged]]/Table1[[#This Row],[backers_count]],0)</f>
        <v>42.999777678968428</v>
      </c>
      <c r="J205" t="s">
        <v>26</v>
      </c>
      <c r="K205" t="s">
        <v>27</v>
      </c>
      <c r="L205">
        <v>1484632800</v>
      </c>
      <c r="M205" s="9">
        <f>(((Table1[[#This Row],[launched_at]]/60)/60)/24)+DATE(1970,1,1)</f>
        <v>42752.25</v>
      </c>
      <c r="N205">
        <v>1484805600</v>
      </c>
      <c r="O205" s="9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LEFT(Table1[[#This Row],[category &amp; sub-category]],SEARCH("/",Table1[[#This Row],[category &amp; sub-category]],1)-1)</f>
        <v>theater</v>
      </c>
      <c r="T205" t="str">
        <f>RIGHT(Table1[[#This Row],[category &amp; sub-category]],LEN(Table1[[#This Row],[category &amp; sub-category]])-SEARCH("/",Table1[[#This Row],[category &amp; sub-category]],1))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(Table1[[#This Row],[pledged]]/Table1[[#This Row],[goal]])*100</f>
        <v>3.3719999999999999</v>
      </c>
      <c r="G206" t="s">
        <v>14</v>
      </c>
      <c r="H206">
        <v>40</v>
      </c>
      <c r="I206" s="4">
        <f>IFERROR(Table1[[#This Row],[pledged]]/Table1[[#This Row],[backers_count]],0)</f>
        <v>63.225000000000001</v>
      </c>
      <c r="J206" t="s">
        <v>21</v>
      </c>
      <c r="K206" t="s">
        <v>22</v>
      </c>
      <c r="L206">
        <v>1301806800</v>
      </c>
      <c r="M206" s="9">
        <f>(((Table1[[#This Row],[launched_at]]/60)/60)/24)+DATE(1970,1,1)</f>
        <v>40636.208333333336</v>
      </c>
      <c r="N206">
        <v>1302670800</v>
      </c>
      <c r="O206" s="9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LEFT(Table1[[#This Row],[category &amp; sub-category]],SEARCH("/",Table1[[#This Row],[category &amp; sub-category]],1)-1)</f>
        <v>music</v>
      </c>
      <c r="T206" t="str">
        <f>RIGHT(Table1[[#This Row],[category &amp; sub-category]],LEN(Table1[[#This Row],[category &amp; sub-category]])-SEARCH("/",Table1[[#This Row],[category &amp; sub-category]],1))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(Table1[[#This Row],[pledged]]/Table1[[#This Row],[goal]])*100</f>
        <v>431.84615384615387</v>
      </c>
      <c r="G207" t="s">
        <v>20</v>
      </c>
      <c r="H207">
        <v>80</v>
      </c>
      <c r="I207" s="4">
        <f>IFERROR(Table1[[#This Row],[pledged]]/Table1[[#This Row],[backers_count]],0)</f>
        <v>70.174999999999997</v>
      </c>
      <c r="J207" t="s">
        <v>21</v>
      </c>
      <c r="K207" t="s">
        <v>22</v>
      </c>
      <c r="L207">
        <v>1539752400</v>
      </c>
      <c r="M207" s="9">
        <f>(((Table1[[#This Row],[launched_at]]/60)/60)/24)+DATE(1970,1,1)</f>
        <v>43390.208333333328</v>
      </c>
      <c r="N207">
        <v>1540789200</v>
      </c>
      <c r="O207" s="9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LEFT(Table1[[#This Row],[category &amp; sub-category]],SEARCH("/",Table1[[#This Row],[category &amp; sub-category]],1)-1)</f>
        <v>theater</v>
      </c>
      <c r="T207" t="str">
        <f>RIGHT(Table1[[#This Row],[category &amp; sub-category]],LEN(Table1[[#This Row],[category &amp; sub-category]])-SEARCH("/",Table1[[#This Row],[category &amp; sub-category]],1))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(Table1[[#This Row],[pledged]]/Table1[[#This Row],[goal]])*100</f>
        <v>38.844444444444441</v>
      </c>
      <c r="G208" t="s">
        <v>74</v>
      </c>
      <c r="H208">
        <v>57</v>
      </c>
      <c r="I208" s="4">
        <f>IFERROR(Table1[[#This Row],[pledged]]/Table1[[#This Row],[backers_count]],0)</f>
        <v>61.333333333333336</v>
      </c>
      <c r="J208" t="s">
        <v>21</v>
      </c>
      <c r="K208" t="s">
        <v>22</v>
      </c>
      <c r="L208">
        <v>1267250400</v>
      </c>
      <c r="M208" s="9">
        <f>(((Table1[[#This Row],[launched_at]]/60)/60)/24)+DATE(1970,1,1)</f>
        <v>40236.25</v>
      </c>
      <c r="N208">
        <v>1268028000</v>
      </c>
      <c r="O208" s="9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LEFT(Table1[[#This Row],[category &amp; sub-category]],SEARCH("/",Table1[[#This Row],[category &amp; sub-category]],1)-1)</f>
        <v>publishing</v>
      </c>
      <c r="T208" t="str">
        <f>RIGHT(Table1[[#This Row],[category &amp; sub-category]],LEN(Table1[[#This Row],[category &amp; sub-category]])-SEARCH("/",Table1[[#This Row],[category &amp; sub-category]],1))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(Table1[[#This Row],[pledged]]/Table1[[#This Row],[goal]])*100</f>
        <v>425.7</v>
      </c>
      <c r="G209" t="s">
        <v>20</v>
      </c>
      <c r="H209">
        <v>43</v>
      </c>
      <c r="I209" s="4">
        <f>IFERROR(Table1[[#This Row],[pledged]]/Table1[[#This Row],[backers_count]],0)</f>
        <v>99</v>
      </c>
      <c r="J209" t="s">
        <v>21</v>
      </c>
      <c r="K209" t="s">
        <v>22</v>
      </c>
      <c r="L209">
        <v>1535432400</v>
      </c>
      <c r="M209" s="9">
        <f>(((Table1[[#This Row],[launched_at]]/60)/60)/24)+DATE(1970,1,1)</f>
        <v>43340.208333333328</v>
      </c>
      <c r="N209">
        <v>1537160400</v>
      </c>
      <c r="O209" s="9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LEFT(Table1[[#This Row],[category &amp; sub-category]],SEARCH("/",Table1[[#This Row],[category &amp; sub-category]],1)-1)</f>
        <v>music</v>
      </c>
      <c r="T209" t="str">
        <f>RIGHT(Table1[[#This Row],[category &amp; sub-category]],LEN(Table1[[#This Row],[category &amp; sub-category]])-SEARCH("/",Table1[[#This Row],[category &amp; sub-category]],1))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(Table1[[#This Row],[pledged]]/Table1[[#This Row],[goal]])*100</f>
        <v>101.12239715591672</v>
      </c>
      <c r="G210" t="s">
        <v>20</v>
      </c>
      <c r="H210">
        <v>2053</v>
      </c>
      <c r="I210" s="4">
        <f>IFERROR(Table1[[#This Row],[pledged]]/Table1[[#This Row],[backers_count]],0)</f>
        <v>96.984900146127615</v>
      </c>
      <c r="J210" t="s">
        <v>21</v>
      </c>
      <c r="K210" t="s">
        <v>22</v>
      </c>
      <c r="L210">
        <v>1510207200</v>
      </c>
      <c r="M210" s="9">
        <f>(((Table1[[#This Row],[launched_at]]/60)/60)/24)+DATE(1970,1,1)</f>
        <v>43048.25</v>
      </c>
      <c r="N210">
        <v>1512280800</v>
      </c>
      <c r="O210" s="9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LEFT(Table1[[#This Row],[category &amp; sub-category]],SEARCH("/",Table1[[#This Row],[category &amp; sub-category]],1)-1)</f>
        <v>film &amp; video</v>
      </c>
      <c r="T210" t="str">
        <f>RIGHT(Table1[[#This Row],[category &amp; sub-category]],LEN(Table1[[#This Row],[category &amp; sub-category]])-SEARCH("/",Table1[[#This Row],[category &amp; sub-category]],1))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(Table1[[#This Row],[pledged]]/Table1[[#This Row],[goal]])*100</f>
        <v>21.188688946015425</v>
      </c>
      <c r="G211" t="s">
        <v>47</v>
      </c>
      <c r="H211">
        <v>808</v>
      </c>
      <c r="I211" s="4">
        <f>IFERROR(Table1[[#This Row],[pledged]]/Table1[[#This Row],[backers_count]],0)</f>
        <v>51.004950495049506</v>
      </c>
      <c r="J211" t="s">
        <v>26</v>
      </c>
      <c r="K211" t="s">
        <v>27</v>
      </c>
      <c r="L211">
        <v>1462510800</v>
      </c>
      <c r="M211" s="9">
        <f>(((Table1[[#This Row],[launched_at]]/60)/60)/24)+DATE(1970,1,1)</f>
        <v>42496.208333333328</v>
      </c>
      <c r="N211">
        <v>1463115600</v>
      </c>
      <c r="O211" s="9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LEFT(Table1[[#This Row],[category &amp; sub-category]],SEARCH("/",Table1[[#This Row],[category &amp; sub-category]],1)-1)</f>
        <v>film &amp; video</v>
      </c>
      <c r="T211" t="str">
        <f>RIGHT(Table1[[#This Row],[category &amp; sub-category]],LEN(Table1[[#This Row],[category &amp; sub-category]])-SEARCH("/",Table1[[#This Row],[category &amp; sub-category]],1))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(Table1[[#This Row],[pledged]]/Table1[[#This Row],[goal]])*100</f>
        <v>67.425531914893625</v>
      </c>
      <c r="G212" t="s">
        <v>14</v>
      </c>
      <c r="H212">
        <v>226</v>
      </c>
      <c r="I212" s="4">
        <f>IFERROR(Table1[[#This Row],[pledged]]/Table1[[#This Row],[backers_count]],0)</f>
        <v>28.044247787610619</v>
      </c>
      <c r="J212" t="s">
        <v>36</v>
      </c>
      <c r="K212" t="s">
        <v>37</v>
      </c>
      <c r="L212">
        <v>1488520800</v>
      </c>
      <c r="M212" s="9">
        <f>(((Table1[[#This Row],[launched_at]]/60)/60)/24)+DATE(1970,1,1)</f>
        <v>42797.25</v>
      </c>
      <c r="N212">
        <v>1490850000</v>
      </c>
      <c r="O212" s="9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LEFT(Table1[[#This Row],[category &amp; sub-category]],SEARCH("/",Table1[[#This Row],[category &amp; sub-category]],1)-1)</f>
        <v>film &amp; video</v>
      </c>
      <c r="T212" t="str">
        <f>RIGHT(Table1[[#This Row],[category &amp; sub-category]],LEN(Table1[[#This Row],[category &amp; sub-category]])-SEARCH("/",Table1[[#This Row],[category &amp; sub-category]],1))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(Table1[[#This Row],[pledged]]/Table1[[#This Row],[goal]])*100</f>
        <v>94.923371647509583</v>
      </c>
      <c r="G213" t="s">
        <v>14</v>
      </c>
      <c r="H213">
        <v>1625</v>
      </c>
      <c r="I213" s="4">
        <f>IFERROR(Table1[[#This Row],[pledged]]/Table1[[#This Row],[backers_count]],0)</f>
        <v>60.984615384615381</v>
      </c>
      <c r="J213" t="s">
        <v>21</v>
      </c>
      <c r="K213" t="s">
        <v>22</v>
      </c>
      <c r="L213">
        <v>1377579600</v>
      </c>
      <c r="M213" s="9">
        <f>(((Table1[[#This Row],[launched_at]]/60)/60)/24)+DATE(1970,1,1)</f>
        <v>41513.208333333336</v>
      </c>
      <c r="N213">
        <v>1379653200</v>
      </c>
      <c r="O213" s="9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LEFT(Table1[[#This Row],[category &amp; sub-category]],SEARCH("/",Table1[[#This Row],[category &amp; sub-category]],1)-1)</f>
        <v>theater</v>
      </c>
      <c r="T213" t="str">
        <f>RIGHT(Table1[[#This Row],[category &amp; sub-category]],LEN(Table1[[#This Row],[category &amp; sub-category]])-SEARCH("/",Table1[[#This Row],[category &amp; sub-category]],1))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(Table1[[#This Row],[pledged]]/Table1[[#This Row],[goal]])*100</f>
        <v>151.85185185185185</v>
      </c>
      <c r="G214" t="s">
        <v>20</v>
      </c>
      <c r="H214">
        <v>168</v>
      </c>
      <c r="I214" s="4">
        <f>IFERROR(Table1[[#This Row],[pledged]]/Table1[[#This Row],[backers_count]],0)</f>
        <v>73.214285714285708</v>
      </c>
      <c r="J214" t="s">
        <v>21</v>
      </c>
      <c r="K214" t="s">
        <v>22</v>
      </c>
      <c r="L214">
        <v>1576389600</v>
      </c>
      <c r="M214" s="9">
        <f>(((Table1[[#This Row],[launched_at]]/60)/60)/24)+DATE(1970,1,1)</f>
        <v>43814.25</v>
      </c>
      <c r="N214">
        <v>1580364000</v>
      </c>
      <c r="O214" s="9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LEFT(Table1[[#This Row],[category &amp; sub-category]],SEARCH("/",Table1[[#This Row],[category &amp; sub-category]],1)-1)</f>
        <v>theater</v>
      </c>
      <c r="T214" t="str">
        <f>RIGHT(Table1[[#This Row],[category &amp; sub-category]],LEN(Table1[[#This Row],[category &amp; sub-category]])-SEARCH("/",Table1[[#This Row],[category &amp; sub-category]],1))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(Table1[[#This Row],[pledged]]/Table1[[#This Row],[goal]])*100</f>
        <v>195.16382252559728</v>
      </c>
      <c r="G215" t="s">
        <v>20</v>
      </c>
      <c r="H215">
        <v>4289</v>
      </c>
      <c r="I215" s="4">
        <f>IFERROR(Table1[[#This Row],[pledged]]/Table1[[#This Row],[backers_count]],0)</f>
        <v>39.997435299603637</v>
      </c>
      <c r="J215" t="s">
        <v>21</v>
      </c>
      <c r="K215" t="s">
        <v>22</v>
      </c>
      <c r="L215">
        <v>1289019600</v>
      </c>
      <c r="M215" s="9">
        <f>(((Table1[[#This Row],[launched_at]]/60)/60)/24)+DATE(1970,1,1)</f>
        <v>40488.208333333336</v>
      </c>
      <c r="N215">
        <v>1289714400</v>
      </c>
      <c r="O215" s="9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LEFT(Table1[[#This Row],[category &amp; sub-category]],SEARCH("/",Table1[[#This Row],[category &amp; sub-category]],1)-1)</f>
        <v>music</v>
      </c>
      <c r="T215" t="str">
        <f>RIGHT(Table1[[#This Row],[category &amp; sub-category]],LEN(Table1[[#This Row],[category &amp; sub-category]])-SEARCH("/",Table1[[#This Row],[category &amp; sub-category]],1))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(Table1[[#This Row],[pledged]]/Table1[[#This Row],[goal]])*100</f>
        <v>1023.1428571428571</v>
      </c>
      <c r="G216" t="s">
        <v>20</v>
      </c>
      <c r="H216">
        <v>165</v>
      </c>
      <c r="I216" s="4">
        <f>IFERROR(Table1[[#This Row],[pledged]]/Table1[[#This Row],[backers_count]],0)</f>
        <v>86.812121212121212</v>
      </c>
      <c r="J216" t="s">
        <v>21</v>
      </c>
      <c r="K216" t="s">
        <v>22</v>
      </c>
      <c r="L216">
        <v>1282194000</v>
      </c>
      <c r="M216" s="9">
        <f>(((Table1[[#This Row],[launched_at]]/60)/60)/24)+DATE(1970,1,1)</f>
        <v>40409.208333333336</v>
      </c>
      <c r="N216">
        <v>1282712400</v>
      </c>
      <c r="O216" s="9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LEFT(Table1[[#This Row],[category &amp; sub-category]],SEARCH("/",Table1[[#This Row],[category &amp; sub-category]],1)-1)</f>
        <v>music</v>
      </c>
      <c r="T216" t="str">
        <f>RIGHT(Table1[[#This Row],[category &amp; sub-category]],LEN(Table1[[#This Row],[category &amp; sub-category]])-SEARCH("/",Table1[[#This Row],[category &amp; sub-category]],1))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(Table1[[#This Row],[pledged]]/Table1[[#This Row],[goal]])*100</f>
        <v>3.841836734693878</v>
      </c>
      <c r="G217" t="s">
        <v>14</v>
      </c>
      <c r="H217">
        <v>143</v>
      </c>
      <c r="I217" s="4">
        <f>IFERROR(Table1[[#This Row],[pledged]]/Table1[[#This Row],[backers_count]],0)</f>
        <v>42.125874125874127</v>
      </c>
      <c r="J217" t="s">
        <v>21</v>
      </c>
      <c r="K217" t="s">
        <v>22</v>
      </c>
      <c r="L217">
        <v>1550037600</v>
      </c>
      <c r="M217" s="9">
        <f>(((Table1[[#This Row],[launched_at]]/60)/60)/24)+DATE(1970,1,1)</f>
        <v>43509.25</v>
      </c>
      <c r="N217">
        <v>1550210400</v>
      </c>
      <c r="O217" s="9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LEFT(Table1[[#This Row],[category &amp; sub-category]],SEARCH("/",Table1[[#This Row],[category &amp; sub-category]],1)-1)</f>
        <v>theater</v>
      </c>
      <c r="T217" t="str">
        <f>RIGHT(Table1[[#This Row],[category &amp; sub-category]],LEN(Table1[[#This Row],[category &amp; sub-category]])-SEARCH("/",Table1[[#This Row],[category &amp; sub-category]],1))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(Table1[[#This Row],[pledged]]/Table1[[#This Row],[goal]])*100</f>
        <v>155.07066557107643</v>
      </c>
      <c r="G218" t="s">
        <v>20</v>
      </c>
      <c r="H218">
        <v>1815</v>
      </c>
      <c r="I218" s="4">
        <f>IFERROR(Table1[[#This Row],[pledged]]/Table1[[#This Row],[backers_count]],0)</f>
        <v>103.97851239669421</v>
      </c>
      <c r="J218" t="s">
        <v>21</v>
      </c>
      <c r="K218" t="s">
        <v>22</v>
      </c>
      <c r="L218">
        <v>1321941600</v>
      </c>
      <c r="M218" s="9">
        <f>(((Table1[[#This Row],[launched_at]]/60)/60)/24)+DATE(1970,1,1)</f>
        <v>40869.25</v>
      </c>
      <c r="N218">
        <v>1322114400</v>
      </c>
      <c r="O218" s="9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LEFT(Table1[[#This Row],[category &amp; sub-category]],SEARCH("/",Table1[[#This Row],[category &amp; sub-category]],1)-1)</f>
        <v>theater</v>
      </c>
      <c r="T218" t="str">
        <f>RIGHT(Table1[[#This Row],[category &amp; sub-category]],LEN(Table1[[#This Row],[category &amp; sub-category]])-SEARCH("/",Table1[[#This Row],[category &amp; sub-category]],1))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(Table1[[#This Row],[pledged]]/Table1[[#This Row],[goal]])*100</f>
        <v>44.753477588871718</v>
      </c>
      <c r="G219" t="s">
        <v>14</v>
      </c>
      <c r="H219">
        <v>934</v>
      </c>
      <c r="I219" s="4">
        <f>IFERROR(Table1[[#This Row],[pledged]]/Table1[[#This Row],[backers_count]],0)</f>
        <v>62.003211991434689</v>
      </c>
      <c r="J219" t="s">
        <v>21</v>
      </c>
      <c r="K219" t="s">
        <v>22</v>
      </c>
      <c r="L219">
        <v>1556427600</v>
      </c>
      <c r="M219" s="9">
        <f>(((Table1[[#This Row],[launched_at]]/60)/60)/24)+DATE(1970,1,1)</f>
        <v>43583.208333333328</v>
      </c>
      <c r="N219">
        <v>1557205200</v>
      </c>
      <c r="O219" s="9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LEFT(Table1[[#This Row],[category &amp; sub-category]],SEARCH("/",Table1[[#This Row],[category &amp; sub-category]],1)-1)</f>
        <v>film &amp; video</v>
      </c>
      <c r="T219" t="str">
        <f>RIGHT(Table1[[#This Row],[category &amp; sub-category]],LEN(Table1[[#This Row],[category &amp; sub-category]])-SEARCH("/",Table1[[#This Row],[category &amp; sub-category]],1))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(Table1[[#This Row],[pledged]]/Table1[[#This Row],[goal]])*100</f>
        <v>215.94736842105263</v>
      </c>
      <c r="G220" t="s">
        <v>20</v>
      </c>
      <c r="H220">
        <v>397</v>
      </c>
      <c r="I220" s="4">
        <f>IFERROR(Table1[[#This Row],[pledged]]/Table1[[#This Row],[backers_count]],0)</f>
        <v>31.005037783375315</v>
      </c>
      <c r="J220" t="s">
        <v>40</v>
      </c>
      <c r="K220" t="s">
        <v>41</v>
      </c>
      <c r="L220">
        <v>1320991200</v>
      </c>
      <c r="M220" s="9">
        <f>(((Table1[[#This Row],[launched_at]]/60)/60)/24)+DATE(1970,1,1)</f>
        <v>40858.25</v>
      </c>
      <c r="N220">
        <v>1323928800</v>
      </c>
      <c r="O220" s="9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LEFT(Table1[[#This Row],[category &amp; sub-category]],SEARCH("/",Table1[[#This Row],[category &amp; sub-category]],1)-1)</f>
        <v>film &amp; video</v>
      </c>
      <c r="T220" t="str">
        <f>RIGHT(Table1[[#This Row],[category &amp; sub-category]],LEN(Table1[[#This Row],[category &amp; sub-category]])-SEARCH("/",Table1[[#This Row],[category &amp; sub-category]],1))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(Table1[[#This Row],[pledged]]/Table1[[#This Row],[goal]])*100</f>
        <v>332.12709832134288</v>
      </c>
      <c r="G221" t="s">
        <v>20</v>
      </c>
      <c r="H221">
        <v>1539</v>
      </c>
      <c r="I221" s="4">
        <f>IFERROR(Table1[[#This Row],[pledged]]/Table1[[#This Row],[backers_count]],0)</f>
        <v>89.991552956465242</v>
      </c>
      <c r="J221" t="s">
        <v>21</v>
      </c>
      <c r="K221" t="s">
        <v>22</v>
      </c>
      <c r="L221">
        <v>1345093200</v>
      </c>
      <c r="M221" s="9">
        <f>(((Table1[[#This Row],[launched_at]]/60)/60)/24)+DATE(1970,1,1)</f>
        <v>41137.208333333336</v>
      </c>
      <c r="N221">
        <v>1346130000</v>
      </c>
      <c r="O221" s="9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LEFT(Table1[[#This Row],[category &amp; sub-category]],SEARCH("/",Table1[[#This Row],[category &amp; sub-category]],1)-1)</f>
        <v>film &amp; video</v>
      </c>
      <c r="T221" t="str">
        <f>RIGHT(Table1[[#This Row],[category &amp; sub-category]],LEN(Table1[[#This Row],[category &amp; sub-category]])-SEARCH("/",Table1[[#This Row],[category &amp; sub-category]],1))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(Table1[[#This Row],[pledged]]/Table1[[#This Row],[goal]])*100</f>
        <v>8.4430379746835449</v>
      </c>
      <c r="G222" t="s">
        <v>14</v>
      </c>
      <c r="H222">
        <v>17</v>
      </c>
      <c r="I222" s="4">
        <f>IFERROR(Table1[[#This Row],[pledged]]/Table1[[#This Row],[backers_count]],0)</f>
        <v>39.235294117647058</v>
      </c>
      <c r="J222" t="s">
        <v>21</v>
      </c>
      <c r="K222" t="s">
        <v>22</v>
      </c>
      <c r="L222">
        <v>1309496400</v>
      </c>
      <c r="M222" s="9">
        <f>(((Table1[[#This Row],[launched_at]]/60)/60)/24)+DATE(1970,1,1)</f>
        <v>40725.208333333336</v>
      </c>
      <c r="N222">
        <v>1311051600</v>
      </c>
      <c r="O222" s="9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LEFT(Table1[[#This Row],[category &amp; sub-category]],SEARCH("/",Table1[[#This Row],[category &amp; sub-category]],1)-1)</f>
        <v>theater</v>
      </c>
      <c r="T222" t="str">
        <f>RIGHT(Table1[[#This Row],[category &amp; sub-category]],LEN(Table1[[#This Row],[category &amp; sub-category]])-SEARCH("/",Table1[[#This Row],[category &amp; sub-category]],1))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(Table1[[#This Row],[pledged]]/Table1[[#This Row],[goal]])*100</f>
        <v>98.625514403292186</v>
      </c>
      <c r="G223" t="s">
        <v>14</v>
      </c>
      <c r="H223">
        <v>2179</v>
      </c>
      <c r="I223" s="4">
        <f>IFERROR(Table1[[#This Row],[pledged]]/Table1[[#This Row],[backers_count]],0)</f>
        <v>54.993116108306566</v>
      </c>
      <c r="J223" t="s">
        <v>21</v>
      </c>
      <c r="K223" t="s">
        <v>22</v>
      </c>
      <c r="L223">
        <v>1340254800</v>
      </c>
      <c r="M223" s="9">
        <f>(((Table1[[#This Row],[launched_at]]/60)/60)/24)+DATE(1970,1,1)</f>
        <v>41081.208333333336</v>
      </c>
      <c r="N223">
        <v>1340427600</v>
      </c>
      <c r="O223" s="9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LEFT(Table1[[#This Row],[category &amp; sub-category]],SEARCH("/",Table1[[#This Row],[category &amp; sub-category]],1)-1)</f>
        <v>food</v>
      </c>
      <c r="T223" t="str">
        <f>RIGHT(Table1[[#This Row],[category &amp; sub-category]],LEN(Table1[[#This Row],[category &amp; sub-category]])-SEARCH("/",Table1[[#This Row],[category &amp; sub-category]],1))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(Table1[[#This Row],[pledged]]/Table1[[#This Row],[goal]])*100</f>
        <v>137.97916666666669</v>
      </c>
      <c r="G224" t="s">
        <v>20</v>
      </c>
      <c r="H224">
        <v>138</v>
      </c>
      <c r="I224" s="4">
        <f>IFERROR(Table1[[#This Row],[pledged]]/Table1[[#This Row],[backers_count]],0)</f>
        <v>47.992753623188406</v>
      </c>
      <c r="J224" t="s">
        <v>21</v>
      </c>
      <c r="K224" t="s">
        <v>22</v>
      </c>
      <c r="L224">
        <v>1412226000</v>
      </c>
      <c r="M224" s="9">
        <f>(((Table1[[#This Row],[launched_at]]/60)/60)/24)+DATE(1970,1,1)</f>
        <v>41914.208333333336</v>
      </c>
      <c r="N224">
        <v>1412312400</v>
      </c>
      <c r="O224" s="9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LEFT(Table1[[#This Row],[category &amp; sub-category]],SEARCH("/",Table1[[#This Row],[category &amp; sub-category]],1)-1)</f>
        <v>photography</v>
      </c>
      <c r="T224" t="str">
        <f>RIGHT(Table1[[#This Row],[category &amp; sub-category]],LEN(Table1[[#This Row],[category &amp; sub-category]])-SEARCH("/",Table1[[#This Row],[category &amp; sub-category]],1))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(Table1[[#This Row],[pledged]]/Table1[[#This Row],[goal]])*100</f>
        <v>93.81099656357388</v>
      </c>
      <c r="G225" t="s">
        <v>14</v>
      </c>
      <c r="H225">
        <v>931</v>
      </c>
      <c r="I225" s="4">
        <f>IFERROR(Table1[[#This Row],[pledged]]/Table1[[#This Row],[backers_count]],0)</f>
        <v>87.966702470461868</v>
      </c>
      <c r="J225" t="s">
        <v>21</v>
      </c>
      <c r="K225" t="s">
        <v>22</v>
      </c>
      <c r="L225">
        <v>1458104400</v>
      </c>
      <c r="M225" s="9">
        <f>(((Table1[[#This Row],[launched_at]]/60)/60)/24)+DATE(1970,1,1)</f>
        <v>42445.208333333328</v>
      </c>
      <c r="N225">
        <v>1459314000</v>
      </c>
      <c r="O225" s="9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LEFT(Table1[[#This Row],[category &amp; sub-category]],SEARCH("/",Table1[[#This Row],[category &amp; sub-category]],1)-1)</f>
        <v>theater</v>
      </c>
      <c r="T225" t="str">
        <f>RIGHT(Table1[[#This Row],[category &amp; sub-category]],LEN(Table1[[#This Row],[category &amp; sub-category]])-SEARCH("/",Table1[[#This Row],[category &amp; sub-category]],1))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(Table1[[#This Row],[pledged]]/Table1[[#This Row],[goal]])*100</f>
        <v>403.63930885529157</v>
      </c>
      <c r="G226" t="s">
        <v>20</v>
      </c>
      <c r="H226">
        <v>3594</v>
      </c>
      <c r="I226" s="4">
        <f>IFERROR(Table1[[#This Row],[pledged]]/Table1[[#This Row],[backers_count]],0)</f>
        <v>51.999165275459099</v>
      </c>
      <c r="J226" t="s">
        <v>21</v>
      </c>
      <c r="K226" t="s">
        <v>22</v>
      </c>
      <c r="L226">
        <v>1411534800</v>
      </c>
      <c r="M226" s="9">
        <f>(((Table1[[#This Row],[launched_at]]/60)/60)/24)+DATE(1970,1,1)</f>
        <v>41906.208333333336</v>
      </c>
      <c r="N226">
        <v>1415426400</v>
      </c>
      <c r="O226" s="9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LEFT(Table1[[#This Row],[category &amp; sub-category]],SEARCH("/",Table1[[#This Row],[category &amp; sub-category]],1)-1)</f>
        <v>film &amp; video</v>
      </c>
      <c r="T226" t="str">
        <f>RIGHT(Table1[[#This Row],[category &amp; sub-category]],LEN(Table1[[#This Row],[category &amp; sub-category]])-SEARCH("/",Table1[[#This Row],[category &amp; sub-category]],1))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(Table1[[#This Row],[pledged]]/Table1[[#This Row],[goal]])*100</f>
        <v>260.1740412979351</v>
      </c>
      <c r="G227" t="s">
        <v>20</v>
      </c>
      <c r="H227">
        <v>5880</v>
      </c>
      <c r="I227" s="4">
        <f>IFERROR(Table1[[#This Row],[pledged]]/Table1[[#This Row],[backers_count]],0)</f>
        <v>29.999659863945578</v>
      </c>
      <c r="J227" t="s">
        <v>21</v>
      </c>
      <c r="K227" t="s">
        <v>22</v>
      </c>
      <c r="L227">
        <v>1399093200</v>
      </c>
      <c r="M227" s="9">
        <f>(((Table1[[#This Row],[launched_at]]/60)/60)/24)+DATE(1970,1,1)</f>
        <v>41762.208333333336</v>
      </c>
      <c r="N227">
        <v>1399093200</v>
      </c>
      <c r="O227" s="9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LEFT(Table1[[#This Row],[category &amp; sub-category]],SEARCH("/",Table1[[#This Row],[category &amp; sub-category]],1)-1)</f>
        <v>music</v>
      </c>
      <c r="T227" t="str">
        <f>RIGHT(Table1[[#This Row],[category &amp; sub-category]],LEN(Table1[[#This Row],[category &amp; sub-category]])-SEARCH("/",Table1[[#This Row],[category &amp; sub-category]],1))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(Table1[[#This Row],[pledged]]/Table1[[#This Row],[goal]])*100</f>
        <v>366.63333333333333</v>
      </c>
      <c r="G228" t="s">
        <v>20</v>
      </c>
      <c r="H228">
        <v>112</v>
      </c>
      <c r="I228" s="4">
        <f>IFERROR(Table1[[#This Row],[pledged]]/Table1[[#This Row],[backers_count]],0)</f>
        <v>98.205357142857139</v>
      </c>
      <c r="J228" t="s">
        <v>21</v>
      </c>
      <c r="K228" t="s">
        <v>22</v>
      </c>
      <c r="L228">
        <v>1270702800</v>
      </c>
      <c r="M228" s="9">
        <f>(((Table1[[#This Row],[launched_at]]/60)/60)/24)+DATE(1970,1,1)</f>
        <v>40276.208333333336</v>
      </c>
      <c r="N228">
        <v>1273899600</v>
      </c>
      <c r="O228" s="9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LEFT(Table1[[#This Row],[category &amp; sub-category]],SEARCH("/",Table1[[#This Row],[category &amp; sub-category]],1)-1)</f>
        <v>photography</v>
      </c>
      <c r="T228" t="str">
        <f>RIGHT(Table1[[#This Row],[category &amp; sub-category]],LEN(Table1[[#This Row],[category &amp; sub-category]])-SEARCH("/",Table1[[#This Row],[category &amp; sub-category]],1))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(Table1[[#This Row],[pledged]]/Table1[[#This Row],[goal]])*100</f>
        <v>168.72085385878489</v>
      </c>
      <c r="G229" t="s">
        <v>20</v>
      </c>
      <c r="H229">
        <v>943</v>
      </c>
      <c r="I229" s="4">
        <f>IFERROR(Table1[[#This Row],[pledged]]/Table1[[#This Row],[backers_count]],0)</f>
        <v>108.96182396606575</v>
      </c>
      <c r="J229" t="s">
        <v>21</v>
      </c>
      <c r="K229" t="s">
        <v>22</v>
      </c>
      <c r="L229">
        <v>1431666000</v>
      </c>
      <c r="M229" s="9">
        <f>(((Table1[[#This Row],[launched_at]]/60)/60)/24)+DATE(1970,1,1)</f>
        <v>42139.208333333328</v>
      </c>
      <c r="N229">
        <v>1432184400</v>
      </c>
      <c r="O229" s="9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LEFT(Table1[[#This Row],[category &amp; sub-category]],SEARCH("/",Table1[[#This Row],[category &amp; sub-category]],1)-1)</f>
        <v>games</v>
      </c>
      <c r="T229" t="str">
        <f>RIGHT(Table1[[#This Row],[category &amp; sub-category]],LEN(Table1[[#This Row],[category &amp; sub-category]])-SEARCH("/",Table1[[#This Row],[category &amp; sub-category]],1))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(Table1[[#This Row],[pledged]]/Table1[[#This Row],[goal]])*100</f>
        <v>119.90717911530093</v>
      </c>
      <c r="G230" t="s">
        <v>20</v>
      </c>
      <c r="H230">
        <v>2468</v>
      </c>
      <c r="I230" s="4">
        <f>IFERROR(Table1[[#This Row],[pledged]]/Table1[[#This Row],[backers_count]],0)</f>
        <v>66.998379254457049</v>
      </c>
      <c r="J230" t="s">
        <v>21</v>
      </c>
      <c r="K230" t="s">
        <v>22</v>
      </c>
      <c r="L230">
        <v>1472619600</v>
      </c>
      <c r="M230" s="9">
        <f>(((Table1[[#This Row],[launched_at]]/60)/60)/24)+DATE(1970,1,1)</f>
        <v>42613.208333333328</v>
      </c>
      <c r="N230">
        <v>1474779600</v>
      </c>
      <c r="O230" s="9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LEFT(Table1[[#This Row],[category &amp; sub-category]],SEARCH("/",Table1[[#This Row],[category &amp; sub-category]],1)-1)</f>
        <v>film &amp; video</v>
      </c>
      <c r="T230" t="str">
        <f>RIGHT(Table1[[#This Row],[category &amp; sub-category]],LEN(Table1[[#This Row],[category &amp; sub-category]])-SEARCH("/",Table1[[#This Row],[category &amp; sub-category]],1))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(Table1[[#This Row],[pledged]]/Table1[[#This Row],[goal]])*100</f>
        <v>193.68925233644859</v>
      </c>
      <c r="G231" t="s">
        <v>20</v>
      </c>
      <c r="H231">
        <v>2551</v>
      </c>
      <c r="I231" s="4">
        <f>IFERROR(Table1[[#This Row],[pledged]]/Table1[[#This Row],[backers_count]],0)</f>
        <v>64.99333594668758</v>
      </c>
      <c r="J231" t="s">
        <v>21</v>
      </c>
      <c r="K231" t="s">
        <v>22</v>
      </c>
      <c r="L231">
        <v>1496293200</v>
      </c>
      <c r="M231" s="9">
        <f>(((Table1[[#This Row],[launched_at]]/60)/60)/24)+DATE(1970,1,1)</f>
        <v>42887.208333333328</v>
      </c>
      <c r="N231">
        <v>1500440400</v>
      </c>
      <c r="O231" s="9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LEFT(Table1[[#This Row],[category &amp; sub-category]],SEARCH("/",Table1[[#This Row],[category &amp; sub-category]],1)-1)</f>
        <v>games</v>
      </c>
      <c r="T231" t="str">
        <f>RIGHT(Table1[[#This Row],[category &amp; sub-category]],LEN(Table1[[#This Row],[category &amp; sub-category]])-SEARCH("/",Table1[[#This Row],[category &amp; sub-category]],1))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(Table1[[#This Row],[pledged]]/Table1[[#This Row],[goal]])*100</f>
        <v>420.16666666666669</v>
      </c>
      <c r="G232" t="s">
        <v>20</v>
      </c>
      <c r="H232">
        <v>101</v>
      </c>
      <c r="I232" s="4">
        <f>IFERROR(Table1[[#This Row],[pledged]]/Table1[[#This Row],[backers_count]],0)</f>
        <v>99.841584158415841</v>
      </c>
      <c r="J232" t="s">
        <v>21</v>
      </c>
      <c r="K232" t="s">
        <v>22</v>
      </c>
      <c r="L232">
        <v>1575612000</v>
      </c>
      <c r="M232" s="9">
        <f>(((Table1[[#This Row],[launched_at]]/60)/60)/24)+DATE(1970,1,1)</f>
        <v>43805.25</v>
      </c>
      <c r="N232">
        <v>1575612000</v>
      </c>
      <c r="O232" s="9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LEFT(Table1[[#This Row],[category &amp; sub-category]],SEARCH("/",Table1[[#This Row],[category &amp; sub-category]],1)-1)</f>
        <v>games</v>
      </c>
      <c r="T232" t="str">
        <f>RIGHT(Table1[[#This Row],[category &amp; sub-category]],LEN(Table1[[#This Row],[category &amp; sub-category]])-SEARCH("/",Table1[[#This Row],[category &amp; sub-category]],1))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(Table1[[#This Row],[pledged]]/Table1[[#This Row],[goal]])*100</f>
        <v>76.708333333333329</v>
      </c>
      <c r="G233" t="s">
        <v>74</v>
      </c>
      <c r="H233">
        <v>67</v>
      </c>
      <c r="I233" s="4">
        <f>IFERROR(Table1[[#This Row],[pledged]]/Table1[[#This Row],[backers_count]],0)</f>
        <v>82.432835820895519</v>
      </c>
      <c r="J233" t="s">
        <v>21</v>
      </c>
      <c r="K233" t="s">
        <v>22</v>
      </c>
      <c r="L233">
        <v>1369112400</v>
      </c>
      <c r="M233" s="9">
        <f>(((Table1[[#This Row],[launched_at]]/60)/60)/24)+DATE(1970,1,1)</f>
        <v>41415.208333333336</v>
      </c>
      <c r="N233">
        <v>1374123600</v>
      </c>
      <c r="O233" s="9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LEFT(Table1[[#This Row],[category &amp; sub-category]],SEARCH("/",Table1[[#This Row],[category &amp; sub-category]],1)-1)</f>
        <v>theater</v>
      </c>
      <c r="T233" t="str">
        <f>RIGHT(Table1[[#This Row],[category &amp; sub-category]],LEN(Table1[[#This Row],[category &amp; sub-category]])-SEARCH("/",Table1[[#This Row],[category &amp; sub-category]],1))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(Table1[[#This Row],[pledged]]/Table1[[#This Row],[goal]])*100</f>
        <v>171.26470588235293</v>
      </c>
      <c r="G234" t="s">
        <v>20</v>
      </c>
      <c r="H234">
        <v>92</v>
      </c>
      <c r="I234" s="4">
        <f>IFERROR(Table1[[#This Row],[pledged]]/Table1[[#This Row],[backers_count]],0)</f>
        <v>63.293478260869563</v>
      </c>
      <c r="J234" t="s">
        <v>21</v>
      </c>
      <c r="K234" t="s">
        <v>22</v>
      </c>
      <c r="L234">
        <v>1469422800</v>
      </c>
      <c r="M234" s="9">
        <f>(((Table1[[#This Row],[launched_at]]/60)/60)/24)+DATE(1970,1,1)</f>
        <v>42576.208333333328</v>
      </c>
      <c r="N234">
        <v>1469509200</v>
      </c>
      <c r="O234" s="9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LEFT(Table1[[#This Row],[category &amp; sub-category]],SEARCH("/",Table1[[#This Row],[category &amp; sub-category]],1)-1)</f>
        <v>theater</v>
      </c>
      <c r="T234" t="str">
        <f>RIGHT(Table1[[#This Row],[category &amp; sub-category]],LEN(Table1[[#This Row],[category &amp; sub-category]])-SEARCH("/",Table1[[#This Row],[category &amp; sub-category]],1))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(Table1[[#This Row],[pledged]]/Table1[[#This Row],[goal]])*100</f>
        <v>157.89473684210526</v>
      </c>
      <c r="G235" t="s">
        <v>20</v>
      </c>
      <c r="H235">
        <v>62</v>
      </c>
      <c r="I235" s="4">
        <f>IFERROR(Table1[[#This Row],[pledged]]/Table1[[#This Row],[backers_count]],0)</f>
        <v>96.774193548387103</v>
      </c>
      <c r="J235" t="s">
        <v>21</v>
      </c>
      <c r="K235" t="s">
        <v>22</v>
      </c>
      <c r="L235">
        <v>1307854800</v>
      </c>
      <c r="M235" s="9">
        <f>(((Table1[[#This Row],[launched_at]]/60)/60)/24)+DATE(1970,1,1)</f>
        <v>40706.208333333336</v>
      </c>
      <c r="N235">
        <v>1309237200</v>
      </c>
      <c r="O235" s="9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LEFT(Table1[[#This Row],[category &amp; sub-category]],SEARCH("/",Table1[[#This Row],[category &amp; sub-category]],1)-1)</f>
        <v>film &amp; video</v>
      </c>
      <c r="T235" t="str">
        <f>RIGHT(Table1[[#This Row],[category &amp; sub-category]],LEN(Table1[[#This Row],[category &amp; sub-category]])-SEARCH("/",Table1[[#This Row],[category &amp; sub-category]],1))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(Table1[[#This Row],[pledged]]/Table1[[#This Row],[goal]])*100</f>
        <v>109.08</v>
      </c>
      <c r="G236" t="s">
        <v>20</v>
      </c>
      <c r="H236">
        <v>149</v>
      </c>
      <c r="I236" s="4">
        <f>IFERROR(Table1[[#This Row],[pledged]]/Table1[[#This Row],[backers_count]],0)</f>
        <v>54.906040268456373</v>
      </c>
      <c r="J236" t="s">
        <v>107</v>
      </c>
      <c r="K236" t="s">
        <v>108</v>
      </c>
      <c r="L236">
        <v>1503378000</v>
      </c>
      <c r="M236" s="9">
        <f>(((Table1[[#This Row],[launched_at]]/60)/60)/24)+DATE(1970,1,1)</f>
        <v>42969.208333333328</v>
      </c>
      <c r="N236">
        <v>1503982800</v>
      </c>
      <c r="O236" s="9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LEFT(Table1[[#This Row],[category &amp; sub-category]],SEARCH("/",Table1[[#This Row],[category &amp; sub-category]],1)-1)</f>
        <v>games</v>
      </c>
      <c r="T236" t="str">
        <f>RIGHT(Table1[[#This Row],[category &amp; sub-category]],LEN(Table1[[#This Row],[category &amp; sub-category]])-SEARCH("/",Table1[[#This Row],[category &amp; sub-category]],1))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(Table1[[#This Row],[pledged]]/Table1[[#This Row],[goal]])*100</f>
        <v>41.732558139534881</v>
      </c>
      <c r="G237" t="s">
        <v>14</v>
      </c>
      <c r="H237">
        <v>92</v>
      </c>
      <c r="I237" s="4">
        <f>IFERROR(Table1[[#This Row],[pledged]]/Table1[[#This Row],[backers_count]],0)</f>
        <v>39.010869565217391</v>
      </c>
      <c r="J237" t="s">
        <v>21</v>
      </c>
      <c r="K237" t="s">
        <v>22</v>
      </c>
      <c r="L237">
        <v>1486965600</v>
      </c>
      <c r="M237" s="9">
        <f>(((Table1[[#This Row],[launched_at]]/60)/60)/24)+DATE(1970,1,1)</f>
        <v>42779.25</v>
      </c>
      <c r="N237">
        <v>1487397600</v>
      </c>
      <c r="O237" s="9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LEFT(Table1[[#This Row],[category &amp; sub-category]],SEARCH("/",Table1[[#This Row],[category &amp; sub-category]],1)-1)</f>
        <v>film &amp; video</v>
      </c>
      <c r="T237" t="str">
        <f>RIGHT(Table1[[#This Row],[category &amp; sub-category]],LEN(Table1[[#This Row],[category &amp; sub-category]])-SEARCH("/",Table1[[#This Row],[category &amp; sub-category]],1))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(Table1[[#This Row],[pledged]]/Table1[[#This Row],[goal]])*100</f>
        <v>10.944303797468354</v>
      </c>
      <c r="G238" t="s">
        <v>14</v>
      </c>
      <c r="H238">
        <v>57</v>
      </c>
      <c r="I238" s="4">
        <f>IFERROR(Table1[[#This Row],[pledged]]/Table1[[#This Row],[backers_count]],0)</f>
        <v>75.84210526315789</v>
      </c>
      <c r="J238" t="s">
        <v>26</v>
      </c>
      <c r="K238" t="s">
        <v>27</v>
      </c>
      <c r="L238">
        <v>1561438800</v>
      </c>
      <c r="M238" s="9">
        <f>(((Table1[[#This Row],[launched_at]]/60)/60)/24)+DATE(1970,1,1)</f>
        <v>43641.208333333328</v>
      </c>
      <c r="N238">
        <v>1562043600</v>
      </c>
      <c r="O238" s="9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LEFT(Table1[[#This Row],[category &amp; sub-category]],SEARCH("/",Table1[[#This Row],[category &amp; sub-category]],1)-1)</f>
        <v>music</v>
      </c>
      <c r="T238" t="str">
        <f>RIGHT(Table1[[#This Row],[category &amp; sub-category]],LEN(Table1[[#This Row],[category &amp; sub-category]])-SEARCH("/",Table1[[#This Row],[category &amp; sub-category]],1))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(Table1[[#This Row],[pledged]]/Table1[[#This Row],[goal]])*100</f>
        <v>159.3763440860215</v>
      </c>
      <c r="G239" t="s">
        <v>20</v>
      </c>
      <c r="H239">
        <v>329</v>
      </c>
      <c r="I239" s="4">
        <f>IFERROR(Table1[[#This Row],[pledged]]/Table1[[#This Row],[backers_count]],0)</f>
        <v>45.051671732522799</v>
      </c>
      <c r="J239" t="s">
        <v>21</v>
      </c>
      <c r="K239" t="s">
        <v>22</v>
      </c>
      <c r="L239">
        <v>1398402000</v>
      </c>
      <c r="M239" s="9">
        <f>(((Table1[[#This Row],[launched_at]]/60)/60)/24)+DATE(1970,1,1)</f>
        <v>41754.208333333336</v>
      </c>
      <c r="N239">
        <v>1398574800</v>
      </c>
      <c r="O239" s="9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LEFT(Table1[[#This Row],[category &amp; sub-category]],SEARCH("/",Table1[[#This Row],[category &amp; sub-category]],1)-1)</f>
        <v>film &amp; video</v>
      </c>
      <c r="T239" t="str">
        <f>RIGHT(Table1[[#This Row],[category &amp; sub-category]],LEN(Table1[[#This Row],[category &amp; sub-category]])-SEARCH("/",Table1[[#This Row],[category &amp; sub-category]],1))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(Table1[[#This Row],[pledged]]/Table1[[#This Row],[goal]])*100</f>
        <v>422.41666666666669</v>
      </c>
      <c r="G240" t="s">
        <v>20</v>
      </c>
      <c r="H240">
        <v>97</v>
      </c>
      <c r="I240" s="4">
        <f>IFERROR(Table1[[#This Row],[pledged]]/Table1[[#This Row],[backers_count]],0)</f>
        <v>104.51546391752578</v>
      </c>
      <c r="J240" t="s">
        <v>36</v>
      </c>
      <c r="K240" t="s">
        <v>37</v>
      </c>
      <c r="L240">
        <v>1513231200</v>
      </c>
      <c r="M240" s="9">
        <f>(((Table1[[#This Row],[launched_at]]/60)/60)/24)+DATE(1970,1,1)</f>
        <v>43083.25</v>
      </c>
      <c r="N240">
        <v>1515391200</v>
      </c>
      <c r="O240" s="9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LEFT(Table1[[#This Row],[category &amp; sub-category]],SEARCH("/",Table1[[#This Row],[category &amp; sub-category]],1)-1)</f>
        <v>theater</v>
      </c>
      <c r="T240" t="str">
        <f>RIGHT(Table1[[#This Row],[category &amp; sub-category]],LEN(Table1[[#This Row],[category &amp; sub-category]])-SEARCH("/",Table1[[#This Row],[category &amp; sub-category]],1))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(Table1[[#This Row],[pledged]]/Table1[[#This Row],[goal]])*100</f>
        <v>97.71875</v>
      </c>
      <c r="G241" t="s">
        <v>14</v>
      </c>
      <c r="H241">
        <v>41</v>
      </c>
      <c r="I241" s="4">
        <f>IFERROR(Table1[[#This Row],[pledged]]/Table1[[#This Row],[backers_count]],0)</f>
        <v>76.268292682926827</v>
      </c>
      <c r="J241" t="s">
        <v>21</v>
      </c>
      <c r="K241" t="s">
        <v>22</v>
      </c>
      <c r="L241">
        <v>1440824400</v>
      </c>
      <c r="M241" s="9">
        <f>(((Table1[[#This Row],[launched_at]]/60)/60)/24)+DATE(1970,1,1)</f>
        <v>42245.208333333328</v>
      </c>
      <c r="N241">
        <v>1441170000</v>
      </c>
      <c r="O241" s="9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LEFT(Table1[[#This Row],[category &amp; sub-category]],SEARCH("/",Table1[[#This Row],[category &amp; sub-category]],1)-1)</f>
        <v>technology</v>
      </c>
      <c r="T241" t="str">
        <f>RIGHT(Table1[[#This Row],[category &amp; sub-category]],LEN(Table1[[#This Row],[category &amp; sub-category]])-SEARCH("/",Table1[[#This Row],[category &amp; sub-category]],1))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(Table1[[#This Row],[pledged]]/Table1[[#This Row],[goal]])*100</f>
        <v>418.78911564625849</v>
      </c>
      <c r="G242" t="s">
        <v>20</v>
      </c>
      <c r="H242">
        <v>1784</v>
      </c>
      <c r="I242" s="4">
        <f>IFERROR(Table1[[#This Row],[pledged]]/Table1[[#This Row],[backers_count]],0)</f>
        <v>69.015695067264573</v>
      </c>
      <c r="J242" t="s">
        <v>21</v>
      </c>
      <c r="K242" t="s">
        <v>22</v>
      </c>
      <c r="L242">
        <v>1281070800</v>
      </c>
      <c r="M242" s="9">
        <f>(((Table1[[#This Row],[launched_at]]/60)/60)/24)+DATE(1970,1,1)</f>
        <v>40396.208333333336</v>
      </c>
      <c r="N242">
        <v>1281157200</v>
      </c>
      <c r="O242" s="9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LEFT(Table1[[#This Row],[category &amp; sub-category]],SEARCH("/",Table1[[#This Row],[category &amp; sub-category]],1)-1)</f>
        <v>theater</v>
      </c>
      <c r="T242" t="str">
        <f>RIGHT(Table1[[#This Row],[category &amp; sub-category]],LEN(Table1[[#This Row],[category &amp; sub-category]])-SEARCH("/",Table1[[#This Row],[category &amp; sub-category]],1))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(Table1[[#This Row],[pledged]]/Table1[[#This Row],[goal]])*100</f>
        <v>101.91632047477745</v>
      </c>
      <c r="G243" t="s">
        <v>20</v>
      </c>
      <c r="H243">
        <v>1684</v>
      </c>
      <c r="I243" s="4">
        <f>IFERROR(Table1[[#This Row],[pledged]]/Table1[[#This Row],[backers_count]],0)</f>
        <v>101.97684085510689</v>
      </c>
      <c r="J243" t="s">
        <v>26</v>
      </c>
      <c r="K243" t="s">
        <v>27</v>
      </c>
      <c r="L243">
        <v>1397365200</v>
      </c>
      <c r="M243" s="9">
        <f>(((Table1[[#This Row],[launched_at]]/60)/60)/24)+DATE(1970,1,1)</f>
        <v>41742.208333333336</v>
      </c>
      <c r="N243">
        <v>1398229200</v>
      </c>
      <c r="O243" s="9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LEFT(Table1[[#This Row],[category &amp; sub-category]],SEARCH("/",Table1[[#This Row],[category &amp; sub-category]],1)-1)</f>
        <v>publishing</v>
      </c>
      <c r="T243" t="str">
        <f>RIGHT(Table1[[#This Row],[category &amp; sub-category]],LEN(Table1[[#This Row],[category &amp; sub-category]])-SEARCH("/",Table1[[#This Row],[category &amp; sub-category]],1))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(Table1[[#This Row],[pledged]]/Table1[[#This Row],[goal]])*100</f>
        <v>127.72619047619047</v>
      </c>
      <c r="G244" t="s">
        <v>20</v>
      </c>
      <c r="H244">
        <v>250</v>
      </c>
      <c r="I244" s="4">
        <f>IFERROR(Table1[[#This Row],[pledged]]/Table1[[#This Row],[backers_count]],0)</f>
        <v>42.915999999999997</v>
      </c>
      <c r="J244" t="s">
        <v>21</v>
      </c>
      <c r="K244" t="s">
        <v>22</v>
      </c>
      <c r="L244">
        <v>1494392400</v>
      </c>
      <c r="M244" s="9">
        <f>(((Table1[[#This Row],[launched_at]]/60)/60)/24)+DATE(1970,1,1)</f>
        <v>42865.208333333328</v>
      </c>
      <c r="N244">
        <v>1495256400</v>
      </c>
      <c r="O244" s="9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LEFT(Table1[[#This Row],[category &amp; sub-category]],SEARCH("/",Table1[[#This Row],[category &amp; sub-category]],1)-1)</f>
        <v>music</v>
      </c>
      <c r="T244" t="str">
        <f>RIGHT(Table1[[#This Row],[category &amp; sub-category]],LEN(Table1[[#This Row],[category &amp; sub-category]])-SEARCH("/",Table1[[#This Row],[category &amp; sub-category]],1))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(Table1[[#This Row],[pledged]]/Table1[[#This Row],[goal]])*100</f>
        <v>445.21739130434781</v>
      </c>
      <c r="G245" t="s">
        <v>20</v>
      </c>
      <c r="H245">
        <v>238</v>
      </c>
      <c r="I245" s="4">
        <f>IFERROR(Table1[[#This Row],[pledged]]/Table1[[#This Row],[backers_count]],0)</f>
        <v>43.025210084033617</v>
      </c>
      <c r="J245" t="s">
        <v>21</v>
      </c>
      <c r="K245" t="s">
        <v>22</v>
      </c>
      <c r="L245">
        <v>1520143200</v>
      </c>
      <c r="M245" s="9">
        <f>(((Table1[[#This Row],[launched_at]]/60)/60)/24)+DATE(1970,1,1)</f>
        <v>43163.25</v>
      </c>
      <c r="N245">
        <v>1520402400</v>
      </c>
      <c r="O245" s="9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LEFT(Table1[[#This Row],[category &amp; sub-category]],SEARCH("/",Table1[[#This Row],[category &amp; sub-category]],1)-1)</f>
        <v>theater</v>
      </c>
      <c r="T245" t="str">
        <f>RIGHT(Table1[[#This Row],[category &amp; sub-category]],LEN(Table1[[#This Row],[category &amp; sub-category]])-SEARCH("/",Table1[[#This Row],[category &amp; sub-category]],1))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(Table1[[#This Row],[pledged]]/Table1[[#This Row],[goal]])*100</f>
        <v>569.71428571428578</v>
      </c>
      <c r="G246" t="s">
        <v>20</v>
      </c>
      <c r="H246">
        <v>53</v>
      </c>
      <c r="I246" s="4">
        <f>IFERROR(Table1[[#This Row],[pledged]]/Table1[[#This Row],[backers_count]],0)</f>
        <v>75.245283018867923</v>
      </c>
      <c r="J246" t="s">
        <v>21</v>
      </c>
      <c r="K246" t="s">
        <v>22</v>
      </c>
      <c r="L246">
        <v>1405314000</v>
      </c>
      <c r="M246" s="9">
        <f>(((Table1[[#This Row],[launched_at]]/60)/60)/24)+DATE(1970,1,1)</f>
        <v>41834.208333333336</v>
      </c>
      <c r="N246">
        <v>1409806800</v>
      </c>
      <c r="O246" s="9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LEFT(Table1[[#This Row],[category &amp; sub-category]],SEARCH("/",Table1[[#This Row],[category &amp; sub-category]],1)-1)</f>
        <v>theater</v>
      </c>
      <c r="T246" t="str">
        <f>RIGHT(Table1[[#This Row],[category &amp; sub-category]],LEN(Table1[[#This Row],[category &amp; sub-category]])-SEARCH("/",Table1[[#This Row],[category &amp; sub-category]],1))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(Table1[[#This Row],[pledged]]/Table1[[#This Row],[goal]])*100</f>
        <v>509.34482758620686</v>
      </c>
      <c r="G247" t="s">
        <v>20</v>
      </c>
      <c r="H247">
        <v>214</v>
      </c>
      <c r="I247" s="4">
        <f>IFERROR(Table1[[#This Row],[pledged]]/Table1[[#This Row],[backers_count]],0)</f>
        <v>69.023364485981304</v>
      </c>
      <c r="J247" t="s">
        <v>21</v>
      </c>
      <c r="K247" t="s">
        <v>22</v>
      </c>
      <c r="L247">
        <v>1396846800</v>
      </c>
      <c r="M247" s="9">
        <f>(((Table1[[#This Row],[launched_at]]/60)/60)/24)+DATE(1970,1,1)</f>
        <v>41736.208333333336</v>
      </c>
      <c r="N247">
        <v>1396933200</v>
      </c>
      <c r="O247" s="9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LEFT(Table1[[#This Row],[category &amp; sub-category]],SEARCH("/",Table1[[#This Row],[category &amp; sub-category]],1)-1)</f>
        <v>theater</v>
      </c>
      <c r="T247" t="str">
        <f>RIGHT(Table1[[#This Row],[category &amp; sub-category]],LEN(Table1[[#This Row],[category &amp; sub-category]])-SEARCH("/",Table1[[#This Row],[category &amp; sub-category]],1))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(Table1[[#This Row],[pledged]]/Table1[[#This Row],[goal]])*100</f>
        <v>325.5333333333333</v>
      </c>
      <c r="G248" t="s">
        <v>20</v>
      </c>
      <c r="H248">
        <v>222</v>
      </c>
      <c r="I248" s="4">
        <f>IFERROR(Table1[[#This Row],[pledged]]/Table1[[#This Row],[backers_count]],0)</f>
        <v>65.986486486486484</v>
      </c>
      <c r="J248" t="s">
        <v>21</v>
      </c>
      <c r="K248" t="s">
        <v>22</v>
      </c>
      <c r="L248">
        <v>1375678800</v>
      </c>
      <c r="M248" s="9">
        <f>(((Table1[[#This Row],[launched_at]]/60)/60)/24)+DATE(1970,1,1)</f>
        <v>41491.208333333336</v>
      </c>
      <c r="N248">
        <v>1376024400</v>
      </c>
      <c r="O248" s="9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LEFT(Table1[[#This Row],[category &amp; sub-category]],SEARCH("/",Table1[[#This Row],[category &amp; sub-category]],1)-1)</f>
        <v>technology</v>
      </c>
      <c r="T248" t="str">
        <f>RIGHT(Table1[[#This Row],[category &amp; sub-category]],LEN(Table1[[#This Row],[category &amp; sub-category]])-SEARCH("/",Table1[[#This Row],[category &amp; sub-category]],1))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(Table1[[#This Row],[pledged]]/Table1[[#This Row],[goal]])*100</f>
        <v>932.61616161616166</v>
      </c>
      <c r="G249" t="s">
        <v>20</v>
      </c>
      <c r="H249">
        <v>1884</v>
      </c>
      <c r="I249" s="4">
        <f>IFERROR(Table1[[#This Row],[pledged]]/Table1[[#This Row],[backers_count]],0)</f>
        <v>98.013800424628457</v>
      </c>
      <c r="J249" t="s">
        <v>21</v>
      </c>
      <c r="K249" t="s">
        <v>22</v>
      </c>
      <c r="L249">
        <v>1482386400</v>
      </c>
      <c r="M249" s="9">
        <f>(((Table1[[#This Row],[launched_at]]/60)/60)/24)+DATE(1970,1,1)</f>
        <v>42726.25</v>
      </c>
      <c r="N249">
        <v>1483682400</v>
      </c>
      <c r="O249" s="9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LEFT(Table1[[#This Row],[category &amp; sub-category]],SEARCH("/",Table1[[#This Row],[category &amp; sub-category]],1)-1)</f>
        <v>publishing</v>
      </c>
      <c r="T249" t="str">
        <f>RIGHT(Table1[[#This Row],[category &amp; sub-category]],LEN(Table1[[#This Row],[category &amp; sub-category]])-SEARCH("/",Table1[[#This Row],[category &amp; sub-category]],1))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(Table1[[#This Row],[pledged]]/Table1[[#This Row],[goal]])*100</f>
        <v>211.33870967741933</v>
      </c>
      <c r="G250" t="s">
        <v>20</v>
      </c>
      <c r="H250">
        <v>218</v>
      </c>
      <c r="I250" s="4">
        <f>IFERROR(Table1[[#This Row],[pledged]]/Table1[[#This Row],[backers_count]],0)</f>
        <v>60.105504587155963</v>
      </c>
      <c r="J250" t="s">
        <v>26</v>
      </c>
      <c r="K250" t="s">
        <v>27</v>
      </c>
      <c r="L250">
        <v>1420005600</v>
      </c>
      <c r="M250" s="9">
        <f>(((Table1[[#This Row],[launched_at]]/60)/60)/24)+DATE(1970,1,1)</f>
        <v>42004.25</v>
      </c>
      <c r="N250">
        <v>1420437600</v>
      </c>
      <c r="O250" s="9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LEFT(Table1[[#This Row],[category &amp; sub-category]],SEARCH("/",Table1[[#This Row],[category &amp; sub-category]],1)-1)</f>
        <v>games</v>
      </c>
      <c r="T250" t="str">
        <f>RIGHT(Table1[[#This Row],[category &amp; sub-category]],LEN(Table1[[#This Row],[category &amp; sub-category]])-SEARCH("/",Table1[[#This Row],[category &amp; sub-category]],1))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(Table1[[#This Row],[pledged]]/Table1[[#This Row],[goal]])*100</f>
        <v>273.32520325203251</v>
      </c>
      <c r="G251" t="s">
        <v>20</v>
      </c>
      <c r="H251">
        <v>6465</v>
      </c>
      <c r="I251" s="4">
        <f>IFERROR(Table1[[#This Row],[pledged]]/Table1[[#This Row],[backers_count]],0)</f>
        <v>26.000773395204948</v>
      </c>
      <c r="J251" t="s">
        <v>21</v>
      </c>
      <c r="K251" t="s">
        <v>22</v>
      </c>
      <c r="L251">
        <v>1420178400</v>
      </c>
      <c r="M251" s="9">
        <f>(((Table1[[#This Row],[launched_at]]/60)/60)/24)+DATE(1970,1,1)</f>
        <v>42006.25</v>
      </c>
      <c r="N251">
        <v>1420783200</v>
      </c>
      <c r="O251" s="9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LEFT(Table1[[#This Row],[category &amp; sub-category]],SEARCH("/",Table1[[#This Row],[category &amp; sub-category]],1)-1)</f>
        <v>publishing</v>
      </c>
      <c r="T251" t="str">
        <f>RIGHT(Table1[[#This Row],[category &amp; sub-category]],LEN(Table1[[#This Row],[category &amp; sub-category]])-SEARCH("/",Table1[[#This Row],[category &amp; sub-category]],1))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(Table1[[#This Row],[pledged]]/Table1[[#This Row],[goal]])*100</f>
        <v>3</v>
      </c>
      <c r="G252" t="s">
        <v>14</v>
      </c>
      <c r="H252">
        <v>1</v>
      </c>
      <c r="I252" s="4">
        <f>IFERROR(Table1[[#This Row],[pledged]]/Table1[[#This Row],[backers_count]],0)</f>
        <v>3</v>
      </c>
      <c r="J252" t="s">
        <v>21</v>
      </c>
      <c r="K252" t="s">
        <v>22</v>
      </c>
      <c r="L252">
        <v>1264399200</v>
      </c>
      <c r="M252" s="9">
        <f>(((Table1[[#This Row],[launched_at]]/60)/60)/24)+DATE(1970,1,1)</f>
        <v>40203.25</v>
      </c>
      <c r="N252">
        <v>1267423200</v>
      </c>
      <c r="O252" s="9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LEFT(Table1[[#This Row],[category &amp; sub-category]],SEARCH("/",Table1[[#This Row],[category &amp; sub-category]],1)-1)</f>
        <v>music</v>
      </c>
      <c r="T252" t="str">
        <f>RIGHT(Table1[[#This Row],[category &amp; sub-category]],LEN(Table1[[#This Row],[category &amp; sub-category]])-SEARCH("/",Table1[[#This Row],[category &amp; sub-category]],1))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(Table1[[#This Row],[pledged]]/Table1[[#This Row],[goal]])*100</f>
        <v>54.084507042253513</v>
      </c>
      <c r="G253" t="s">
        <v>14</v>
      </c>
      <c r="H253">
        <v>101</v>
      </c>
      <c r="I253" s="4">
        <f>IFERROR(Table1[[#This Row],[pledged]]/Table1[[#This Row],[backers_count]],0)</f>
        <v>38.019801980198018</v>
      </c>
      <c r="J253" t="s">
        <v>21</v>
      </c>
      <c r="K253" t="s">
        <v>22</v>
      </c>
      <c r="L253">
        <v>1355032800</v>
      </c>
      <c r="M253" s="9">
        <f>(((Table1[[#This Row],[launched_at]]/60)/60)/24)+DATE(1970,1,1)</f>
        <v>41252.25</v>
      </c>
      <c r="N253">
        <v>1355205600</v>
      </c>
      <c r="O253" s="9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LEFT(Table1[[#This Row],[category &amp; sub-category]],SEARCH("/",Table1[[#This Row],[category &amp; sub-category]],1)-1)</f>
        <v>theater</v>
      </c>
      <c r="T253" t="str">
        <f>RIGHT(Table1[[#This Row],[category &amp; sub-category]],LEN(Table1[[#This Row],[category &amp; sub-category]])-SEARCH("/",Table1[[#This Row],[category &amp; sub-category]],1))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(Table1[[#This Row],[pledged]]/Table1[[#This Row],[goal]])*100</f>
        <v>626.29999999999995</v>
      </c>
      <c r="G254" t="s">
        <v>20</v>
      </c>
      <c r="H254">
        <v>59</v>
      </c>
      <c r="I254" s="4">
        <f>IFERROR(Table1[[#This Row],[pledged]]/Table1[[#This Row],[backers_count]],0)</f>
        <v>106.15254237288136</v>
      </c>
      <c r="J254" t="s">
        <v>21</v>
      </c>
      <c r="K254" t="s">
        <v>22</v>
      </c>
      <c r="L254">
        <v>1382677200</v>
      </c>
      <c r="M254" s="9">
        <f>(((Table1[[#This Row],[launched_at]]/60)/60)/24)+DATE(1970,1,1)</f>
        <v>41572.208333333336</v>
      </c>
      <c r="N254">
        <v>1383109200</v>
      </c>
      <c r="O254" s="9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LEFT(Table1[[#This Row],[category &amp; sub-category]],SEARCH("/",Table1[[#This Row],[category &amp; sub-category]],1)-1)</f>
        <v>theater</v>
      </c>
      <c r="T254" t="str">
        <f>RIGHT(Table1[[#This Row],[category &amp; sub-category]],LEN(Table1[[#This Row],[category &amp; sub-category]])-SEARCH("/",Table1[[#This Row],[category &amp; sub-category]],1))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(Table1[[#This Row],[pledged]]/Table1[[#This Row],[goal]])*100</f>
        <v>89.021399176954731</v>
      </c>
      <c r="G255" t="s">
        <v>14</v>
      </c>
      <c r="H255">
        <v>1335</v>
      </c>
      <c r="I255" s="4">
        <f>IFERROR(Table1[[#This Row],[pledged]]/Table1[[#This Row],[backers_count]],0)</f>
        <v>81.019475655430711</v>
      </c>
      <c r="J255" t="s">
        <v>15</v>
      </c>
      <c r="K255" t="s">
        <v>16</v>
      </c>
      <c r="L255">
        <v>1302238800</v>
      </c>
      <c r="M255" s="9">
        <f>(((Table1[[#This Row],[launched_at]]/60)/60)/24)+DATE(1970,1,1)</f>
        <v>40641.208333333336</v>
      </c>
      <c r="N255">
        <v>1303275600</v>
      </c>
      <c r="O255" s="9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LEFT(Table1[[#This Row],[category &amp; sub-category]],SEARCH("/",Table1[[#This Row],[category &amp; sub-category]],1)-1)</f>
        <v>film &amp; video</v>
      </c>
      <c r="T255" t="str">
        <f>RIGHT(Table1[[#This Row],[category &amp; sub-category]],LEN(Table1[[#This Row],[category &amp; sub-category]])-SEARCH("/",Table1[[#This Row],[category &amp; sub-category]],1))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(Table1[[#This Row],[pledged]]/Table1[[#This Row],[goal]])*100</f>
        <v>184.89130434782609</v>
      </c>
      <c r="G256" t="s">
        <v>20</v>
      </c>
      <c r="H256">
        <v>88</v>
      </c>
      <c r="I256" s="4">
        <f>IFERROR(Table1[[#This Row],[pledged]]/Table1[[#This Row],[backers_count]],0)</f>
        <v>96.647727272727266</v>
      </c>
      <c r="J256" t="s">
        <v>21</v>
      </c>
      <c r="K256" t="s">
        <v>22</v>
      </c>
      <c r="L256">
        <v>1487656800</v>
      </c>
      <c r="M256" s="9">
        <f>(((Table1[[#This Row],[launched_at]]/60)/60)/24)+DATE(1970,1,1)</f>
        <v>42787.25</v>
      </c>
      <c r="N256">
        <v>1487829600</v>
      </c>
      <c r="O256" s="9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LEFT(Table1[[#This Row],[category &amp; sub-category]],SEARCH("/",Table1[[#This Row],[category &amp; sub-category]],1)-1)</f>
        <v>publishing</v>
      </c>
      <c r="T256" t="str">
        <f>RIGHT(Table1[[#This Row],[category &amp; sub-category]],LEN(Table1[[#This Row],[category &amp; sub-category]])-SEARCH("/",Table1[[#This Row],[category &amp; sub-category]],1))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(Table1[[#This Row],[pledged]]/Table1[[#This Row],[goal]])*100</f>
        <v>120.16770186335404</v>
      </c>
      <c r="G257" t="s">
        <v>20</v>
      </c>
      <c r="H257">
        <v>1697</v>
      </c>
      <c r="I257" s="4">
        <f>IFERROR(Table1[[#This Row],[pledged]]/Table1[[#This Row],[backers_count]],0)</f>
        <v>57.003535651149086</v>
      </c>
      <c r="J257" t="s">
        <v>21</v>
      </c>
      <c r="K257" t="s">
        <v>22</v>
      </c>
      <c r="L257">
        <v>1297836000</v>
      </c>
      <c r="M257" s="9">
        <f>(((Table1[[#This Row],[launched_at]]/60)/60)/24)+DATE(1970,1,1)</f>
        <v>40590.25</v>
      </c>
      <c r="N257">
        <v>1298268000</v>
      </c>
      <c r="O257" s="9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LEFT(Table1[[#This Row],[category &amp; sub-category]],SEARCH("/",Table1[[#This Row],[category &amp; sub-category]],1)-1)</f>
        <v>music</v>
      </c>
      <c r="T257" t="str">
        <f>RIGHT(Table1[[#This Row],[category &amp; sub-category]],LEN(Table1[[#This Row],[category &amp; sub-category]])-SEARCH("/",Table1[[#This Row],[category &amp; sub-category]],1))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(Table1[[#This Row],[pledged]]/Table1[[#This Row],[goal]])*100</f>
        <v>23.390243902439025</v>
      </c>
      <c r="G258" t="s">
        <v>14</v>
      </c>
      <c r="H258">
        <v>15</v>
      </c>
      <c r="I258" s="4">
        <f>IFERROR(Table1[[#This Row],[pledged]]/Table1[[#This Row],[backers_count]],0)</f>
        <v>63.93333333333333</v>
      </c>
      <c r="J258" t="s">
        <v>40</v>
      </c>
      <c r="K258" t="s">
        <v>41</v>
      </c>
      <c r="L258">
        <v>1453615200</v>
      </c>
      <c r="M258" s="9">
        <f>(((Table1[[#This Row],[launched_at]]/60)/60)/24)+DATE(1970,1,1)</f>
        <v>42393.25</v>
      </c>
      <c r="N258">
        <v>1456812000</v>
      </c>
      <c r="O258" s="9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LEFT(Table1[[#This Row],[category &amp; sub-category]],SEARCH("/",Table1[[#This Row],[category &amp; sub-category]],1)-1)</f>
        <v>music</v>
      </c>
      <c r="T258" t="str">
        <f>RIGHT(Table1[[#This Row],[category &amp; sub-category]],LEN(Table1[[#This Row],[category &amp; sub-category]])-SEARCH("/",Table1[[#This Row],[category &amp; sub-category]],1))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(Table1[[#This Row],[pledged]]/Table1[[#This Row],[goal]])*100</f>
        <v>146</v>
      </c>
      <c r="G259" t="s">
        <v>20</v>
      </c>
      <c r="H259">
        <v>92</v>
      </c>
      <c r="I259" s="4">
        <f>IFERROR(Table1[[#This Row],[pledged]]/Table1[[#This Row],[backers_count]],0)</f>
        <v>90.456521739130437</v>
      </c>
      <c r="J259" t="s">
        <v>21</v>
      </c>
      <c r="K259" t="s">
        <v>22</v>
      </c>
      <c r="L259">
        <v>1362463200</v>
      </c>
      <c r="M259" s="9">
        <f>(((Table1[[#This Row],[launched_at]]/60)/60)/24)+DATE(1970,1,1)</f>
        <v>41338.25</v>
      </c>
      <c r="N259">
        <v>1363669200</v>
      </c>
      <c r="O259" s="9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LEFT(Table1[[#This Row],[category &amp; sub-category]],SEARCH("/",Table1[[#This Row],[category &amp; sub-category]],1)-1)</f>
        <v>theater</v>
      </c>
      <c r="T259" t="str">
        <f>RIGHT(Table1[[#This Row],[category &amp; sub-category]],LEN(Table1[[#This Row],[category &amp; sub-category]])-SEARCH("/",Table1[[#This Row],[category &amp; sub-category]],1))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(Table1[[#This Row],[pledged]]/Table1[[#This Row],[goal]])*100</f>
        <v>268.48</v>
      </c>
      <c r="G260" t="s">
        <v>20</v>
      </c>
      <c r="H260">
        <v>186</v>
      </c>
      <c r="I260" s="4">
        <f>IFERROR(Table1[[#This Row],[pledged]]/Table1[[#This Row],[backers_count]],0)</f>
        <v>72.172043010752688</v>
      </c>
      <c r="J260" t="s">
        <v>21</v>
      </c>
      <c r="K260" t="s">
        <v>22</v>
      </c>
      <c r="L260">
        <v>1481176800</v>
      </c>
      <c r="M260" s="9">
        <f>(((Table1[[#This Row],[launched_at]]/60)/60)/24)+DATE(1970,1,1)</f>
        <v>42712.25</v>
      </c>
      <c r="N260">
        <v>1482904800</v>
      </c>
      <c r="O260" s="9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LEFT(Table1[[#This Row],[category &amp; sub-category]],SEARCH("/",Table1[[#This Row],[category &amp; sub-category]],1)-1)</f>
        <v>theater</v>
      </c>
      <c r="T260" t="str">
        <f>RIGHT(Table1[[#This Row],[category &amp; sub-category]],LEN(Table1[[#This Row],[category &amp; sub-category]])-SEARCH("/",Table1[[#This Row],[category &amp; sub-category]],1))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(Table1[[#This Row],[pledged]]/Table1[[#This Row],[goal]])*100</f>
        <v>597.5</v>
      </c>
      <c r="G261" t="s">
        <v>20</v>
      </c>
      <c r="H261">
        <v>138</v>
      </c>
      <c r="I261" s="4">
        <f>IFERROR(Table1[[#This Row],[pledged]]/Table1[[#This Row],[backers_count]],0)</f>
        <v>77.934782608695656</v>
      </c>
      <c r="J261" t="s">
        <v>21</v>
      </c>
      <c r="K261" t="s">
        <v>22</v>
      </c>
      <c r="L261">
        <v>1354946400</v>
      </c>
      <c r="M261" s="9">
        <f>(((Table1[[#This Row],[launched_at]]/60)/60)/24)+DATE(1970,1,1)</f>
        <v>41251.25</v>
      </c>
      <c r="N261">
        <v>1356588000</v>
      </c>
      <c r="O261" s="9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LEFT(Table1[[#This Row],[category &amp; sub-category]],SEARCH("/",Table1[[#This Row],[category &amp; sub-category]],1)-1)</f>
        <v>photography</v>
      </c>
      <c r="T261" t="str">
        <f>RIGHT(Table1[[#This Row],[category &amp; sub-category]],LEN(Table1[[#This Row],[category &amp; sub-category]])-SEARCH("/",Table1[[#This Row],[category &amp; sub-category]],1))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(Table1[[#This Row],[pledged]]/Table1[[#This Row],[goal]])*100</f>
        <v>157.69841269841268</v>
      </c>
      <c r="G262" t="s">
        <v>20</v>
      </c>
      <c r="H262">
        <v>261</v>
      </c>
      <c r="I262" s="4">
        <f>IFERROR(Table1[[#This Row],[pledged]]/Table1[[#This Row],[backers_count]],0)</f>
        <v>38.065134099616856</v>
      </c>
      <c r="J262" t="s">
        <v>21</v>
      </c>
      <c r="K262" t="s">
        <v>22</v>
      </c>
      <c r="L262">
        <v>1348808400</v>
      </c>
      <c r="M262" s="9">
        <f>(((Table1[[#This Row],[launched_at]]/60)/60)/24)+DATE(1970,1,1)</f>
        <v>41180.208333333336</v>
      </c>
      <c r="N262">
        <v>1349845200</v>
      </c>
      <c r="O262" s="9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LEFT(Table1[[#This Row],[category &amp; sub-category]],SEARCH("/",Table1[[#This Row],[category &amp; sub-category]],1)-1)</f>
        <v>music</v>
      </c>
      <c r="T262" t="str">
        <f>RIGHT(Table1[[#This Row],[category &amp; sub-category]],LEN(Table1[[#This Row],[category &amp; sub-category]])-SEARCH("/",Table1[[#This Row],[category &amp; sub-category]],1))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(Table1[[#This Row],[pledged]]/Table1[[#This Row],[goal]])*100</f>
        <v>31.201660735468568</v>
      </c>
      <c r="G263" t="s">
        <v>14</v>
      </c>
      <c r="H263">
        <v>454</v>
      </c>
      <c r="I263" s="4">
        <f>IFERROR(Table1[[#This Row],[pledged]]/Table1[[#This Row],[backers_count]],0)</f>
        <v>57.936123348017624</v>
      </c>
      <c r="J263" t="s">
        <v>21</v>
      </c>
      <c r="K263" t="s">
        <v>22</v>
      </c>
      <c r="L263">
        <v>1282712400</v>
      </c>
      <c r="M263" s="9">
        <f>(((Table1[[#This Row],[launched_at]]/60)/60)/24)+DATE(1970,1,1)</f>
        <v>40415.208333333336</v>
      </c>
      <c r="N263">
        <v>1283058000</v>
      </c>
      <c r="O263" s="9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LEFT(Table1[[#This Row],[category &amp; sub-category]],SEARCH("/",Table1[[#This Row],[category &amp; sub-category]],1)-1)</f>
        <v>music</v>
      </c>
      <c r="T263" t="str">
        <f>RIGHT(Table1[[#This Row],[category &amp; sub-category]],LEN(Table1[[#This Row],[category &amp; sub-category]])-SEARCH("/",Table1[[#This Row],[category &amp; sub-category]],1))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(Table1[[#This Row],[pledged]]/Table1[[#This Row],[goal]])*100</f>
        <v>313.41176470588238</v>
      </c>
      <c r="G264" t="s">
        <v>20</v>
      </c>
      <c r="H264">
        <v>107</v>
      </c>
      <c r="I264" s="4">
        <f>IFERROR(Table1[[#This Row],[pledged]]/Table1[[#This Row],[backers_count]],0)</f>
        <v>49.794392523364486</v>
      </c>
      <c r="J264" t="s">
        <v>21</v>
      </c>
      <c r="K264" t="s">
        <v>22</v>
      </c>
      <c r="L264">
        <v>1301979600</v>
      </c>
      <c r="M264" s="9">
        <f>(((Table1[[#This Row],[launched_at]]/60)/60)/24)+DATE(1970,1,1)</f>
        <v>40638.208333333336</v>
      </c>
      <c r="N264">
        <v>1304226000</v>
      </c>
      <c r="O264" s="9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LEFT(Table1[[#This Row],[category &amp; sub-category]],SEARCH("/",Table1[[#This Row],[category &amp; sub-category]],1)-1)</f>
        <v>music</v>
      </c>
      <c r="T264" t="str">
        <f>RIGHT(Table1[[#This Row],[category &amp; sub-category]],LEN(Table1[[#This Row],[category &amp; sub-category]])-SEARCH("/",Table1[[#This Row],[category &amp; sub-category]],1))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(Table1[[#This Row],[pledged]]/Table1[[#This Row],[goal]])*100</f>
        <v>370.89655172413791</v>
      </c>
      <c r="G265" t="s">
        <v>20</v>
      </c>
      <c r="H265">
        <v>199</v>
      </c>
      <c r="I265" s="4">
        <f>IFERROR(Table1[[#This Row],[pledged]]/Table1[[#This Row],[backers_count]],0)</f>
        <v>54.050251256281406</v>
      </c>
      <c r="J265" t="s">
        <v>21</v>
      </c>
      <c r="K265" t="s">
        <v>22</v>
      </c>
      <c r="L265">
        <v>1263016800</v>
      </c>
      <c r="M265" s="9">
        <f>(((Table1[[#This Row],[launched_at]]/60)/60)/24)+DATE(1970,1,1)</f>
        <v>40187.25</v>
      </c>
      <c r="N265">
        <v>1263016800</v>
      </c>
      <c r="O265" s="9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LEFT(Table1[[#This Row],[category &amp; sub-category]],SEARCH("/",Table1[[#This Row],[category &amp; sub-category]],1)-1)</f>
        <v>photography</v>
      </c>
      <c r="T265" t="str">
        <f>RIGHT(Table1[[#This Row],[category &amp; sub-category]],LEN(Table1[[#This Row],[category &amp; sub-category]])-SEARCH("/",Table1[[#This Row],[category &amp; sub-category]],1))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(Table1[[#This Row],[pledged]]/Table1[[#This Row],[goal]])*100</f>
        <v>362.66447368421052</v>
      </c>
      <c r="G266" t="s">
        <v>20</v>
      </c>
      <c r="H266">
        <v>5512</v>
      </c>
      <c r="I266" s="4">
        <f>IFERROR(Table1[[#This Row],[pledged]]/Table1[[#This Row],[backers_count]],0)</f>
        <v>30.002721335268504</v>
      </c>
      <c r="J266" t="s">
        <v>21</v>
      </c>
      <c r="K266" t="s">
        <v>22</v>
      </c>
      <c r="L266">
        <v>1360648800</v>
      </c>
      <c r="M266" s="9">
        <f>(((Table1[[#This Row],[launched_at]]/60)/60)/24)+DATE(1970,1,1)</f>
        <v>41317.25</v>
      </c>
      <c r="N266">
        <v>1362031200</v>
      </c>
      <c r="O266" s="9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LEFT(Table1[[#This Row],[category &amp; sub-category]],SEARCH("/",Table1[[#This Row],[category &amp; sub-category]],1)-1)</f>
        <v>theater</v>
      </c>
      <c r="T266" t="str">
        <f>RIGHT(Table1[[#This Row],[category &amp; sub-category]],LEN(Table1[[#This Row],[category &amp; sub-category]])-SEARCH("/",Table1[[#This Row],[category &amp; sub-category]],1))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(Table1[[#This Row],[pledged]]/Table1[[#This Row],[goal]])*100</f>
        <v>123.08163265306122</v>
      </c>
      <c r="G267" t="s">
        <v>20</v>
      </c>
      <c r="H267">
        <v>86</v>
      </c>
      <c r="I267" s="4">
        <f>IFERROR(Table1[[#This Row],[pledged]]/Table1[[#This Row],[backers_count]],0)</f>
        <v>70.127906976744185</v>
      </c>
      <c r="J267" t="s">
        <v>21</v>
      </c>
      <c r="K267" t="s">
        <v>22</v>
      </c>
      <c r="L267">
        <v>1451800800</v>
      </c>
      <c r="M267" s="9">
        <f>(((Table1[[#This Row],[launched_at]]/60)/60)/24)+DATE(1970,1,1)</f>
        <v>42372.25</v>
      </c>
      <c r="N267">
        <v>1455602400</v>
      </c>
      <c r="O267" s="9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LEFT(Table1[[#This Row],[category &amp; sub-category]],SEARCH("/",Table1[[#This Row],[category &amp; sub-category]],1)-1)</f>
        <v>theater</v>
      </c>
      <c r="T267" t="str">
        <f>RIGHT(Table1[[#This Row],[category &amp; sub-category]],LEN(Table1[[#This Row],[category &amp; sub-category]])-SEARCH("/",Table1[[#This Row],[category &amp; sub-category]],1))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(Table1[[#This Row],[pledged]]/Table1[[#This Row],[goal]])*100</f>
        <v>76.766756032171585</v>
      </c>
      <c r="G268" t="s">
        <v>14</v>
      </c>
      <c r="H268">
        <v>3182</v>
      </c>
      <c r="I268" s="4">
        <f>IFERROR(Table1[[#This Row],[pledged]]/Table1[[#This Row],[backers_count]],0)</f>
        <v>26.996228786926462</v>
      </c>
      <c r="J268" t="s">
        <v>107</v>
      </c>
      <c r="K268" t="s">
        <v>108</v>
      </c>
      <c r="L268">
        <v>1415340000</v>
      </c>
      <c r="M268" s="9">
        <f>(((Table1[[#This Row],[launched_at]]/60)/60)/24)+DATE(1970,1,1)</f>
        <v>41950.25</v>
      </c>
      <c r="N268">
        <v>1418191200</v>
      </c>
      <c r="O268" s="9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LEFT(Table1[[#This Row],[category &amp; sub-category]],SEARCH("/",Table1[[#This Row],[category &amp; sub-category]],1)-1)</f>
        <v>music</v>
      </c>
      <c r="T268" t="str">
        <f>RIGHT(Table1[[#This Row],[category &amp; sub-category]],LEN(Table1[[#This Row],[category &amp; sub-category]])-SEARCH("/",Table1[[#This Row],[category &amp; sub-category]],1))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(Table1[[#This Row],[pledged]]/Table1[[#This Row],[goal]])*100</f>
        <v>233.62012987012989</v>
      </c>
      <c r="G269" t="s">
        <v>20</v>
      </c>
      <c r="H269">
        <v>2768</v>
      </c>
      <c r="I269" s="4">
        <f>IFERROR(Table1[[#This Row],[pledged]]/Table1[[#This Row],[backers_count]],0)</f>
        <v>51.990606936416185</v>
      </c>
      <c r="J269" t="s">
        <v>26</v>
      </c>
      <c r="K269" t="s">
        <v>27</v>
      </c>
      <c r="L269">
        <v>1351054800</v>
      </c>
      <c r="M269" s="9">
        <f>(((Table1[[#This Row],[launched_at]]/60)/60)/24)+DATE(1970,1,1)</f>
        <v>41206.208333333336</v>
      </c>
      <c r="N269">
        <v>1352440800</v>
      </c>
      <c r="O269" s="9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LEFT(Table1[[#This Row],[category &amp; sub-category]],SEARCH("/",Table1[[#This Row],[category &amp; sub-category]],1)-1)</f>
        <v>theater</v>
      </c>
      <c r="T269" t="str">
        <f>RIGHT(Table1[[#This Row],[category &amp; sub-category]],LEN(Table1[[#This Row],[category &amp; sub-category]])-SEARCH("/",Table1[[#This Row],[category &amp; sub-category]],1))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(Table1[[#This Row],[pledged]]/Table1[[#This Row],[goal]])*100</f>
        <v>180.53333333333333</v>
      </c>
      <c r="G270" t="s">
        <v>20</v>
      </c>
      <c r="H270">
        <v>48</v>
      </c>
      <c r="I270" s="4">
        <f>IFERROR(Table1[[#This Row],[pledged]]/Table1[[#This Row],[backers_count]],0)</f>
        <v>56.416666666666664</v>
      </c>
      <c r="J270" t="s">
        <v>21</v>
      </c>
      <c r="K270" t="s">
        <v>22</v>
      </c>
      <c r="L270">
        <v>1349326800</v>
      </c>
      <c r="M270" s="9">
        <f>(((Table1[[#This Row],[launched_at]]/60)/60)/24)+DATE(1970,1,1)</f>
        <v>41186.208333333336</v>
      </c>
      <c r="N270">
        <v>1353304800</v>
      </c>
      <c r="O270" s="9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LEFT(Table1[[#This Row],[category &amp; sub-category]],SEARCH("/",Table1[[#This Row],[category &amp; sub-category]],1)-1)</f>
        <v>film &amp; video</v>
      </c>
      <c r="T270" t="str">
        <f>RIGHT(Table1[[#This Row],[category &amp; sub-category]],LEN(Table1[[#This Row],[category &amp; sub-category]])-SEARCH("/",Table1[[#This Row],[category &amp; sub-category]],1))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(Table1[[#This Row],[pledged]]/Table1[[#This Row],[goal]])*100</f>
        <v>252.62857142857143</v>
      </c>
      <c r="G271" t="s">
        <v>20</v>
      </c>
      <c r="H271">
        <v>87</v>
      </c>
      <c r="I271" s="4">
        <f>IFERROR(Table1[[#This Row],[pledged]]/Table1[[#This Row],[backers_count]],0)</f>
        <v>101.63218390804597</v>
      </c>
      <c r="J271" t="s">
        <v>21</v>
      </c>
      <c r="K271" t="s">
        <v>22</v>
      </c>
      <c r="L271">
        <v>1548914400</v>
      </c>
      <c r="M271" s="9">
        <f>(((Table1[[#This Row],[launched_at]]/60)/60)/24)+DATE(1970,1,1)</f>
        <v>43496.25</v>
      </c>
      <c r="N271">
        <v>1550728800</v>
      </c>
      <c r="O271" s="9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LEFT(Table1[[#This Row],[category &amp; sub-category]],SEARCH("/",Table1[[#This Row],[category &amp; sub-category]],1)-1)</f>
        <v>film &amp; video</v>
      </c>
      <c r="T271" t="str">
        <f>RIGHT(Table1[[#This Row],[category &amp; sub-category]],LEN(Table1[[#This Row],[category &amp; sub-category]])-SEARCH("/",Table1[[#This Row],[category &amp; sub-category]],1))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(Table1[[#This Row],[pledged]]/Table1[[#This Row],[goal]])*100</f>
        <v>27.176538240368025</v>
      </c>
      <c r="G272" t="s">
        <v>74</v>
      </c>
      <c r="H272">
        <v>1890</v>
      </c>
      <c r="I272" s="4">
        <f>IFERROR(Table1[[#This Row],[pledged]]/Table1[[#This Row],[backers_count]],0)</f>
        <v>25.005291005291006</v>
      </c>
      <c r="J272" t="s">
        <v>21</v>
      </c>
      <c r="K272" t="s">
        <v>22</v>
      </c>
      <c r="L272">
        <v>1291269600</v>
      </c>
      <c r="M272" s="9">
        <f>(((Table1[[#This Row],[launched_at]]/60)/60)/24)+DATE(1970,1,1)</f>
        <v>40514.25</v>
      </c>
      <c r="N272">
        <v>1291442400</v>
      </c>
      <c r="O272" s="9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LEFT(Table1[[#This Row],[category &amp; sub-category]],SEARCH("/",Table1[[#This Row],[category &amp; sub-category]],1)-1)</f>
        <v>games</v>
      </c>
      <c r="T272" t="str">
        <f>RIGHT(Table1[[#This Row],[category &amp; sub-category]],LEN(Table1[[#This Row],[category &amp; sub-category]])-SEARCH("/",Table1[[#This Row],[category &amp; sub-category]],1))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(Table1[[#This Row],[pledged]]/Table1[[#This Row],[goal]])*100</f>
        <v>1.2706571242680547</v>
      </c>
      <c r="G273" t="s">
        <v>47</v>
      </c>
      <c r="H273">
        <v>61</v>
      </c>
      <c r="I273" s="4">
        <f>IFERROR(Table1[[#This Row],[pledged]]/Table1[[#This Row],[backers_count]],0)</f>
        <v>32.016393442622949</v>
      </c>
      <c r="J273" t="s">
        <v>21</v>
      </c>
      <c r="K273" t="s">
        <v>22</v>
      </c>
      <c r="L273">
        <v>1449468000</v>
      </c>
      <c r="M273" s="9">
        <f>(((Table1[[#This Row],[launched_at]]/60)/60)/24)+DATE(1970,1,1)</f>
        <v>42345.25</v>
      </c>
      <c r="N273">
        <v>1452146400</v>
      </c>
      <c r="O273" s="9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LEFT(Table1[[#This Row],[category &amp; sub-category]],SEARCH("/",Table1[[#This Row],[category &amp; sub-category]],1)-1)</f>
        <v>photography</v>
      </c>
      <c r="T273" t="str">
        <f>RIGHT(Table1[[#This Row],[category &amp; sub-category]],LEN(Table1[[#This Row],[category &amp; sub-category]])-SEARCH("/",Table1[[#This Row],[category &amp; sub-category]],1))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(Table1[[#This Row],[pledged]]/Table1[[#This Row],[goal]])*100</f>
        <v>304.0097847358121</v>
      </c>
      <c r="G274" t="s">
        <v>20</v>
      </c>
      <c r="H274">
        <v>1894</v>
      </c>
      <c r="I274" s="4">
        <f>IFERROR(Table1[[#This Row],[pledged]]/Table1[[#This Row],[backers_count]],0)</f>
        <v>82.021647307286173</v>
      </c>
      <c r="J274" t="s">
        <v>21</v>
      </c>
      <c r="K274" t="s">
        <v>22</v>
      </c>
      <c r="L274">
        <v>1562734800</v>
      </c>
      <c r="M274" s="9">
        <f>(((Table1[[#This Row],[launched_at]]/60)/60)/24)+DATE(1970,1,1)</f>
        <v>43656.208333333328</v>
      </c>
      <c r="N274">
        <v>1564894800</v>
      </c>
      <c r="O274" s="9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LEFT(Table1[[#This Row],[category &amp; sub-category]],SEARCH("/",Table1[[#This Row],[category &amp; sub-category]],1)-1)</f>
        <v>theater</v>
      </c>
      <c r="T274" t="str">
        <f>RIGHT(Table1[[#This Row],[category &amp; sub-category]],LEN(Table1[[#This Row],[category &amp; sub-category]])-SEARCH("/",Table1[[#This Row],[category &amp; sub-category]],1))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(Table1[[#This Row],[pledged]]/Table1[[#This Row],[goal]])*100</f>
        <v>137.23076923076923</v>
      </c>
      <c r="G275" t="s">
        <v>20</v>
      </c>
      <c r="H275">
        <v>282</v>
      </c>
      <c r="I275" s="4">
        <f>IFERROR(Table1[[#This Row],[pledged]]/Table1[[#This Row],[backers_count]],0)</f>
        <v>37.957446808510639</v>
      </c>
      <c r="J275" t="s">
        <v>15</v>
      </c>
      <c r="K275" t="s">
        <v>16</v>
      </c>
      <c r="L275">
        <v>1505624400</v>
      </c>
      <c r="M275" s="9">
        <f>(((Table1[[#This Row],[launched_at]]/60)/60)/24)+DATE(1970,1,1)</f>
        <v>42995.208333333328</v>
      </c>
      <c r="N275">
        <v>1505883600</v>
      </c>
      <c r="O275" s="9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LEFT(Table1[[#This Row],[category &amp; sub-category]],SEARCH("/",Table1[[#This Row],[category &amp; sub-category]],1)-1)</f>
        <v>theater</v>
      </c>
      <c r="T275" t="str">
        <f>RIGHT(Table1[[#This Row],[category &amp; sub-category]],LEN(Table1[[#This Row],[category &amp; sub-category]])-SEARCH("/",Table1[[#This Row],[category &amp; sub-category]],1))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(Table1[[#This Row],[pledged]]/Table1[[#This Row],[goal]])*100</f>
        <v>32.208333333333336</v>
      </c>
      <c r="G276" t="s">
        <v>14</v>
      </c>
      <c r="H276">
        <v>15</v>
      </c>
      <c r="I276" s="4">
        <f>IFERROR(Table1[[#This Row],[pledged]]/Table1[[#This Row],[backers_count]],0)</f>
        <v>51.533333333333331</v>
      </c>
      <c r="J276" t="s">
        <v>21</v>
      </c>
      <c r="K276" t="s">
        <v>22</v>
      </c>
      <c r="L276">
        <v>1509948000</v>
      </c>
      <c r="M276" s="9">
        <f>(((Table1[[#This Row],[launched_at]]/60)/60)/24)+DATE(1970,1,1)</f>
        <v>43045.25</v>
      </c>
      <c r="N276">
        <v>1510380000</v>
      </c>
      <c r="O276" s="9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LEFT(Table1[[#This Row],[category &amp; sub-category]],SEARCH("/",Table1[[#This Row],[category &amp; sub-category]],1)-1)</f>
        <v>theater</v>
      </c>
      <c r="T276" t="str">
        <f>RIGHT(Table1[[#This Row],[category &amp; sub-category]],LEN(Table1[[#This Row],[category &amp; sub-category]])-SEARCH("/",Table1[[#This Row],[category &amp; sub-category]],1))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(Table1[[#This Row],[pledged]]/Table1[[#This Row],[goal]])*100</f>
        <v>241.51282051282053</v>
      </c>
      <c r="G277" t="s">
        <v>20</v>
      </c>
      <c r="H277">
        <v>116</v>
      </c>
      <c r="I277" s="4">
        <f>IFERROR(Table1[[#This Row],[pledged]]/Table1[[#This Row],[backers_count]],0)</f>
        <v>81.198275862068968</v>
      </c>
      <c r="J277" t="s">
        <v>21</v>
      </c>
      <c r="K277" t="s">
        <v>22</v>
      </c>
      <c r="L277">
        <v>1554526800</v>
      </c>
      <c r="M277" s="9">
        <f>(((Table1[[#This Row],[launched_at]]/60)/60)/24)+DATE(1970,1,1)</f>
        <v>43561.208333333328</v>
      </c>
      <c r="N277">
        <v>1555218000</v>
      </c>
      <c r="O277" s="9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LEFT(Table1[[#This Row],[category &amp; sub-category]],SEARCH("/",Table1[[#This Row],[category &amp; sub-category]],1)-1)</f>
        <v>publishing</v>
      </c>
      <c r="T277" t="str">
        <f>RIGHT(Table1[[#This Row],[category &amp; sub-category]],LEN(Table1[[#This Row],[category &amp; sub-category]])-SEARCH("/",Table1[[#This Row],[category &amp; sub-category]],1))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(Table1[[#This Row],[pledged]]/Table1[[#This Row],[goal]])*100</f>
        <v>96.8</v>
      </c>
      <c r="G278" t="s">
        <v>14</v>
      </c>
      <c r="H278">
        <v>133</v>
      </c>
      <c r="I278" s="4">
        <f>IFERROR(Table1[[#This Row],[pledged]]/Table1[[#This Row],[backers_count]],0)</f>
        <v>40.030075187969928</v>
      </c>
      <c r="J278" t="s">
        <v>21</v>
      </c>
      <c r="K278" t="s">
        <v>22</v>
      </c>
      <c r="L278">
        <v>1334811600</v>
      </c>
      <c r="M278" s="9">
        <f>(((Table1[[#This Row],[launched_at]]/60)/60)/24)+DATE(1970,1,1)</f>
        <v>41018.208333333336</v>
      </c>
      <c r="N278">
        <v>1335243600</v>
      </c>
      <c r="O278" s="9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LEFT(Table1[[#This Row],[category &amp; sub-category]],SEARCH("/",Table1[[#This Row],[category &amp; sub-category]],1)-1)</f>
        <v>games</v>
      </c>
      <c r="T278" t="str">
        <f>RIGHT(Table1[[#This Row],[category &amp; sub-category]],LEN(Table1[[#This Row],[category &amp; sub-category]])-SEARCH("/",Table1[[#This Row],[category &amp; sub-category]],1))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(Table1[[#This Row],[pledged]]/Table1[[#This Row],[goal]])*100</f>
        <v>1066.4285714285716</v>
      </c>
      <c r="G279" t="s">
        <v>20</v>
      </c>
      <c r="H279">
        <v>83</v>
      </c>
      <c r="I279" s="4">
        <f>IFERROR(Table1[[#This Row],[pledged]]/Table1[[#This Row],[backers_count]],0)</f>
        <v>89.939759036144579</v>
      </c>
      <c r="J279" t="s">
        <v>21</v>
      </c>
      <c r="K279" t="s">
        <v>22</v>
      </c>
      <c r="L279">
        <v>1279515600</v>
      </c>
      <c r="M279" s="9">
        <f>(((Table1[[#This Row],[launched_at]]/60)/60)/24)+DATE(1970,1,1)</f>
        <v>40378.208333333336</v>
      </c>
      <c r="N279">
        <v>1279688400</v>
      </c>
      <c r="O279" s="9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LEFT(Table1[[#This Row],[category &amp; sub-category]],SEARCH("/",Table1[[#This Row],[category &amp; sub-category]],1)-1)</f>
        <v>theater</v>
      </c>
      <c r="T279" t="str">
        <f>RIGHT(Table1[[#This Row],[category &amp; sub-category]],LEN(Table1[[#This Row],[category &amp; sub-category]])-SEARCH("/",Table1[[#This Row],[category &amp; sub-category]],1))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(Table1[[#This Row],[pledged]]/Table1[[#This Row],[goal]])*100</f>
        <v>325.88888888888891</v>
      </c>
      <c r="G280" t="s">
        <v>20</v>
      </c>
      <c r="H280">
        <v>91</v>
      </c>
      <c r="I280" s="4">
        <f>IFERROR(Table1[[#This Row],[pledged]]/Table1[[#This Row],[backers_count]],0)</f>
        <v>96.692307692307693</v>
      </c>
      <c r="J280" t="s">
        <v>21</v>
      </c>
      <c r="K280" t="s">
        <v>22</v>
      </c>
      <c r="L280">
        <v>1353909600</v>
      </c>
      <c r="M280" s="9">
        <f>(((Table1[[#This Row],[launched_at]]/60)/60)/24)+DATE(1970,1,1)</f>
        <v>41239.25</v>
      </c>
      <c r="N280">
        <v>1356069600</v>
      </c>
      <c r="O280" s="9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LEFT(Table1[[#This Row],[category &amp; sub-category]],SEARCH("/",Table1[[#This Row],[category &amp; sub-category]],1)-1)</f>
        <v>technology</v>
      </c>
      <c r="T280" t="str">
        <f>RIGHT(Table1[[#This Row],[category &amp; sub-category]],LEN(Table1[[#This Row],[category &amp; sub-category]])-SEARCH("/",Table1[[#This Row],[category &amp; sub-category]],1))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(Table1[[#This Row],[pledged]]/Table1[[#This Row],[goal]])*100</f>
        <v>170.70000000000002</v>
      </c>
      <c r="G281" t="s">
        <v>20</v>
      </c>
      <c r="H281">
        <v>546</v>
      </c>
      <c r="I281" s="4">
        <f>IFERROR(Table1[[#This Row],[pledged]]/Table1[[#This Row],[backers_count]],0)</f>
        <v>25.010989010989011</v>
      </c>
      <c r="J281" t="s">
        <v>21</v>
      </c>
      <c r="K281" t="s">
        <v>22</v>
      </c>
      <c r="L281">
        <v>1535950800</v>
      </c>
      <c r="M281" s="9">
        <f>(((Table1[[#This Row],[launched_at]]/60)/60)/24)+DATE(1970,1,1)</f>
        <v>43346.208333333328</v>
      </c>
      <c r="N281">
        <v>1536210000</v>
      </c>
      <c r="O281" s="9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LEFT(Table1[[#This Row],[category &amp; sub-category]],SEARCH("/",Table1[[#This Row],[category &amp; sub-category]],1)-1)</f>
        <v>theater</v>
      </c>
      <c r="T281" t="str">
        <f>RIGHT(Table1[[#This Row],[category &amp; sub-category]],LEN(Table1[[#This Row],[category &amp; sub-category]])-SEARCH("/",Table1[[#This Row],[category &amp; sub-category]],1))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(Table1[[#This Row],[pledged]]/Table1[[#This Row],[goal]])*100</f>
        <v>581.44000000000005</v>
      </c>
      <c r="G282" t="s">
        <v>20</v>
      </c>
      <c r="H282">
        <v>393</v>
      </c>
      <c r="I282" s="4">
        <f>IFERROR(Table1[[#This Row],[pledged]]/Table1[[#This Row],[backers_count]],0)</f>
        <v>36.987277353689571</v>
      </c>
      <c r="J282" t="s">
        <v>21</v>
      </c>
      <c r="K282" t="s">
        <v>22</v>
      </c>
      <c r="L282">
        <v>1511244000</v>
      </c>
      <c r="M282" s="9">
        <f>(((Table1[[#This Row],[launched_at]]/60)/60)/24)+DATE(1970,1,1)</f>
        <v>43060.25</v>
      </c>
      <c r="N282">
        <v>1511762400</v>
      </c>
      <c r="O282" s="9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LEFT(Table1[[#This Row],[category &amp; sub-category]],SEARCH("/",Table1[[#This Row],[category &amp; sub-category]],1)-1)</f>
        <v>film &amp; video</v>
      </c>
      <c r="T282" t="str">
        <f>RIGHT(Table1[[#This Row],[category &amp; sub-category]],LEN(Table1[[#This Row],[category &amp; sub-category]])-SEARCH("/",Table1[[#This Row],[category &amp; sub-category]],1))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(Table1[[#This Row],[pledged]]/Table1[[#This Row],[goal]])*100</f>
        <v>91.520972644376897</v>
      </c>
      <c r="G283" t="s">
        <v>14</v>
      </c>
      <c r="H283">
        <v>2062</v>
      </c>
      <c r="I283" s="4">
        <f>IFERROR(Table1[[#This Row],[pledged]]/Table1[[#This Row],[backers_count]],0)</f>
        <v>73.012609117361791</v>
      </c>
      <c r="J283" t="s">
        <v>21</v>
      </c>
      <c r="K283" t="s">
        <v>22</v>
      </c>
      <c r="L283">
        <v>1331445600</v>
      </c>
      <c r="M283" s="9">
        <f>(((Table1[[#This Row],[launched_at]]/60)/60)/24)+DATE(1970,1,1)</f>
        <v>40979.25</v>
      </c>
      <c r="N283">
        <v>1333256400</v>
      </c>
      <c r="O283" s="9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LEFT(Table1[[#This Row],[category &amp; sub-category]],SEARCH("/",Table1[[#This Row],[category &amp; sub-category]],1)-1)</f>
        <v>theater</v>
      </c>
      <c r="T283" t="str">
        <f>RIGHT(Table1[[#This Row],[category &amp; sub-category]],LEN(Table1[[#This Row],[category &amp; sub-category]])-SEARCH("/",Table1[[#This Row],[category &amp; sub-category]],1))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(Table1[[#This Row],[pledged]]/Table1[[#This Row],[goal]])*100</f>
        <v>108.04761904761904</v>
      </c>
      <c r="G284" t="s">
        <v>20</v>
      </c>
      <c r="H284">
        <v>133</v>
      </c>
      <c r="I284" s="4">
        <f>IFERROR(Table1[[#This Row],[pledged]]/Table1[[#This Row],[backers_count]],0)</f>
        <v>68.240601503759393</v>
      </c>
      <c r="J284" t="s">
        <v>21</v>
      </c>
      <c r="K284" t="s">
        <v>22</v>
      </c>
      <c r="L284">
        <v>1480226400</v>
      </c>
      <c r="M284" s="9">
        <f>(((Table1[[#This Row],[launched_at]]/60)/60)/24)+DATE(1970,1,1)</f>
        <v>42701.25</v>
      </c>
      <c r="N284">
        <v>1480744800</v>
      </c>
      <c r="O284" s="9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LEFT(Table1[[#This Row],[category &amp; sub-category]],SEARCH("/",Table1[[#This Row],[category &amp; sub-category]],1)-1)</f>
        <v>film &amp; video</v>
      </c>
      <c r="T284" t="str">
        <f>RIGHT(Table1[[#This Row],[category &amp; sub-category]],LEN(Table1[[#This Row],[category &amp; sub-category]])-SEARCH("/",Table1[[#This Row],[category &amp; sub-category]],1))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(Table1[[#This Row],[pledged]]/Table1[[#This Row],[goal]])*100</f>
        <v>18.728395061728396</v>
      </c>
      <c r="G285" t="s">
        <v>14</v>
      </c>
      <c r="H285">
        <v>29</v>
      </c>
      <c r="I285" s="4">
        <f>IFERROR(Table1[[#This Row],[pledged]]/Table1[[#This Row],[backers_count]],0)</f>
        <v>52.310344827586206</v>
      </c>
      <c r="J285" t="s">
        <v>36</v>
      </c>
      <c r="K285" t="s">
        <v>37</v>
      </c>
      <c r="L285">
        <v>1464584400</v>
      </c>
      <c r="M285" s="9">
        <f>(((Table1[[#This Row],[launched_at]]/60)/60)/24)+DATE(1970,1,1)</f>
        <v>42520.208333333328</v>
      </c>
      <c r="N285">
        <v>1465016400</v>
      </c>
      <c r="O285" s="9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LEFT(Table1[[#This Row],[category &amp; sub-category]],SEARCH("/",Table1[[#This Row],[category &amp; sub-category]],1)-1)</f>
        <v>music</v>
      </c>
      <c r="T285" t="str">
        <f>RIGHT(Table1[[#This Row],[category &amp; sub-category]],LEN(Table1[[#This Row],[category &amp; sub-category]])-SEARCH("/",Table1[[#This Row],[category &amp; sub-category]],1))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(Table1[[#This Row],[pledged]]/Table1[[#This Row],[goal]])*100</f>
        <v>83.193877551020407</v>
      </c>
      <c r="G286" t="s">
        <v>14</v>
      </c>
      <c r="H286">
        <v>132</v>
      </c>
      <c r="I286" s="4">
        <f>IFERROR(Table1[[#This Row],[pledged]]/Table1[[#This Row],[backers_count]],0)</f>
        <v>61.765151515151516</v>
      </c>
      <c r="J286" t="s">
        <v>21</v>
      </c>
      <c r="K286" t="s">
        <v>22</v>
      </c>
      <c r="L286">
        <v>1335848400</v>
      </c>
      <c r="M286" s="9">
        <f>(((Table1[[#This Row],[launched_at]]/60)/60)/24)+DATE(1970,1,1)</f>
        <v>41030.208333333336</v>
      </c>
      <c r="N286">
        <v>1336280400</v>
      </c>
      <c r="O286" s="9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LEFT(Table1[[#This Row],[category &amp; sub-category]],SEARCH("/",Table1[[#This Row],[category &amp; sub-category]],1)-1)</f>
        <v>technology</v>
      </c>
      <c r="T286" t="str">
        <f>RIGHT(Table1[[#This Row],[category &amp; sub-category]],LEN(Table1[[#This Row],[category &amp; sub-category]])-SEARCH("/",Table1[[#This Row],[category &amp; sub-category]],1))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(Table1[[#This Row],[pledged]]/Table1[[#This Row],[goal]])*100</f>
        <v>706.33333333333337</v>
      </c>
      <c r="G287" t="s">
        <v>20</v>
      </c>
      <c r="H287">
        <v>254</v>
      </c>
      <c r="I287" s="4">
        <f>IFERROR(Table1[[#This Row],[pledged]]/Table1[[#This Row],[backers_count]],0)</f>
        <v>25.027559055118111</v>
      </c>
      <c r="J287" t="s">
        <v>21</v>
      </c>
      <c r="K287" t="s">
        <v>22</v>
      </c>
      <c r="L287">
        <v>1473483600</v>
      </c>
      <c r="M287" s="9">
        <f>(((Table1[[#This Row],[launched_at]]/60)/60)/24)+DATE(1970,1,1)</f>
        <v>42623.208333333328</v>
      </c>
      <c r="N287">
        <v>1476766800</v>
      </c>
      <c r="O287" s="9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LEFT(Table1[[#This Row],[category &amp; sub-category]],SEARCH("/",Table1[[#This Row],[category &amp; sub-category]],1)-1)</f>
        <v>theater</v>
      </c>
      <c r="T287" t="str">
        <f>RIGHT(Table1[[#This Row],[category &amp; sub-category]],LEN(Table1[[#This Row],[category &amp; sub-category]])-SEARCH("/",Table1[[#This Row],[category &amp; sub-category]],1))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(Table1[[#This Row],[pledged]]/Table1[[#This Row],[goal]])*100</f>
        <v>17.446030330062445</v>
      </c>
      <c r="G288" t="s">
        <v>74</v>
      </c>
      <c r="H288">
        <v>184</v>
      </c>
      <c r="I288" s="4">
        <f>IFERROR(Table1[[#This Row],[pledged]]/Table1[[#This Row],[backers_count]],0)</f>
        <v>106.28804347826087</v>
      </c>
      <c r="J288" t="s">
        <v>21</v>
      </c>
      <c r="K288" t="s">
        <v>22</v>
      </c>
      <c r="L288">
        <v>1479880800</v>
      </c>
      <c r="M288" s="9">
        <f>(((Table1[[#This Row],[launched_at]]/60)/60)/24)+DATE(1970,1,1)</f>
        <v>42697.25</v>
      </c>
      <c r="N288">
        <v>1480485600</v>
      </c>
      <c r="O288" s="9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LEFT(Table1[[#This Row],[category &amp; sub-category]],SEARCH("/",Table1[[#This Row],[category &amp; sub-category]],1)-1)</f>
        <v>theater</v>
      </c>
      <c r="T288" t="str">
        <f>RIGHT(Table1[[#This Row],[category &amp; sub-category]],LEN(Table1[[#This Row],[category &amp; sub-category]])-SEARCH("/",Table1[[#This Row],[category &amp; sub-category]],1))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(Table1[[#This Row],[pledged]]/Table1[[#This Row],[goal]])*100</f>
        <v>209.73015873015873</v>
      </c>
      <c r="G289" t="s">
        <v>20</v>
      </c>
      <c r="H289">
        <v>176</v>
      </c>
      <c r="I289" s="4">
        <f>IFERROR(Table1[[#This Row],[pledged]]/Table1[[#This Row],[backers_count]],0)</f>
        <v>75.07386363636364</v>
      </c>
      <c r="J289" t="s">
        <v>21</v>
      </c>
      <c r="K289" t="s">
        <v>22</v>
      </c>
      <c r="L289">
        <v>1430197200</v>
      </c>
      <c r="M289" s="9">
        <f>(((Table1[[#This Row],[launched_at]]/60)/60)/24)+DATE(1970,1,1)</f>
        <v>42122.208333333328</v>
      </c>
      <c r="N289">
        <v>1430197200</v>
      </c>
      <c r="O289" s="9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LEFT(Table1[[#This Row],[category &amp; sub-category]],SEARCH("/",Table1[[#This Row],[category &amp; sub-category]],1)-1)</f>
        <v>music</v>
      </c>
      <c r="T289" t="str">
        <f>RIGHT(Table1[[#This Row],[category &amp; sub-category]],LEN(Table1[[#This Row],[category &amp; sub-category]])-SEARCH("/",Table1[[#This Row],[category &amp; sub-category]],1))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(Table1[[#This Row],[pledged]]/Table1[[#This Row],[goal]])*100</f>
        <v>97.785714285714292</v>
      </c>
      <c r="G290" t="s">
        <v>14</v>
      </c>
      <c r="H290">
        <v>137</v>
      </c>
      <c r="I290" s="4">
        <f>IFERROR(Table1[[#This Row],[pledged]]/Table1[[#This Row],[backers_count]],0)</f>
        <v>39.970802919708028</v>
      </c>
      <c r="J290" t="s">
        <v>36</v>
      </c>
      <c r="K290" t="s">
        <v>37</v>
      </c>
      <c r="L290">
        <v>1331701200</v>
      </c>
      <c r="M290" s="9">
        <f>(((Table1[[#This Row],[launched_at]]/60)/60)/24)+DATE(1970,1,1)</f>
        <v>40982.208333333336</v>
      </c>
      <c r="N290">
        <v>1331787600</v>
      </c>
      <c r="O290" s="9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LEFT(Table1[[#This Row],[category &amp; sub-category]],SEARCH("/",Table1[[#This Row],[category &amp; sub-category]],1)-1)</f>
        <v>music</v>
      </c>
      <c r="T290" t="str">
        <f>RIGHT(Table1[[#This Row],[category &amp; sub-category]],LEN(Table1[[#This Row],[category &amp; sub-category]])-SEARCH("/",Table1[[#This Row],[category &amp; sub-category]],1))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(Table1[[#This Row],[pledged]]/Table1[[#This Row],[goal]])*100</f>
        <v>1684.25</v>
      </c>
      <c r="G291" t="s">
        <v>20</v>
      </c>
      <c r="H291">
        <v>337</v>
      </c>
      <c r="I291" s="4">
        <f>IFERROR(Table1[[#This Row],[pledged]]/Table1[[#This Row],[backers_count]],0)</f>
        <v>39.982195845697326</v>
      </c>
      <c r="J291" t="s">
        <v>15</v>
      </c>
      <c r="K291" t="s">
        <v>16</v>
      </c>
      <c r="L291">
        <v>1438578000</v>
      </c>
      <c r="M291" s="9">
        <f>(((Table1[[#This Row],[launched_at]]/60)/60)/24)+DATE(1970,1,1)</f>
        <v>42219.208333333328</v>
      </c>
      <c r="N291">
        <v>1438837200</v>
      </c>
      <c r="O291" s="9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LEFT(Table1[[#This Row],[category &amp; sub-category]],SEARCH("/",Table1[[#This Row],[category &amp; sub-category]],1)-1)</f>
        <v>theater</v>
      </c>
      <c r="T291" t="str">
        <f>RIGHT(Table1[[#This Row],[category &amp; sub-category]],LEN(Table1[[#This Row],[category &amp; sub-category]])-SEARCH("/",Table1[[#This Row],[category &amp; sub-category]],1))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(Table1[[#This Row],[pledged]]/Table1[[#This Row],[goal]])*100</f>
        <v>54.402135231316727</v>
      </c>
      <c r="G292" t="s">
        <v>14</v>
      </c>
      <c r="H292">
        <v>908</v>
      </c>
      <c r="I292" s="4">
        <f>IFERROR(Table1[[#This Row],[pledged]]/Table1[[#This Row],[backers_count]],0)</f>
        <v>101.01541850220265</v>
      </c>
      <c r="J292" t="s">
        <v>21</v>
      </c>
      <c r="K292" t="s">
        <v>22</v>
      </c>
      <c r="L292">
        <v>1368162000</v>
      </c>
      <c r="M292" s="9">
        <f>(((Table1[[#This Row],[launched_at]]/60)/60)/24)+DATE(1970,1,1)</f>
        <v>41404.208333333336</v>
      </c>
      <c r="N292">
        <v>1370926800</v>
      </c>
      <c r="O292" s="9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LEFT(Table1[[#This Row],[category &amp; sub-category]],SEARCH("/",Table1[[#This Row],[category &amp; sub-category]],1)-1)</f>
        <v>film &amp; video</v>
      </c>
      <c r="T292" t="str">
        <f>RIGHT(Table1[[#This Row],[category &amp; sub-category]],LEN(Table1[[#This Row],[category &amp; sub-category]])-SEARCH("/",Table1[[#This Row],[category &amp; sub-category]],1))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(Table1[[#This Row],[pledged]]/Table1[[#This Row],[goal]])*100</f>
        <v>456.61111111111109</v>
      </c>
      <c r="G293" t="s">
        <v>20</v>
      </c>
      <c r="H293">
        <v>107</v>
      </c>
      <c r="I293" s="4">
        <f>IFERROR(Table1[[#This Row],[pledged]]/Table1[[#This Row],[backers_count]],0)</f>
        <v>76.813084112149539</v>
      </c>
      <c r="J293" t="s">
        <v>21</v>
      </c>
      <c r="K293" t="s">
        <v>22</v>
      </c>
      <c r="L293">
        <v>1318654800</v>
      </c>
      <c r="M293" s="9">
        <f>(((Table1[[#This Row],[launched_at]]/60)/60)/24)+DATE(1970,1,1)</f>
        <v>40831.208333333336</v>
      </c>
      <c r="N293">
        <v>1319000400</v>
      </c>
      <c r="O293" s="9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LEFT(Table1[[#This Row],[category &amp; sub-category]],SEARCH("/",Table1[[#This Row],[category &amp; sub-category]],1)-1)</f>
        <v>technology</v>
      </c>
      <c r="T293" t="str">
        <f>RIGHT(Table1[[#This Row],[category &amp; sub-category]],LEN(Table1[[#This Row],[category &amp; sub-category]])-SEARCH("/",Table1[[#This Row],[category &amp; sub-category]],1))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(Table1[[#This Row],[pledged]]/Table1[[#This Row],[goal]])*100</f>
        <v>9.8219178082191778</v>
      </c>
      <c r="G294" t="s">
        <v>14</v>
      </c>
      <c r="H294">
        <v>10</v>
      </c>
      <c r="I294" s="4">
        <f>IFERROR(Table1[[#This Row],[pledged]]/Table1[[#This Row],[backers_count]],0)</f>
        <v>71.7</v>
      </c>
      <c r="J294" t="s">
        <v>21</v>
      </c>
      <c r="K294" t="s">
        <v>22</v>
      </c>
      <c r="L294">
        <v>1331874000</v>
      </c>
      <c r="M294" s="9">
        <f>(((Table1[[#This Row],[launched_at]]/60)/60)/24)+DATE(1970,1,1)</f>
        <v>40984.208333333336</v>
      </c>
      <c r="N294">
        <v>1333429200</v>
      </c>
      <c r="O294" s="9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LEFT(Table1[[#This Row],[category &amp; sub-category]],SEARCH("/",Table1[[#This Row],[category &amp; sub-category]],1)-1)</f>
        <v>food</v>
      </c>
      <c r="T294" t="str">
        <f>RIGHT(Table1[[#This Row],[category &amp; sub-category]],LEN(Table1[[#This Row],[category &amp; sub-category]])-SEARCH("/",Table1[[#This Row],[category &amp; sub-category]],1))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(Table1[[#This Row],[pledged]]/Table1[[#This Row],[goal]])*100</f>
        <v>16.384615384615383</v>
      </c>
      <c r="G295" t="s">
        <v>74</v>
      </c>
      <c r="H295">
        <v>32</v>
      </c>
      <c r="I295" s="4">
        <f>IFERROR(Table1[[#This Row],[pledged]]/Table1[[#This Row],[backers_count]],0)</f>
        <v>33.28125</v>
      </c>
      <c r="J295" t="s">
        <v>107</v>
      </c>
      <c r="K295" t="s">
        <v>108</v>
      </c>
      <c r="L295">
        <v>1286254800</v>
      </c>
      <c r="M295" s="9">
        <f>(((Table1[[#This Row],[launched_at]]/60)/60)/24)+DATE(1970,1,1)</f>
        <v>40456.208333333336</v>
      </c>
      <c r="N295">
        <v>1287032400</v>
      </c>
      <c r="O295" s="9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LEFT(Table1[[#This Row],[category &amp; sub-category]],SEARCH("/",Table1[[#This Row],[category &amp; sub-category]],1)-1)</f>
        <v>theater</v>
      </c>
      <c r="T295" t="str">
        <f>RIGHT(Table1[[#This Row],[category &amp; sub-category]],LEN(Table1[[#This Row],[category &amp; sub-category]])-SEARCH("/",Table1[[#This Row],[category &amp; sub-category]],1))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(Table1[[#This Row],[pledged]]/Table1[[#This Row],[goal]])*100</f>
        <v>1339.6666666666667</v>
      </c>
      <c r="G296" t="s">
        <v>20</v>
      </c>
      <c r="H296">
        <v>183</v>
      </c>
      <c r="I296" s="4">
        <f>IFERROR(Table1[[#This Row],[pledged]]/Table1[[#This Row],[backers_count]],0)</f>
        <v>43.923497267759565</v>
      </c>
      <c r="J296" t="s">
        <v>21</v>
      </c>
      <c r="K296" t="s">
        <v>22</v>
      </c>
      <c r="L296">
        <v>1540530000</v>
      </c>
      <c r="M296" s="9">
        <f>(((Table1[[#This Row],[launched_at]]/60)/60)/24)+DATE(1970,1,1)</f>
        <v>43399.208333333328</v>
      </c>
      <c r="N296">
        <v>1541570400</v>
      </c>
      <c r="O296" s="9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LEFT(Table1[[#This Row],[category &amp; sub-category]],SEARCH("/",Table1[[#This Row],[category &amp; sub-category]],1)-1)</f>
        <v>theater</v>
      </c>
      <c r="T296" t="str">
        <f>RIGHT(Table1[[#This Row],[category &amp; sub-category]],LEN(Table1[[#This Row],[category &amp; sub-category]])-SEARCH("/",Table1[[#This Row],[category &amp; sub-category]],1))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(Table1[[#This Row],[pledged]]/Table1[[#This Row],[goal]])*100</f>
        <v>35.650077760497666</v>
      </c>
      <c r="G297" t="s">
        <v>14</v>
      </c>
      <c r="H297">
        <v>1910</v>
      </c>
      <c r="I297" s="4">
        <f>IFERROR(Table1[[#This Row],[pledged]]/Table1[[#This Row],[backers_count]],0)</f>
        <v>36.004712041884815</v>
      </c>
      <c r="J297" t="s">
        <v>98</v>
      </c>
      <c r="K297" t="s">
        <v>99</v>
      </c>
      <c r="L297">
        <v>1381813200</v>
      </c>
      <c r="M297" s="9">
        <f>(((Table1[[#This Row],[launched_at]]/60)/60)/24)+DATE(1970,1,1)</f>
        <v>41562.208333333336</v>
      </c>
      <c r="N297">
        <v>1383976800</v>
      </c>
      <c r="O297" s="9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LEFT(Table1[[#This Row],[category &amp; sub-category]],SEARCH("/",Table1[[#This Row],[category &amp; sub-category]],1)-1)</f>
        <v>theater</v>
      </c>
      <c r="T297" t="str">
        <f>RIGHT(Table1[[#This Row],[category &amp; sub-category]],LEN(Table1[[#This Row],[category &amp; sub-category]])-SEARCH("/",Table1[[#This Row],[category &amp; sub-category]],1))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(Table1[[#This Row],[pledged]]/Table1[[#This Row],[goal]])*100</f>
        <v>54.950819672131146</v>
      </c>
      <c r="G298" t="s">
        <v>14</v>
      </c>
      <c r="H298">
        <v>38</v>
      </c>
      <c r="I298" s="4">
        <f>IFERROR(Table1[[#This Row],[pledged]]/Table1[[#This Row],[backers_count]],0)</f>
        <v>88.21052631578948</v>
      </c>
      <c r="J298" t="s">
        <v>26</v>
      </c>
      <c r="K298" t="s">
        <v>27</v>
      </c>
      <c r="L298">
        <v>1548655200</v>
      </c>
      <c r="M298" s="9">
        <f>(((Table1[[#This Row],[launched_at]]/60)/60)/24)+DATE(1970,1,1)</f>
        <v>43493.25</v>
      </c>
      <c r="N298">
        <v>1550556000</v>
      </c>
      <c r="O298" s="9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LEFT(Table1[[#This Row],[category &amp; sub-category]],SEARCH("/",Table1[[#This Row],[category &amp; sub-category]],1)-1)</f>
        <v>theater</v>
      </c>
      <c r="T298" t="str">
        <f>RIGHT(Table1[[#This Row],[category &amp; sub-category]],LEN(Table1[[#This Row],[category &amp; sub-category]])-SEARCH("/",Table1[[#This Row],[category &amp; sub-category]],1))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(Table1[[#This Row],[pledged]]/Table1[[#This Row],[goal]])*100</f>
        <v>94.236111111111114</v>
      </c>
      <c r="G299" t="s">
        <v>14</v>
      </c>
      <c r="H299">
        <v>104</v>
      </c>
      <c r="I299" s="4">
        <f>IFERROR(Table1[[#This Row],[pledged]]/Table1[[#This Row],[backers_count]],0)</f>
        <v>65.240384615384613</v>
      </c>
      <c r="J299" t="s">
        <v>26</v>
      </c>
      <c r="K299" t="s">
        <v>27</v>
      </c>
      <c r="L299">
        <v>1389679200</v>
      </c>
      <c r="M299" s="9">
        <f>(((Table1[[#This Row],[launched_at]]/60)/60)/24)+DATE(1970,1,1)</f>
        <v>41653.25</v>
      </c>
      <c r="N299">
        <v>1390456800</v>
      </c>
      <c r="O299" s="9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LEFT(Table1[[#This Row],[category &amp; sub-category]],SEARCH("/",Table1[[#This Row],[category &amp; sub-category]],1)-1)</f>
        <v>theater</v>
      </c>
      <c r="T299" t="str">
        <f>RIGHT(Table1[[#This Row],[category &amp; sub-category]],LEN(Table1[[#This Row],[category &amp; sub-category]])-SEARCH("/",Table1[[#This Row],[category &amp; sub-category]],1))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(Table1[[#This Row],[pledged]]/Table1[[#This Row],[goal]])*100</f>
        <v>143.91428571428571</v>
      </c>
      <c r="G300" t="s">
        <v>20</v>
      </c>
      <c r="H300">
        <v>72</v>
      </c>
      <c r="I300" s="4">
        <f>IFERROR(Table1[[#This Row],[pledged]]/Table1[[#This Row],[backers_count]],0)</f>
        <v>69.958333333333329</v>
      </c>
      <c r="J300" t="s">
        <v>21</v>
      </c>
      <c r="K300" t="s">
        <v>22</v>
      </c>
      <c r="L300">
        <v>1456466400</v>
      </c>
      <c r="M300" s="9">
        <f>(((Table1[[#This Row],[launched_at]]/60)/60)/24)+DATE(1970,1,1)</f>
        <v>42426.25</v>
      </c>
      <c r="N300">
        <v>1458018000</v>
      </c>
      <c r="O300" s="9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LEFT(Table1[[#This Row],[category &amp; sub-category]],SEARCH("/",Table1[[#This Row],[category &amp; sub-category]],1)-1)</f>
        <v>music</v>
      </c>
      <c r="T300" t="str">
        <f>RIGHT(Table1[[#This Row],[category &amp; sub-category]],LEN(Table1[[#This Row],[category &amp; sub-category]])-SEARCH("/",Table1[[#This Row],[category &amp; sub-category]],1))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(Table1[[#This Row],[pledged]]/Table1[[#This Row],[goal]])*100</f>
        <v>51.421052631578945</v>
      </c>
      <c r="G301" t="s">
        <v>14</v>
      </c>
      <c r="H301">
        <v>49</v>
      </c>
      <c r="I301" s="4">
        <f>IFERROR(Table1[[#This Row],[pledged]]/Table1[[#This Row],[backers_count]],0)</f>
        <v>39.877551020408163</v>
      </c>
      <c r="J301" t="s">
        <v>21</v>
      </c>
      <c r="K301" t="s">
        <v>22</v>
      </c>
      <c r="L301">
        <v>1456984800</v>
      </c>
      <c r="M301" s="9">
        <f>(((Table1[[#This Row],[launched_at]]/60)/60)/24)+DATE(1970,1,1)</f>
        <v>42432.25</v>
      </c>
      <c r="N301">
        <v>1461819600</v>
      </c>
      <c r="O301" s="9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LEFT(Table1[[#This Row],[category &amp; sub-category]],SEARCH("/",Table1[[#This Row],[category &amp; sub-category]],1)-1)</f>
        <v>food</v>
      </c>
      <c r="T301" t="str">
        <f>RIGHT(Table1[[#This Row],[category &amp; sub-category]],LEN(Table1[[#This Row],[category &amp; sub-category]])-SEARCH("/",Table1[[#This Row],[category &amp; sub-category]],1))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(Table1[[#This Row],[pledged]]/Table1[[#This Row],[goal]])*100</f>
        <v>5</v>
      </c>
      <c r="G302" t="s">
        <v>14</v>
      </c>
      <c r="H302">
        <v>1</v>
      </c>
      <c r="I302" s="4">
        <f>IFERROR(Table1[[#This Row],[pledged]]/Table1[[#This Row],[backers_count]],0)</f>
        <v>5</v>
      </c>
      <c r="J302" t="s">
        <v>36</v>
      </c>
      <c r="K302" t="s">
        <v>37</v>
      </c>
      <c r="L302">
        <v>1504069200</v>
      </c>
      <c r="M302" s="9">
        <f>(((Table1[[#This Row],[launched_at]]/60)/60)/24)+DATE(1970,1,1)</f>
        <v>42977.208333333328</v>
      </c>
      <c r="N302">
        <v>1504155600</v>
      </c>
      <c r="O302" s="9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LEFT(Table1[[#This Row],[category &amp; sub-category]],SEARCH("/",Table1[[#This Row],[category &amp; sub-category]],1)-1)</f>
        <v>publishing</v>
      </c>
      <c r="T302" t="str">
        <f>RIGHT(Table1[[#This Row],[category &amp; sub-category]],LEN(Table1[[#This Row],[category &amp; sub-category]])-SEARCH("/",Table1[[#This Row],[category &amp; sub-category]],1))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(Table1[[#This Row],[pledged]]/Table1[[#This Row],[goal]])*100</f>
        <v>1344.6666666666667</v>
      </c>
      <c r="G303" t="s">
        <v>20</v>
      </c>
      <c r="H303">
        <v>295</v>
      </c>
      <c r="I303" s="4">
        <f>IFERROR(Table1[[#This Row],[pledged]]/Table1[[#This Row],[backers_count]],0)</f>
        <v>41.023728813559323</v>
      </c>
      <c r="J303" t="s">
        <v>21</v>
      </c>
      <c r="K303" t="s">
        <v>22</v>
      </c>
      <c r="L303">
        <v>1424930400</v>
      </c>
      <c r="M303" s="9">
        <f>(((Table1[[#This Row],[launched_at]]/60)/60)/24)+DATE(1970,1,1)</f>
        <v>42061.25</v>
      </c>
      <c r="N303">
        <v>1426395600</v>
      </c>
      <c r="O303" s="9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LEFT(Table1[[#This Row],[category &amp; sub-category]],SEARCH("/",Table1[[#This Row],[category &amp; sub-category]],1)-1)</f>
        <v>film &amp; video</v>
      </c>
      <c r="T303" t="str">
        <f>RIGHT(Table1[[#This Row],[category &amp; sub-category]],LEN(Table1[[#This Row],[category &amp; sub-category]])-SEARCH("/",Table1[[#This Row],[category &amp; sub-category]],1))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(Table1[[#This Row],[pledged]]/Table1[[#This Row],[goal]])*100</f>
        <v>31.844940867279899</v>
      </c>
      <c r="G304" t="s">
        <v>14</v>
      </c>
      <c r="H304">
        <v>245</v>
      </c>
      <c r="I304" s="4">
        <f>IFERROR(Table1[[#This Row],[pledged]]/Table1[[#This Row],[backers_count]],0)</f>
        <v>98.914285714285711</v>
      </c>
      <c r="J304" t="s">
        <v>21</v>
      </c>
      <c r="K304" t="s">
        <v>22</v>
      </c>
      <c r="L304">
        <v>1535864400</v>
      </c>
      <c r="M304" s="9">
        <f>(((Table1[[#This Row],[launched_at]]/60)/60)/24)+DATE(1970,1,1)</f>
        <v>43345.208333333328</v>
      </c>
      <c r="N304">
        <v>1537074000</v>
      </c>
      <c r="O304" s="9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LEFT(Table1[[#This Row],[category &amp; sub-category]],SEARCH("/",Table1[[#This Row],[category &amp; sub-category]],1)-1)</f>
        <v>theater</v>
      </c>
      <c r="T304" t="str">
        <f>RIGHT(Table1[[#This Row],[category &amp; sub-category]],LEN(Table1[[#This Row],[category &amp; sub-category]])-SEARCH("/",Table1[[#This Row],[category &amp; sub-category]],1))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(Table1[[#This Row],[pledged]]/Table1[[#This Row],[goal]])*100</f>
        <v>82.617647058823536</v>
      </c>
      <c r="G305" t="s">
        <v>14</v>
      </c>
      <c r="H305">
        <v>32</v>
      </c>
      <c r="I305" s="4">
        <f>IFERROR(Table1[[#This Row],[pledged]]/Table1[[#This Row],[backers_count]],0)</f>
        <v>87.78125</v>
      </c>
      <c r="J305" t="s">
        <v>21</v>
      </c>
      <c r="K305" t="s">
        <v>22</v>
      </c>
      <c r="L305">
        <v>1452146400</v>
      </c>
      <c r="M305" s="9">
        <f>(((Table1[[#This Row],[launched_at]]/60)/60)/24)+DATE(1970,1,1)</f>
        <v>42376.25</v>
      </c>
      <c r="N305">
        <v>1452578400</v>
      </c>
      <c r="O305" s="9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LEFT(Table1[[#This Row],[category &amp; sub-category]],SEARCH("/",Table1[[#This Row],[category &amp; sub-category]],1)-1)</f>
        <v>music</v>
      </c>
      <c r="T305" t="str">
        <f>RIGHT(Table1[[#This Row],[category &amp; sub-category]],LEN(Table1[[#This Row],[category &amp; sub-category]])-SEARCH("/",Table1[[#This Row],[category &amp; sub-category]],1))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(Table1[[#This Row],[pledged]]/Table1[[#This Row],[goal]])*100</f>
        <v>546.14285714285722</v>
      </c>
      <c r="G306" t="s">
        <v>20</v>
      </c>
      <c r="H306">
        <v>142</v>
      </c>
      <c r="I306" s="4">
        <f>IFERROR(Table1[[#This Row],[pledged]]/Table1[[#This Row],[backers_count]],0)</f>
        <v>80.767605633802816</v>
      </c>
      <c r="J306" t="s">
        <v>21</v>
      </c>
      <c r="K306" t="s">
        <v>22</v>
      </c>
      <c r="L306">
        <v>1470546000</v>
      </c>
      <c r="M306" s="9">
        <f>(((Table1[[#This Row],[launched_at]]/60)/60)/24)+DATE(1970,1,1)</f>
        <v>42589.208333333328</v>
      </c>
      <c r="N306">
        <v>1474088400</v>
      </c>
      <c r="O306" s="9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LEFT(Table1[[#This Row],[category &amp; sub-category]],SEARCH("/",Table1[[#This Row],[category &amp; sub-category]],1)-1)</f>
        <v>film &amp; video</v>
      </c>
      <c r="T306" t="str">
        <f>RIGHT(Table1[[#This Row],[category &amp; sub-category]],LEN(Table1[[#This Row],[category &amp; sub-category]])-SEARCH("/",Table1[[#This Row],[category &amp; sub-category]],1))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(Table1[[#This Row],[pledged]]/Table1[[#This Row],[goal]])*100</f>
        <v>286.21428571428572</v>
      </c>
      <c r="G307" t="s">
        <v>20</v>
      </c>
      <c r="H307">
        <v>85</v>
      </c>
      <c r="I307" s="4">
        <f>IFERROR(Table1[[#This Row],[pledged]]/Table1[[#This Row],[backers_count]],0)</f>
        <v>94.28235294117647</v>
      </c>
      <c r="J307" t="s">
        <v>21</v>
      </c>
      <c r="K307" t="s">
        <v>22</v>
      </c>
      <c r="L307">
        <v>1458363600</v>
      </c>
      <c r="M307" s="9">
        <f>(((Table1[[#This Row],[launched_at]]/60)/60)/24)+DATE(1970,1,1)</f>
        <v>42448.208333333328</v>
      </c>
      <c r="N307">
        <v>1461906000</v>
      </c>
      <c r="O307" s="9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LEFT(Table1[[#This Row],[category &amp; sub-category]],SEARCH("/",Table1[[#This Row],[category &amp; sub-category]],1)-1)</f>
        <v>theater</v>
      </c>
      <c r="T307" t="str">
        <f>RIGHT(Table1[[#This Row],[category &amp; sub-category]],LEN(Table1[[#This Row],[category &amp; sub-category]])-SEARCH("/",Table1[[#This Row],[category &amp; sub-category]],1))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(Table1[[#This Row],[pledged]]/Table1[[#This Row],[goal]])*100</f>
        <v>7.9076923076923071</v>
      </c>
      <c r="G308" t="s">
        <v>14</v>
      </c>
      <c r="H308">
        <v>7</v>
      </c>
      <c r="I308" s="4">
        <f>IFERROR(Table1[[#This Row],[pledged]]/Table1[[#This Row],[backers_count]],0)</f>
        <v>73.428571428571431</v>
      </c>
      <c r="J308" t="s">
        <v>21</v>
      </c>
      <c r="K308" t="s">
        <v>22</v>
      </c>
      <c r="L308">
        <v>1500008400</v>
      </c>
      <c r="M308" s="9">
        <f>(((Table1[[#This Row],[launched_at]]/60)/60)/24)+DATE(1970,1,1)</f>
        <v>42930.208333333328</v>
      </c>
      <c r="N308">
        <v>1500267600</v>
      </c>
      <c r="O308" s="9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LEFT(Table1[[#This Row],[category &amp; sub-category]],SEARCH("/",Table1[[#This Row],[category &amp; sub-category]],1)-1)</f>
        <v>theater</v>
      </c>
      <c r="T308" t="str">
        <f>RIGHT(Table1[[#This Row],[category &amp; sub-category]],LEN(Table1[[#This Row],[category &amp; sub-category]])-SEARCH("/",Table1[[#This Row],[category &amp; sub-category]],1))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(Table1[[#This Row],[pledged]]/Table1[[#This Row],[goal]])*100</f>
        <v>132.13677811550153</v>
      </c>
      <c r="G309" t="s">
        <v>20</v>
      </c>
      <c r="H309">
        <v>659</v>
      </c>
      <c r="I309" s="4">
        <f>IFERROR(Table1[[#This Row],[pledged]]/Table1[[#This Row],[backers_count]],0)</f>
        <v>65.968133535660087</v>
      </c>
      <c r="J309" t="s">
        <v>36</v>
      </c>
      <c r="K309" t="s">
        <v>37</v>
      </c>
      <c r="L309">
        <v>1338958800</v>
      </c>
      <c r="M309" s="9">
        <f>(((Table1[[#This Row],[launched_at]]/60)/60)/24)+DATE(1970,1,1)</f>
        <v>41066.208333333336</v>
      </c>
      <c r="N309">
        <v>1340686800</v>
      </c>
      <c r="O309" s="9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LEFT(Table1[[#This Row],[category &amp; sub-category]],SEARCH("/",Table1[[#This Row],[category &amp; sub-category]],1)-1)</f>
        <v>publishing</v>
      </c>
      <c r="T309" t="str">
        <f>RIGHT(Table1[[#This Row],[category &amp; sub-category]],LEN(Table1[[#This Row],[category &amp; sub-category]])-SEARCH("/",Table1[[#This Row],[category &amp; sub-category]],1))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(Table1[[#This Row],[pledged]]/Table1[[#This Row],[goal]])*100</f>
        <v>74.077834179357026</v>
      </c>
      <c r="G310" t="s">
        <v>14</v>
      </c>
      <c r="H310">
        <v>803</v>
      </c>
      <c r="I310" s="4">
        <f>IFERROR(Table1[[#This Row],[pledged]]/Table1[[#This Row],[backers_count]],0)</f>
        <v>109.04109589041096</v>
      </c>
      <c r="J310" t="s">
        <v>21</v>
      </c>
      <c r="K310" t="s">
        <v>22</v>
      </c>
      <c r="L310">
        <v>1303102800</v>
      </c>
      <c r="M310" s="9">
        <f>(((Table1[[#This Row],[launched_at]]/60)/60)/24)+DATE(1970,1,1)</f>
        <v>40651.208333333336</v>
      </c>
      <c r="N310">
        <v>1303189200</v>
      </c>
      <c r="O310" s="9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LEFT(Table1[[#This Row],[category &amp; sub-category]],SEARCH("/",Table1[[#This Row],[category &amp; sub-category]],1)-1)</f>
        <v>theater</v>
      </c>
      <c r="T310" t="str">
        <f>RIGHT(Table1[[#This Row],[category &amp; sub-category]],LEN(Table1[[#This Row],[category &amp; sub-category]])-SEARCH("/",Table1[[#This Row],[category &amp; sub-category]],1))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(Table1[[#This Row],[pledged]]/Table1[[#This Row],[goal]])*100</f>
        <v>75.292682926829272</v>
      </c>
      <c r="G311" t="s">
        <v>74</v>
      </c>
      <c r="H311">
        <v>75</v>
      </c>
      <c r="I311" s="4">
        <f>IFERROR(Table1[[#This Row],[pledged]]/Table1[[#This Row],[backers_count]],0)</f>
        <v>41.16</v>
      </c>
      <c r="J311" t="s">
        <v>21</v>
      </c>
      <c r="K311" t="s">
        <v>22</v>
      </c>
      <c r="L311">
        <v>1316581200</v>
      </c>
      <c r="M311" s="9">
        <f>(((Table1[[#This Row],[launched_at]]/60)/60)/24)+DATE(1970,1,1)</f>
        <v>40807.208333333336</v>
      </c>
      <c r="N311">
        <v>1318309200</v>
      </c>
      <c r="O311" s="9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LEFT(Table1[[#This Row],[category &amp; sub-category]],SEARCH("/",Table1[[#This Row],[category &amp; sub-category]],1)-1)</f>
        <v>music</v>
      </c>
      <c r="T311" t="str">
        <f>RIGHT(Table1[[#This Row],[category &amp; sub-category]],LEN(Table1[[#This Row],[category &amp; sub-category]])-SEARCH("/",Table1[[#This Row],[category &amp; sub-category]],1))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(Table1[[#This Row],[pledged]]/Table1[[#This Row],[goal]])*100</f>
        <v>20.333333333333332</v>
      </c>
      <c r="G312" t="s">
        <v>14</v>
      </c>
      <c r="H312">
        <v>16</v>
      </c>
      <c r="I312" s="4">
        <f>IFERROR(Table1[[#This Row],[pledged]]/Table1[[#This Row],[backers_count]],0)</f>
        <v>99.125</v>
      </c>
      <c r="J312" t="s">
        <v>21</v>
      </c>
      <c r="K312" t="s">
        <v>22</v>
      </c>
      <c r="L312">
        <v>1270789200</v>
      </c>
      <c r="M312" s="9">
        <f>(((Table1[[#This Row],[launched_at]]/60)/60)/24)+DATE(1970,1,1)</f>
        <v>40277.208333333336</v>
      </c>
      <c r="N312">
        <v>1272171600</v>
      </c>
      <c r="O312" s="9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LEFT(Table1[[#This Row],[category &amp; sub-category]],SEARCH("/",Table1[[#This Row],[category &amp; sub-category]],1)-1)</f>
        <v>games</v>
      </c>
      <c r="T312" t="str">
        <f>RIGHT(Table1[[#This Row],[category &amp; sub-category]],LEN(Table1[[#This Row],[category &amp; sub-category]])-SEARCH("/",Table1[[#This Row],[category &amp; sub-category]],1))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(Table1[[#This Row],[pledged]]/Table1[[#This Row],[goal]])*100</f>
        <v>203.36507936507937</v>
      </c>
      <c r="G313" t="s">
        <v>20</v>
      </c>
      <c r="H313">
        <v>121</v>
      </c>
      <c r="I313" s="4">
        <f>IFERROR(Table1[[#This Row],[pledged]]/Table1[[#This Row],[backers_count]],0)</f>
        <v>105.88429752066116</v>
      </c>
      <c r="J313" t="s">
        <v>21</v>
      </c>
      <c r="K313" t="s">
        <v>22</v>
      </c>
      <c r="L313">
        <v>1297836000</v>
      </c>
      <c r="M313" s="9">
        <f>(((Table1[[#This Row],[launched_at]]/60)/60)/24)+DATE(1970,1,1)</f>
        <v>40590.25</v>
      </c>
      <c r="N313">
        <v>1298872800</v>
      </c>
      <c r="O313" s="9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LEFT(Table1[[#This Row],[category &amp; sub-category]],SEARCH("/",Table1[[#This Row],[category &amp; sub-category]],1)-1)</f>
        <v>theater</v>
      </c>
      <c r="T313" t="str">
        <f>RIGHT(Table1[[#This Row],[category &amp; sub-category]],LEN(Table1[[#This Row],[category &amp; sub-category]])-SEARCH("/",Table1[[#This Row],[category &amp; sub-category]],1))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(Table1[[#This Row],[pledged]]/Table1[[#This Row],[goal]])*100</f>
        <v>310.2284263959391</v>
      </c>
      <c r="G314" t="s">
        <v>20</v>
      </c>
      <c r="H314">
        <v>3742</v>
      </c>
      <c r="I314" s="4">
        <f>IFERROR(Table1[[#This Row],[pledged]]/Table1[[#This Row],[backers_count]],0)</f>
        <v>48.996525921966864</v>
      </c>
      <c r="J314" t="s">
        <v>21</v>
      </c>
      <c r="K314" t="s">
        <v>22</v>
      </c>
      <c r="L314">
        <v>1382677200</v>
      </c>
      <c r="M314" s="9">
        <f>(((Table1[[#This Row],[launched_at]]/60)/60)/24)+DATE(1970,1,1)</f>
        <v>41572.208333333336</v>
      </c>
      <c r="N314">
        <v>1383282000</v>
      </c>
      <c r="O314" s="9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LEFT(Table1[[#This Row],[category &amp; sub-category]],SEARCH("/",Table1[[#This Row],[category &amp; sub-category]],1)-1)</f>
        <v>theater</v>
      </c>
      <c r="T314" t="str">
        <f>RIGHT(Table1[[#This Row],[category &amp; sub-category]],LEN(Table1[[#This Row],[category &amp; sub-category]])-SEARCH("/",Table1[[#This Row],[category &amp; sub-category]],1))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(Table1[[#This Row],[pledged]]/Table1[[#This Row],[goal]])*100</f>
        <v>395.31818181818181</v>
      </c>
      <c r="G315" t="s">
        <v>20</v>
      </c>
      <c r="H315">
        <v>223</v>
      </c>
      <c r="I315" s="4">
        <f>IFERROR(Table1[[#This Row],[pledged]]/Table1[[#This Row],[backers_count]],0)</f>
        <v>39</v>
      </c>
      <c r="J315" t="s">
        <v>21</v>
      </c>
      <c r="K315" t="s">
        <v>22</v>
      </c>
      <c r="L315">
        <v>1330322400</v>
      </c>
      <c r="M315" s="9">
        <f>(((Table1[[#This Row],[launched_at]]/60)/60)/24)+DATE(1970,1,1)</f>
        <v>40966.25</v>
      </c>
      <c r="N315">
        <v>1330495200</v>
      </c>
      <c r="O315" s="9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LEFT(Table1[[#This Row],[category &amp; sub-category]],SEARCH("/",Table1[[#This Row],[category &amp; sub-category]],1)-1)</f>
        <v>music</v>
      </c>
      <c r="T315" t="str">
        <f>RIGHT(Table1[[#This Row],[category &amp; sub-category]],LEN(Table1[[#This Row],[category &amp; sub-category]])-SEARCH("/",Table1[[#This Row],[category &amp; sub-category]],1))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(Table1[[#This Row],[pledged]]/Table1[[#This Row],[goal]])*100</f>
        <v>294.71428571428572</v>
      </c>
      <c r="G316" t="s">
        <v>20</v>
      </c>
      <c r="H316">
        <v>133</v>
      </c>
      <c r="I316" s="4">
        <f>IFERROR(Table1[[#This Row],[pledged]]/Table1[[#This Row],[backers_count]],0)</f>
        <v>31.022556390977442</v>
      </c>
      <c r="J316" t="s">
        <v>21</v>
      </c>
      <c r="K316" t="s">
        <v>22</v>
      </c>
      <c r="L316">
        <v>1552366800</v>
      </c>
      <c r="M316" s="9">
        <f>(((Table1[[#This Row],[launched_at]]/60)/60)/24)+DATE(1970,1,1)</f>
        <v>43536.208333333328</v>
      </c>
      <c r="N316">
        <v>1552798800</v>
      </c>
      <c r="O316" s="9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LEFT(Table1[[#This Row],[category &amp; sub-category]],SEARCH("/",Table1[[#This Row],[category &amp; sub-category]],1)-1)</f>
        <v>film &amp; video</v>
      </c>
      <c r="T316" t="str">
        <f>RIGHT(Table1[[#This Row],[category &amp; sub-category]],LEN(Table1[[#This Row],[category &amp; sub-category]])-SEARCH("/",Table1[[#This Row],[category &amp; sub-category]],1))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(Table1[[#This Row],[pledged]]/Table1[[#This Row],[goal]])*100</f>
        <v>33.89473684210526</v>
      </c>
      <c r="G317" t="s">
        <v>14</v>
      </c>
      <c r="H317">
        <v>31</v>
      </c>
      <c r="I317" s="4">
        <f>IFERROR(Table1[[#This Row],[pledged]]/Table1[[#This Row],[backers_count]],0)</f>
        <v>103.87096774193549</v>
      </c>
      <c r="J317" t="s">
        <v>21</v>
      </c>
      <c r="K317" t="s">
        <v>22</v>
      </c>
      <c r="L317">
        <v>1400907600</v>
      </c>
      <c r="M317" s="9">
        <f>(((Table1[[#This Row],[launched_at]]/60)/60)/24)+DATE(1970,1,1)</f>
        <v>41783.208333333336</v>
      </c>
      <c r="N317">
        <v>1403413200</v>
      </c>
      <c r="O317" s="9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LEFT(Table1[[#This Row],[category &amp; sub-category]],SEARCH("/",Table1[[#This Row],[category &amp; sub-category]],1)-1)</f>
        <v>theater</v>
      </c>
      <c r="T317" t="str">
        <f>RIGHT(Table1[[#This Row],[category &amp; sub-category]],LEN(Table1[[#This Row],[category &amp; sub-category]])-SEARCH("/",Table1[[#This Row],[category &amp; sub-category]],1))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(Table1[[#This Row],[pledged]]/Table1[[#This Row],[goal]])*100</f>
        <v>66.677083333333329</v>
      </c>
      <c r="G318" t="s">
        <v>14</v>
      </c>
      <c r="H318">
        <v>108</v>
      </c>
      <c r="I318" s="4">
        <f>IFERROR(Table1[[#This Row],[pledged]]/Table1[[#This Row],[backers_count]],0)</f>
        <v>59.268518518518519</v>
      </c>
      <c r="J318" t="s">
        <v>107</v>
      </c>
      <c r="K318" t="s">
        <v>108</v>
      </c>
      <c r="L318">
        <v>1574143200</v>
      </c>
      <c r="M318" s="9">
        <f>(((Table1[[#This Row],[launched_at]]/60)/60)/24)+DATE(1970,1,1)</f>
        <v>43788.25</v>
      </c>
      <c r="N318">
        <v>1574229600</v>
      </c>
      <c r="O318" s="9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LEFT(Table1[[#This Row],[category &amp; sub-category]],SEARCH("/",Table1[[#This Row],[category &amp; sub-category]],1)-1)</f>
        <v>food</v>
      </c>
      <c r="T318" t="str">
        <f>RIGHT(Table1[[#This Row],[category &amp; sub-category]],LEN(Table1[[#This Row],[category &amp; sub-category]])-SEARCH("/",Table1[[#This Row],[category &amp; sub-category]],1))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(Table1[[#This Row],[pledged]]/Table1[[#This Row],[goal]])*100</f>
        <v>19.227272727272727</v>
      </c>
      <c r="G319" t="s">
        <v>14</v>
      </c>
      <c r="H319">
        <v>30</v>
      </c>
      <c r="I319" s="4">
        <f>IFERROR(Table1[[#This Row],[pledged]]/Table1[[#This Row],[backers_count]],0)</f>
        <v>42.3</v>
      </c>
      <c r="J319" t="s">
        <v>21</v>
      </c>
      <c r="K319" t="s">
        <v>22</v>
      </c>
      <c r="L319">
        <v>1494738000</v>
      </c>
      <c r="M319" s="9">
        <f>(((Table1[[#This Row],[launched_at]]/60)/60)/24)+DATE(1970,1,1)</f>
        <v>42869.208333333328</v>
      </c>
      <c r="N319">
        <v>1495861200</v>
      </c>
      <c r="O319" s="9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LEFT(Table1[[#This Row],[category &amp; sub-category]],SEARCH("/",Table1[[#This Row],[category &amp; sub-category]],1)-1)</f>
        <v>theater</v>
      </c>
      <c r="T319" t="str">
        <f>RIGHT(Table1[[#This Row],[category &amp; sub-category]],LEN(Table1[[#This Row],[category &amp; sub-category]])-SEARCH("/",Table1[[#This Row],[category &amp; sub-category]],1))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(Table1[[#This Row],[pledged]]/Table1[[#This Row],[goal]])*100</f>
        <v>15.842105263157894</v>
      </c>
      <c r="G320" t="s">
        <v>14</v>
      </c>
      <c r="H320">
        <v>17</v>
      </c>
      <c r="I320" s="4">
        <f>IFERROR(Table1[[#This Row],[pledged]]/Table1[[#This Row],[backers_count]],0)</f>
        <v>53.117647058823529</v>
      </c>
      <c r="J320" t="s">
        <v>21</v>
      </c>
      <c r="K320" t="s">
        <v>22</v>
      </c>
      <c r="L320">
        <v>1392357600</v>
      </c>
      <c r="M320" s="9">
        <f>(((Table1[[#This Row],[launched_at]]/60)/60)/24)+DATE(1970,1,1)</f>
        <v>41684.25</v>
      </c>
      <c r="N320">
        <v>1392530400</v>
      </c>
      <c r="O320" s="9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LEFT(Table1[[#This Row],[category &amp; sub-category]],SEARCH("/",Table1[[#This Row],[category &amp; sub-category]],1)-1)</f>
        <v>music</v>
      </c>
      <c r="T320" t="str">
        <f>RIGHT(Table1[[#This Row],[category &amp; sub-category]],LEN(Table1[[#This Row],[category &amp; sub-category]])-SEARCH("/",Table1[[#This Row],[category &amp; sub-category]],1))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(Table1[[#This Row],[pledged]]/Table1[[#This Row],[goal]])*100</f>
        <v>38.702380952380956</v>
      </c>
      <c r="G321" t="s">
        <v>74</v>
      </c>
      <c r="H321">
        <v>64</v>
      </c>
      <c r="I321" s="4">
        <f>IFERROR(Table1[[#This Row],[pledged]]/Table1[[#This Row],[backers_count]],0)</f>
        <v>50.796875</v>
      </c>
      <c r="J321" t="s">
        <v>21</v>
      </c>
      <c r="K321" t="s">
        <v>22</v>
      </c>
      <c r="L321">
        <v>1281589200</v>
      </c>
      <c r="M321" s="9">
        <f>(((Table1[[#This Row],[launched_at]]/60)/60)/24)+DATE(1970,1,1)</f>
        <v>40402.208333333336</v>
      </c>
      <c r="N321">
        <v>1283662800</v>
      </c>
      <c r="O321" s="9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LEFT(Table1[[#This Row],[category &amp; sub-category]],SEARCH("/",Table1[[#This Row],[category &amp; sub-category]],1)-1)</f>
        <v>technology</v>
      </c>
      <c r="T321" t="str">
        <f>RIGHT(Table1[[#This Row],[category &amp; sub-category]],LEN(Table1[[#This Row],[category &amp; sub-category]])-SEARCH("/",Table1[[#This Row],[category &amp; sub-category]],1))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(Table1[[#This Row],[pledged]]/Table1[[#This Row],[goal]])*100</f>
        <v>9.5876777251184837</v>
      </c>
      <c r="G322" t="s">
        <v>14</v>
      </c>
      <c r="H322">
        <v>80</v>
      </c>
      <c r="I322" s="4">
        <f>IFERROR(Table1[[#This Row],[pledged]]/Table1[[#This Row],[backers_count]],0)</f>
        <v>101.15</v>
      </c>
      <c r="J322" t="s">
        <v>21</v>
      </c>
      <c r="K322" t="s">
        <v>22</v>
      </c>
      <c r="L322">
        <v>1305003600</v>
      </c>
      <c r="M322" s="9">
        <f>(((Table1[[#This Row],[launched_at]]/60)/60)/24)+DATE(1970,1,1)</f>
        <v>40673.208333333336</v>
      </c>
      <c r="N322">
        <v>1305781200</v>
      </c>
      <c r="O322" s="9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LEFT(Table1[[#This Row],[category &amp; sub-category]],SEARCH("/",Table1[[#This Row],[category &amp; sub-category]],1)-1)</f>
        <v>publishing</v>
      </c>
      <c r="T322" t="str">
        <f>RIGHT(Table1[[#This Row],[category &amp; sub-category]],LEN(Table1[[#This Row],[category &amp; sub-category]])-SEARCH("/",Table1[[#This Row],[category &amp; sub-category]],1))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(Table1[[#This Row],[pledged]]/Table1[[#This Row],[goal]])*100</f>
        <v>94.144366197183089</v>
      </c>
      <c r="G323" t="s">
        <v>14</v>
      </c>
      <c r="H323">
        <v>2468</v>
      </c>
      <c r="I323" s="4">
        <f>IFERROR(Table1[[#This Row],[pledged]]/Table1[[#This Row],[backers_count]],0)</f>
        <v>65.000810372771468</v>
      </c>
      <c r="J323" t="s">
        <v>21</v>
      </c>
      <c r="K323" t="s">
        <v>22</v>
      </c>
      <c r="L323">
        <v>1301634000</v>
      </c>
      <c r="M323" s="9">
        <f>(((Table1[[#This Row],[launched_at]]/60)/60)/24)+DATE(1970,1,1)</f>
        <v>40634.208333333336</v>
      </c>
      <c r="N323">
        <v>1302325200</v>
      </c>
      <c r="O323" s="9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LEFT(Table1[[#This Row],[category &amp; sub-category]],SEARCH("/",Table1[[#This Row],[category &amp; sub-category]],1)-1)</f>
        <v>film &amp; video</v>
      </c>
      <c r="T323" t="str">
        <f>RIGHT(Table1[[#This Row],[category &amp; sub-category]],LEN(Table1[[#This Row],[category &amp; sub-category]])-SEARCH("/",Table1[[#This Row],[category &amp; sub-category]],1))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(Table1[[#This Row],[pledged]]/Table1[[#This Row],[goal]])*100</f>
        <v>166.56234096692114</v>
      </c>
      <c r="G324" t="s">
        <v>20</v>
      </c>
      <c r="H324">
        <v>5168</v>
      </c>
      <c r="I324" s="4">
        <f>IFERROR(Table1[[#This Row],[pledged]]/Table1[[#This Row],[backers_count]],0)</f>
        <v>37.998645510835914</v>
      </c>
      <c r="J324" t="s">
        <v>21</v>
      </c>
      <c r="K324" t="s">
        <v>22</v>
      </c>
      <c r="L324">
        <v>1290664800</v>
      </c>
      <c r="M324" s="9">
        <f>(((Table1[[#This Row],[launched_at]]/60)/60)/24)+DATE(1970,1,1)</f>
        <v>40507.25</v>
      </c>
      <c r="N324">
        <v>1291788000</v>
      </c>
      <c r="O324" s="9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LEFT(Table1[[#This Row],[category &amp; sub-category]],SEARCH("/",Table1[[#This Row],[category &amp; sub-category]],1)-1)</f>
        <v>theater</v>
      </c>
      <c r="T324" t="str">
        <f>RIGHT(Table1[[#This Row],[category &amp; sub-category]],LEN(Table1[[#This Row],[category &amp; sub-category]])-SEARCH("/",Table1[[#This Row],[category &amp; sub-category]],1))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(Table1[[#This Row],[pledged]]/Table1[[#This Row],[goal]])*100</f>
        <v>24.134831460674157</v>
      </c>
      <c r="G325" t="s">
        <v>14</v>
      </c>
      <c r="H325">
        <v>26</v>
      </c>
      <c r="I325" s="4">
        <f>IFERROR(Table1[[#This Row],[pledged]]/Table1[[#This Row],[backers_count]],0)</f>
        <v>82.615384615384613</v>
      </c>
      <c r="J325" t="s">
        <v>40</v>
      </c>
      <c r="K325" t="s">
        <v>41</v>
      </c>
      <c r="L325">
        <v>1395896400</v>
      </c>
      <c r="M325" s="9">
        <f>(((Table1[[#This Row],[launched_at]]/60)/60)/24)+DATE(1970,1,1)</f>
        <v>41725.208333333336</v>
      </c>
      <c r="N325">
        <v>1396069200</v>
      </c>
      <c r="O325" s="9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LEFT(Table1[[#This Row],[category &amp; sub-category]],SEARCH("/",Table1[[#This Row],[category &amp; sub-category]],1)-1)</f>
        <v>film &amp; video</v>
      </c>
      <c r="T325" t="str">
        <f>RIGHT(Table1[[#This Row],[category &amp; sub-category]],LEN(Table1[[#This Row],[category &amp; sub-category]])-SEARCH("/",Table1[[#This Row],[category &amp; sub-category]],1))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(Table1[[#This Row],[pledged]]/Table1[[#This Row],[goal]])*100</f>
        <v>164.05633802816902</v>
      </c>
      <c r="G326" t="s">
        <v>20</v>
      </c>
      <c r="H326">
        <v>307</v>
      </c>
      <c r="I326" s="4">
        <f>IFERROR(Table1[[#This Row],[pledged]]/Table1[[#This Row],[backers_count]],0)</f>
        <v>37.941368078175898</v>
      </c>
      <c r="J326" t="s">
        <v>21</v>
      </c>
      <c r="K326" t="s">
        <v>22</v>
      </c>
      <c r="L326">
        <v>1434862800</v>
      </c>
      <c r="M326" s="9">
        <f>(((Table1[[#This Row],[launched_at]]/60)/60)/24)+DATE(1970,1,1)</f>
        <v>42176.208333333328</v>
      </c>
      <c r="N326">
        <v>1435899600</v>
      </c>
      <c r="O326" s="9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LEFT(Table1[[#This Row],[category &amp; sub-category]],SEARCH("/",Table1[[#This Row],[category &amp; sub-category]],1)-1)</f>
        <v>theater</v>
      </c>
      <c r="T326" t="str">
        <f>RIGHT(Table1[[#This Row],[category &amp; sub-category]],LEN(Table1[[#This Row],[category &amp; sub-category]])-SEARCH("/",Table1[[#This Row],[category &amp; sub-category]],1))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(Table1[[#This Row],[pledged]]/Table1[[#This Row],[goal]])*100</f>
        <v>90.723076923076931</v>
      </c>
      <c r="G327" t="s">
        <v>14</v>
      </c>
      <c r="H327">
        <v>73</v>
      </c>
      <c r="I327" s="4">
        <f>IFERROR(Table1[[#This Row],[pledged]]/Table1[[#This Row],[backers_count]],0)</f>
        <v>80.780821917808225</v>
      </c>
      <c r="J327" t="s">
        <v>21</v>
      </c>
      <c r="K327" t="s">
        <v>22</v>
      </c>
      <c r="L327">
        <v>1529125200</v>
      </c>
      <c r="M327" s="9">
        <f>(((Table1[[#This Row],[launched_at]]/60)/60)/24)+DATE(1970,1,1)</f>
        <v>43267.208333333328</v>
      </c>
      <c r="N327">
        <v>1531112400</v>
      </c>
      <c r="O327" s="9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LEFT(Table1[[#This Row],[category &amp; sub-category]],SEARCH("/",Table1[[#This Row],[category &amp; sub-category]],1)-1)</f>
        <v>theater</v>
      </c>
      <c r="T327" t="str">
        <f>RIGHT(Table1[[#This Row],[category &amp; sub-category]],LEN(Table1[[#This Row],[category &amp; sub-category]])-SEARCH("/",Table1[[#This Row],[category &amp; sub-category]],1))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(Table1[[#This Row],[pledged]]/Table1[[#This Row],[goal]])*100</f>
        <v>46.194444444444443</v>
      </c>
      <c r="G328" t="s">
        <v>14</v>
      </c>
      <c r="H328">
        <v>128</v>
      </c>
      <c r="I328" s="4">
        <f>IFERROR(Table1[[#This Row],[pledged]]/Table1[[#This Row],[backers_count]],0)</f>
        <v>25.984375</v>
      </c>
      <c r="J328" t="s">
        <v>21</v>
      </c>
      <c r="K328" t="s">
        <v>22</v>
      </c>
      <c r="L328">
        <v>1451109600</v>
      </c>
      <c r="M328" s="9">
        <f>(((Table1[[#This Row],[launched_at]]/60)/60)/24)+DATE(1970,1,1)</f>
        <v>42364.25</v>
      </c>
      <c r="N328">
        <v>1451628000</v>
      </c>
      <c r="O328" s="9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LEFT(Table1[[#This Row],[category &amp; sub-category]],SEARCH("/",Table1[[#This Row],[category &amp; sub-category]],1)-1)</f>
        <v>film &amp; video</v>
      </c>
      <c r="T328" t="str">
        <f>RIGHT(Table1[[#This Row],[category &amp; sub-category]],LEN(Table1[[#This Row],[category &amp; sub-category]])-SEARCH("/",Table1[[#This Row],[category &amp; sub-category]],1))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(Table1[[#This Row],[pledged]]/Table1[[#This Row],[goal]])*100</f>
        <v>38.53846153846154</v>
      </c>
      <c r="G329" t="s">
        <v>14</v>
      </c>
      <c r="H329">
        <v>33</v>
      </c>
      <c r="I329" s="4">
        <f>IFERROR(Table1[[#This Row],[pledged]]/Table1[[#This Row],[backers_count]],0)</f>
        <v>30.363636363636363</v>
      </c>
      <c r="J329" t="s">
        <v>21</v>
      </c>
      <c r="K329" t="s">
        <v>22</v>
      </c>
      <c r="L329">
        <v>1566968400</v>
      </c>
      <c r="M329" s="9">
        <f>(((Table1[[#This Row],[launched_at]]/60)/60)/24)+DATE(1970,1,1)</f>
        <v>43705.208333333328</v>
      </c>
      <c r="N329">
        <v>1567314000</v>
      </c>
      <c r="O329" s="9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LEFT(Table1[[#This Row],[category &amp; sub-category]],SEARCH("/",Table1[[#This Row],[category &amp; sub-category]],1)-1)</f>
        <v>theater</v>
      </c>
      <c r="T329" t="str">
        <f>RIGHT(Table1[[#This Row],[category &amp; sub-category]],LEN(Table1[[#This Row],[category &amp; sub-category]])-SEARCH("/",Table1[[#This Row],[category &amp; sub-category]],1))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(Table1[[#This Row],[pledged]]/Table1[[#This Row],[goal]])*100</f>
        <v>133.56231003039514</v>
      </c>
      <c r="G330" t="s">
        <v>20</v>
      </c>
      <c r="H330">
        <v>2441</v>
      </c>
      <c r="I330" s="4">
        <f>IFERROR(Table1[[#This Row],[pledged]]/Table1[[#This Row],[backers_count]],0)</f>
        <v>54.004916018025398</v>
      </c>
      <c r="J330" t="s">
        <v>21</v>
      </c>
      <c r="K330" t="s">
        <v>22</v>
      </c>
      <c r="L330">
        <v>1543557600</v>
      </c>
      <c r="M330" s="9">
        <f>(((Table1[[#This Row],[launched_at]]/60)/60)/24)+DATE(1970,1,1)</f>
        <v>43434.25</v>
      </c>
      <c r="N330">
        <v>1544508000</v>
      </c>
      <c r="O330" s="9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LEFT(Table1[[#This Row],[category &amp; sub-category]],SEARCH("/",Table1[[#This Row],[category &amp; sub-category]],1)-1)</f>
        <v>music</v>
      </c>
      <c r="T330" t="str">
        <f>RIGHT(Table1[[#This Row],[category &amp; sub-category]],LEN(Table1[[#This Row],[category &amp; sub-category]])-SEARCH("/",Table1[[#This Row],[category &amp; sub-category]],1))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(Table1[[#This Row],[pledged]]/Table1[[#This Row],[goal]])*100</f>
        <v>22.896588486140725</v>
      </c>
      <c r="G331" t="s">
        <v>47</v>
      </c>
      <c r="H331">
        <v>211</v>
      </c>
      <c r="I331" s="4">
        <f>IFERROR(Table1[[#This Row],[pledged]]/Table1[[#This Row],[backers_count]],0)</f>
        <v>101.78672985781991</v>
      </c>
      <c r="J331" t="s">
        <v>21</v>
      </c>
      <c r="K331" t="s">
        <v>22</v>
      </c>
      <c r="L331">
        <v>1481522400</v>
      </c>
      <c r="M331" s="9">
        <f>(((Table1[[#This Row],[launched_at]]/60)/60)/24)+DATE(1970,1,1)</f>
        <v>42716.25</v>
      </c>
      <c r="N331">
        <v>1482472800</v>
      </c>
      <c r="O331" s="9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LEFT(Table1[[#This Row],[category &amp; sub-category]],SEARCH("/",Table1[[#This Row],[category &amp; sub-category]],1)-1)</f>
        <v>games</v>
      </c>
      <c r="T331" t="str">
        <f>RIGHT(Table1[[#This Row],[category &amp; sub-category]],LEN(Table1[[#This Row],[category &amp; sub-category]])-SEARCH("/",Table1[[#This Row],[category &amp; sub-category]],1))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(Table1[[#This Row],[pledged]]/Table1[[#This Row],[goal]])*100</f>
        <v>184.95548961424333</v>
      </c>
      <c r="G332" t="s">
        <v>20</v>
      </c>
      <c r="H332">
        <v>1385</v>
      </c>
      <c r="I332" s="4">
        <f>IFERROR(Table1[[#This Row],[pledged]]/Table1[[#This Row],[backers_count]],0)</f>
        <v>45.003610108303249</v>
      </c>
      <c r="J332" t="s">
        <v>40</v>
      </c>
      <c r="K332" t="s">
        <v>41</v>
      </c>
      <c r="L332">
        <v>1512712800</v>
      </c>
      <c r="M332" s="9">
        <f>(((Table1[[#This Row],[launched_at]]/60)/60)/24)+DATE(1970,1,1)</f>
        <v>43077.25</v>
      </c>
      <c r="N332">
        <v>1512799200</v>
      </c>
      <c r="O332" s="9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LEFT(Table1[[#This Row],[category &amp; sub-category]],SEARCH("/",Table1[[#This Row],[category &amp; sub-category]],1)-1)</f>
        <v>film &amp; video</v>
      </c>
      <c r="T332" t="str">
        <f>RIGHT(Table1[[#This Row],[category &amp; sub-category]],LEN(Table1[[#This Row],[category &amp; sub-category]])-SEARCH("/",Table1[[#This Row],[category &amp; sub-category]],1))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(Table1[[#This Row],[pledged]]/Table1[[#This Row],[goal]])*100</f>
        <v>443.72727272727275</v>
      </c>
      <c r="G333" t="s">
        <v>20</v>
      </c>
      <c r="H333">
        <v>190</v>
      </c>
      <c r="I333" s="4">
        <f>IFERROR(Table1[[#This Row],[pledged]]/Table1[[#This Row],[backers_count]],0)</f>
        <v>77.068421052631578</v>
      </c>
      <c r="J333" t="s">
        <v>21</v>
      </c>
      <c r="K333" t="s">
        <v>22</v>
      </c>
      <c r="L333">
        <v>1324274400</v>
      </c>
      <c r="M333" s="9">
        <f>(((Table1[[#This Row],[launched_at]]/60)/60)/24)+DATE(1970,1,1)</f>
        <v>40896.25</v>
      </c>
      <c r="N333">
        <v>1324360800</v>
      </c>
      <c r="O333" s="9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LEFT(Table1[[#This Row],[category &amp; sub-category]],SEARCH("/",Table1[[#This Row],[category &amp; sub-category]],1)-1)</f>
        <v>food</v>
      </c>
      <c r="T333" t="str">
        <f>RIGHT(Table1[[#This Row],[category &amp; sub-category]],LEN(Table1[[#This Row],[category &amp; sub-category]])-SEARCH("/",Table1[[#This Row],[category &amp; sub-category]],1))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(Table1[[#This Row],[pledged]]/Table1[[#This Row],[goal]])*100</f>
        <v>199.9806763285024</v>
      </c>
      <c r="G334" t="s">
        <v>20</v>
      </c>
      <c r="H334">
        <v>470</v>
      </c>
      <c r="I334" s="4">
        <f>IFERROR(Table1[[#This Row],[pledged]]/Table1[[#This Row],[backers_count]],0)</f>
        <v>88.076595744680844</v>
      </c>
      <c r="J334" t="s">
        <v>21</v>
      </c>
      <c r="K334" t="s">
        <v>22</v>
      </c>
      <c r="L334">
        <v>1364446800</v>
      </c>
      <c r="M334" s="9">
        <f>(((Table1[[#This Row],[launched_at]]/60)/60)/24)+DATE(1970,1,1)</f>
        <v>41361.208333333336</v>
      </c>
      <c r="N334">
        <v>1364533200</v>
      </c>
      <c r="O334" s="9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LEFT(Table1[[#This Row],[category &amp; sub-category]],SEARCH("/",Table1[[#This Row],[category &amp; sub-category]],1)-1)</f>
        <v>technology</v>
      </c>
      <c r="T334" t="str">
        <f>RIGHT(Table1[[#This Row],[category &amp; sub-category]],LEN(Table1[[#This Row],[category &amp; sub-category]])-SEARCH("/",Table1[[#This Row],[category &amp; sub-category]],1))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(Table1[[#This Row],[pledged]]/Table1[[#This Row],[goal]])*100</f>
        <v>123.95833333333333</v>
      </c>
      <c r="G335" t="s">
        <v>20</v>
      </c>
      <c r="H335">
        <v>253</v>
      </c>
      <c r="I335" s="4">
        <f>IFERROR(Table1[[#This Row],[pledged]]/Table1[[#This Row],[backers_count]],0)</f>
        <v>47.035573122529641</v>
      </c>
      <c r="J335" t="s">
        <v>21</v>
      </c>
      <c r="K335" t="s">
        <v>22</v>
      </c>
      <c r="L335">
        <v>1542693600</v>
      </c>
      <c r="M335" s="9">
        <f>(((Table1[[#This Row],[launched_at]]/60)/60)/24)+DATE(1970,1,1)</f>
        <v>43424.25</v>
      </c>
      <c r="N335">
        <v>1545112800</v>
      </c>
      <c r="O335" s="9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LEFT(Table1[[#This Row],[category &amp; sub-category]],SEARCH("/",Table1[[#This Row],[category &amp; sub-category]],1)-1)</f>
        <v>theater</v>
      </c>
      <c r="T335" t="str">
        <f>RIGHT(Table1[[#This Row],[category &amp; sub-category]],LEN(Table1[[#This Row],[category &amp; sub-category]])-SEARCH("/",Table1[[#This Row],[category &amp; sub-category]],1))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(Table1[[#This Row],[pledged]]/Table1[[#This Row],[goal]])*100</f>
        <v>186.61329305135951</v>
      </c>
      <c r="G336" t="s">
        <v>20</v>
      </c>
      <c r="H336">
        <v>1113</v>
      </c>
      <c r="I336" s="4">
        <f>IFERROR(Table1[[#This Row],[pledged]]/Table1[[#This Row],[backers_count]],0)</f>
        <v>110.99550763701707</v>
      </c>
      <c r="J336" t="s">
        <v>21</v>
      </c>
      <c r="K336" t="s">
        <v>22</v>
      </c>
      <c r="L336">
        <v>1515564000</v>
      </c>
      <c r="M336" s="9">
        <f>(((Table1[[#This Row],[launched_at]]/60)/60)/24)+DATE(1970,1,1)</f>
        <v>43110.25</v>
      </c>
      <c r="N336">
        <v>1516168800</v>
      </c>
      <c r="O336" s="9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LEFT(Table1[[#This Row],[category &amp; sub-category]],SEARCH("/",Table1[[#This Row],[category &amp; sub-category]],1)-1)</f>
        <v>music</v>
      </c>
      <c r="T336" t="str">
        <f>RIGHT(Table1[[#This Row],[category &amp; sub-category]],LEN(Table1[[#This Row],[category &amp; sub-category]])-SEARCH("/",Table1[[#This Row],[category &amp; sub-category]],1))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(Table1[[#This Row],[pledged]]/Table1[[#This Row],[goal]])*100</f>
        <v>114.28538550057536</v>
      </c>
      <c r="G337" t="s">
        <v>20</v>
      </c>
      <c r="H337">
        <v>2283</v>
      </c>
      <c r="I337" s="4">
        <f>IFERROR(Table1[[#This Row],[pledged]]/Table1[[#This Row],[backers_count]],0)</f>
        <v>87.003066141042481</v>
      </c>
      <c r="J337" t="s">
        <v>21</v>
      </c>
      <c r="K337" t="s">
        <v>22</v>
      </c>
      <c r="L337">
        <v>1573797600</v>
      </c>
      <c r="M337" s="9">
        <f>(((Table1[[#This Row],[launched_at]]/60)/60)/24)+DATE(1970,1,1)</f>
        <v>43784.25</v>
      </c>
      <c r="N337">
        <v>1574920800</v>
      </c>
      <c r="O337" s="9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LEFT(Table1[[#This Row],[category &amp; sub-category]],SEARCH("/",Table1[[#This Row],[category &amp; sub-category]],1)-1)</f>
        <v>music</v>
      </c>
      <c r="T337" t="str">
        <f>RIGHT(Table1[[#This Row],[category &amp; sub-category]],LEN(Table1[[#This Row],[category &amp; sub-category]])-SEARCH("/",Table1[[#This Row],[category &amp; sub-category]],1))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(Table1[[#This Row],[pledged]]/Table1[[#This Row],[goal]])*100</f>
        <v>97.032531824611041</v>
      </c>
      <c r="G338" t="s">
        <v>14</v>
      </c>
      <c r="H338">
        <v>1072</v>
      </c>
      <c r="I338" s="4">
        <f>IFERROR(Table1[[#This Row],[pledged]]/Table1[[#This Row],[backers_count]],0)</f>
        <v>63.994402985074629</v>
      </c>
      <c r="J338" t="s">
        <v>21</v>
      </c>
      <c r="K338" t="s">
        <v>22</v>
      </c>
      <c r="L338">
        <v>1292392800</v>
      </c>
      <c r="M338" s="9">
        <f>(((Table1[[#This Row],[launched_at]]/60)/60)/24)+DATE(1970,1,1)</f>
        <v>40527.25</v>
      </c>
      <c r="N338">
        <v>1292479200</v>
      </c>
      <c r="O338" s="9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LEFT(Table1[[#This Row],[category &amp; sub-category]],SEARCH("/",Table1[[#This Row],[category &amp; sub-category]],1)-1)</f>
        <v>music</v>
      </c>
      <c r="T338" t="str">
        <f>RIGHT(Table1[[#This Row],[category &amp; sub-category]],LEN(Table1[[#This Row],[category &amp; sub-category]])-SEARCH("/",Table1[[#This Row],[category &amp; sub-category]],1))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(Table1[[#This Row],[pledged]]/Table1[[#This Row],[goal]])*100</f>
        <v>122.81904761904762</v>
      </c>
      <c r="G339" t="s">
        <v>20</v>
      </c>
      <c r="H339">
        <v>1095</v>
      </c>
      <c r="I339" s="4">
        <f>IFERROR(Table1[[#This Row],[pledged]]/Table1[[#This Row],[backers_count]],0)</f>
        <v>105.9945205479452</v>
      </c>
      <c r="J339" t="s">
        <v>21</v>
      </c>
      <c r="K339" t="s">
        <v>22</v>
      </c>
      <c r="L339">
        <v>1573452000</v>
      </c>
      <c r="M339" s="9">
        <f>(((Table1[[#This Row],[launched_at]]/60)/60)/24)+DATE(1970,1,1)</f>
        <v>43780.25</v>
      </c>
      <c r="N339">
        <v>1573538400</v>
      </c>
      <c r="O339" s="9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LEFT(Table1[[#This Row],[category &amp; sub-category]],SEARCH("/",Table1[[#This Row],[category &amp; sub-category]],1)-1)</f>
        <v>theater</v>
      </c>
      <c r="T339" t="str">
        <f>RIGHT(Table1[[#This Row],[category &amp; sub-category]],LEN(Table1[[#This Row],[category &amp; sub-category]])-SEARCH("/",Table1[[#This Row],[category &amp; sub-category]],1))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(Table1[[#This Row],[pledged]]/Table1[[#This Row],[goal]])*100</f>
        <v>179.14326647564468</v>
      </c>
      <c r="G340" t="s">
        <v>20</v>
      </c>
      <c r="H340">
        <v>1690</v>
      </c>
      <c r="I340" s="4">
        <f>IFERROR(Table1[[#This Row],[pledged]]/Table1[[#This Row],[backers_count]],0)</f>
        <v>73.989349112426041</v>
      </c>
      <c r="J340" t="s">
        <v>21</v>
      </c>
      <c r="K340" t="s">
        <v>22</v>
      </c>
      <c r="L340">
        <v>1317790800</v>
      </c>
      <c r="M340" s="9">
        <f>(((Table1[[#This Row],[launched_at]]/60)/60)/24)+DATE(1970,1,1)</f>
        <v>40821.208333333336</v>
      </c>
      <c r="N340">
        <v>1320382800</v>
      </c>
      <c r="O340" s="9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LEFT(Table1[[#This Row],[category &amp; sub-category]],SEARCH("/",Table1[[#This Row],[category &amp; sub-category]],1)-1)</f>
        <v>theater</v>
      </c>
      <c r="T340" t="str">
        <f>RIGHT(Table1[[#This Row],[category &amp; sub-category]],LEN(Table1[[#This Row],[category &amp; sub-category]])-SEARCH("/",Table1[[#This Row],[category &amp; sub-category]],1))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(Table1[[#This Row],[pledged]]/Table1[[#This Row],[goal]])*100</f>
        <v>79.951577402787962</v>
      </c>
      <c r="G341" t="s">
        <v>74</v>
      </c>
      <c r="H341">
        <v>1297</v>
      </c>
      <c r="I341" s="4">
        <f>IFERROR(Table1[[#This Row],[pledged]]/Table1[[#This Row],[backers_count]],0)</f>
        <v>84.02004626060139</v>
      </c>
      <c r="J341" t="s">
        <v>15</v>
      </c>
      <c r="K341" t="s">
        <v>16</v>
      </c>
      <c r="L341">
        <v>1501650000</v>
      </c>
      <c r="M341" s="9">
        <f>(((Table1[[#This Row],[launched_at]]/60)/60)/24)+DATE(1970,1,1)</f>
        <v>42949.208333333328</v>
      </c>
      <c r="N341">
        <v>1502859600</v>
      </c>
      <c r="O341" s="9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LEFT(Table1[[#This Row],[category &amp; sub-category]],SEARCH("/",Table1[[#This Row],[category &amp; sub-category]],1)-1)</f>
        <v>theater</v>
      </c>
      <c r="T341" t="str">
        <f>RIGHT(Table1[[#This Row],[category &amp; sub-category]],LEN(Table1[[#This Row],[category &amp; sub-category]])-SEARCH("/",Table1[[#This Row],[category &amp; sub-category]],1))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(Table1[[#This Row],[pledged]]/Table1[[#This Row],[goal]])*100</f>
        <v>94.242587601078171</v>
      </c>
      <c r="G342" t="s">
        <v>14</v>
      </c>
      <c r="H342">
        <v>393</v>
      </c>
      <c r="I342" s="4">
        <f>IFERROR(Table1[[#This Row],[pledged]]/Table1[[#This Row],[backers_count]],0)</f>
        <v>88.966921119592882</v>
      </c>
      <c r="J342" t="s">
        <v>21</v>
      </c>
      <c r="K342" t="s">
        <v>22</v>
      </c>
      <c r="L342">
        <v>1323669600</v>
      </c>
      <c r="M342" s="9">
        <f>(((Table1[[#This Row],[launched_at]]/60)/60)/24)+DATE(1970,1,1)</f>
        <v>40889.25</v>
      </c>
      <c r="N342">
        <v>1323756000</v>
      </c>
      <c r="O342" s="9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LEFT(Table1[[#This Row],[category &amp; sub-category]],SEARCH("/",Table1[[#This Row],[category &amp; sub-category]],1)-1)</f>
        <v>photography</v>
      </c>
      <c r="T342" t="str">
        <f>RIGHT(Table1[[#This Row],[category &amp; sub-category]],LEN(Table1[[#This Row],[category &amp; sub-category]])-SEARCH("/",Table1[[#This Row],[category &amp; sub-category]],1))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(Table1[[#This Row],[pledged]]/Table1[[#This Row],[goal]])*100</f>
        <v>84.669291338582681</v>
      </c>
      <c r="G343" t="s">
        <v>14</v>
      </c>
      <c r="H343">
        <v>1257</v>
      </c>
      <c r="I343" s="4">
        <f>IFERROR(Table1[[#This Row],[pledged]]/Table1[[#This Row],[backers_count]],0)</f>
        <v>76.990453460620529</v>
      </c>
      <c r="J343" t="s">
        <v>21</v>
      </c>
      <c r="K343" t="s">
        <v>22</v>
      </c>
      <c r="L343">
        <v>1440738000</v>
      </c>
      <c r="M343" s="9">
        <f>(((Table1[[#This Row],[launched_at]]/60)/60)/24)+DATE(1970,1,1)</f>
        <v>42244.208333333328</v>
      </c>
      <c r="N343">
        <v>1441342800</v>
      </c>
      <c r="O343" s="9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LEFT(Table1[[#This Row],[category &amp; sub-category]],SEARCH("/",Table1[[#This Row],[category &amp; sub-category]],1)-1)</f>
        <v>music</v>
      </c>
      <c r="T343" t="str">
        <f>RIGHT(Table1[[#This Row],[category &amp; sub-category]],LEN(Table1[[#This Row],[category &amp; sub-category]])-SEARCH("/",Table1[[#This Row],[category &amp; sub-category]],1))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(Table1[[#This Row],[pledged]]/Table1[[#This Row],[goal]])*100</f>
        <v>66.521920668058456</v>
      </c>
      <c r="G344" t="s">
        <v>14</v>
      </c>
      <c r="H344">
        <v>328</v>
      </c>
      <c r="I344" s="4">
        <f>IFERROR(Table1[[#This Row],[pledged]]/Table1[[#This Row],[backers_count]],0)</f>
        <v>97.146341463414629</v>
      </c>
      <c r="J344" t="s">
        <v>21</v>
      </c>
      <c r="K344" t="s">
        <v>22</v>
      </c>
      <c r="L344">
        <v>1374296400</v>
      </c>
      <c r="M344" s="9">
        <f>(((Table1[[#This Row],[launched_at]]/60)/60)/24)+DATE(1970,1,1)</f>
        <v>41475.208333333336</v>
      </c>
      <c r="N344">
        <v>1375333200</v>
      </c>
      <c r="O344" s="9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LEFT(Table1[[#This Row],[category &amp; sub-category]],SEARCH("/",Table1[[#This Row],[category &amp; sub-category]],1)-1)</f>
        <v>theater</v>
      </c>
      <c r="T344" t="str">
        <f>RIGHT(Table1[[#This Row],[category &amp; sub-category]],LEN(Table1[[#This Row],[category &amp; sub-category]])-SEARCH("/",Table1[[#This Row],[category &amp; sub-category]],1))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(Table1[[#This Row],[pledged]]/Table1[[#This Row],[goal]])*100</f>
        <v>53.922222222222224</v>
      </c>
      <c r="G345" t="s">
        <v>14</v>
      </c>
      <c r="H345">
        <v>147</v>
      </c>
      <c r="I345" s="4">
        <f>IFERROR(Table1[[#This Row],[pledged]]/Table1[[#This Row],[backers_count]],0)</f>
        <v>33.013605442176868</v>
      </c>
      <c r="J345" t="s">
        <v>21</v>
      </c>
      <c r="K345" t="s">
        <v>22</v>
      </c>
      <c r="L345">
        <v>1384840800</v>
      </c>
      <c r="M345" s="9">
        <f>(((Table1[[#This Row],[launched_at]]/60)/60)/24)+DATE(1970,1,1)</f>
        <v>41597.25</v>
      </c>
      <c r="N345">
        <v>1389420000</v>
      </c>
      <c r="O345" s="9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LEFT(Table1[[#This Row],[category &amp; sub-category]],SEARCH("/",Table1[[#This Row],[category &amp; sub-category]],1)-1)</f>
        <v>theater</v>
      </c>
      <c r="T345" t="str">
        <f>RIGHT(Table1[[#This Row],[category &amp; sub-category]],LEN(Table1[[#This Row],[category &amp; sub-category]])-SEARCH("/",Table1[[#This Row],[category &amp; sub-category]],1))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(Table1[[#This Row],[pledged]]/Table1[[#This Row],[goal]])*100</f>
        <v>41.983299595141702</v>
      </c>
      <c r="G346" t="s">
        <v>14</v>
      </c>
      <c r="H346">
        <v>830</v>
      </c>
      <c r="I346" s="4">
        <f>IFERROR(Table1[[#This Row],[pledged]]/Table1[[#This Row],[backers_count]],0)</f>
        <v>99.950602409638549</v>
      </c>
      <c r="J346" t="s">
        <v>21</v>
      </c>
      <c r="K346" t="s">
        <v>22</v>
      </c>
      <c r="L346">
        <v>1516600800</v>
      </c>
      <c r="M346" s="9">
        <f>(((Table1[[#This Row],[launched_at]]/60)/60)/24)+DATE(1970,1,1)</f>
        <v>43122.25</v>
      </c>
      <c r="N346">
        <v>1520056800</v>
      </c>
      <c r="O346" s="9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LEFT(Table1[[#This Row],[category &amp; sub-category]],SEARCH("/",Table1[[#This Row],[category &amp; sub-category]],1)-1)</f>
        <v>games</v>
      </c>
      <c r="T346" t="str">
        <f>RIGHT(Table1[[#This Row],[category &amp; sub-category]],LEN(Table1[[#This Row],[category &amp; sub-category]])-SEARCH("/",Table1[[#This Row],[category &amp; sub-category]],1))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(Table1[[#This Row],[pledged]]/Table1[[#This Row],[goal]])*100</f>
        <v>14.69479695431472</v>
      </c>
      <c r="G347" t="s">
        <v>14</v>
      </c>
      <c r="H347">
        <v>331</v>
      </c>
      <c r="I347" s="4">
        <f>IFERROR(Table1[[#This Row],[pledged]]/Table1[[#This Row],[backers_count]],0)</f>
        <v>69.966767371601208</v>
      </c>
      <c r="J347" t="s">
        <v>40</v>
      </c>
      <c r="K347" t="s">
        <v>41</v>
      </c>
      <c r="L347">
        <v>1436418000</v>
      </c>
      <c r="M347" s="9">
        <f>(((Table1[[#This Row],[launched_at]]/60)/60)/24)+DATE(1970,1,1)</f>
        <v>42194.208333333328</v>
      </c>
      <c r="N347">
        <v>1436504400</v>
      </c>
      <c r="O347" s="9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LEFT(Table1[[#This Row],[category &amp; sub-category]],SEARCH("/",Table1[[#This Row],[category &amp; sub-category]],1)-1)</f>
        <v>film &amp; video</v>
      </c>
      <c r="T347" t="str">
        <f>RIGHT(Table1[[#This Row],[category &amp; sub-category]],LEN(Table1[[#This Row],[category &amp; sub-category]])-SEARCH("/",Table1[[#This Row],[category &amp; sub-category]],1))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(Table1[[#This Row],[pledged]]/Table1[[#This Row],[goal]])*100</f>
        <v>34.475000000000001</v>
      </c>
      <c r="G348" t="s">
        <v>14</v>
      </c>
      <c r="H348">
        <v>25</v>
      </c>
      <c r="I348" s="4">
        <f>IFERROR(Table1[[#This Row],[pledged]]/Table1[[#This Row],[backers_count]],0)</f>
        <v>110.32</v>
      </c>
      <c r="J348" t="s">
        <v>21</v>
      </c>
      <c r="K348" t="s">
        <v>22</v>
      </c>
      <c r="L348">
        <v>1503550800</v>
      </c>
      <c r="M348" s="9">
        <f>(((Table1[[#This Row],[launched_at]]/60)/60)/24)+DATE(1970,1,1)</f>
        <v>42971.208333333328</v>
      </c>
      <c r="N348">
        <v>1508302800</v>
      </c>
      <c r="O348" s="9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LEFT(Table1[[#This Row],[category &amp; sub-category]],SEARCH("/",Table1[[#This Row],[category &amp; sub-category]],1)-1)</f>
        <v>music</v>
      </c>
      <c r="T348" t="str">
        <f>RIGHT(Table1[[#This Row],[category &amp; sub-category]],LEN(Table1[[#This Row],[category &amp; sub-category]])-SEARCH("/",Table1[[#This Row],[category &amp; sub-category]],1))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(Table1[[#This Row],[pledged]]/Table1[[#This Row],[goal]])*100</f>
        <v>1400.7777777777778</v>
      </c>
      <c r="G349" t="s">
        <v>20</v>
      </c>
      <c r="H349">
        <v>191</v>
      </c>
      <c r="I349" s="4">
        <f>IFERROR(Table1[[#This Row],[pledged]]/Table1[[#This Row],[backers_count]],0)</f>
        <v>66.005235602094245</v>
      </c>
      <c r="J349" t="s">
        <v>21</v>
      </c>
      <c r="K349" t="s">
        <v>22</v>
      </c>
      <c r="L349">
        <v>1423634400</v>
      </c>
      <c r="M349" s="9">
        <f>(((Table1[[#This Row],[launched_at]]/60)/60)/24)+DATE(1970,1,1)</f>
        <v>42046.25</v>
      </c>
      <c r="N349">
        <v>1425708000</v>
      </c>
      <c r="O349" s="9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LEFT(Table1[[#This Row],[category &amp; sub-category]],SEARCH("/",Table1[[#This Row],[category &amp; sub-category]],1)-1)</f>
        <v>technology</v>
      </c>
      <c r="T349" t="str">
        <f>RIGHT(Table1[[#This Row],[category &amp; sub-category]],LEN(Table1[[#This Row],[category &amp; sub-category]])-SEARCH("/",Table1[[#This Row],[category &amp; sub-category]],1))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(Table1[[#This Row],[pledged]]/Table1[[#This Row],[goal]])*100</f>
        <v>71.770351758793964</v>
      </c>
      <c r="G350" t="s">
        <v>14</v>
      </c>
      <c r="H350">
        <v>3483</v>
      </c>
      <c r="I350" s="4">
        <f>IFERROR(Table1[[#This Row],[pledged]]/Table1[[#This Row],[backers_count]],0)</f>
        <v>41.005742176284812</v>
      </c>
      <c r="J350" t="s">
        <v>21</v>
      </c>
      <c r="K350" t="s">
        <v>22</v>
      </c>
      <c r="L350">
        <v>1487224800</v>
      </c>
      <c r="M350" s="9">
        <f>(((Table1[[#This Row],[launched_at]]/60)/60)/24)+DATE(1970,1,1)</f>
        <v>42782.25</v>
      </c>
      <c r="N350">
        <v>1488348000</v>
      </c>
      <c r="O350" s="9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LEFT(Table1[[#This Row],[category &amp; sub-category]],SEARCH("/",Table1[[#This Row],[category &amp; sub-category]],1)-1)</f>
        <v>food</v>
      </c>
      <c r="T350" t="str">
        <f>RIGHT(Table1[[#This Row],[category &amp; sub-category]],LEN(Table1[[#This Row],[category &amp; sub-category]])-SEARCH("/",Table1[[#This Row],[category &amp; sub-category]],1))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(Table1[[#This Row],[pledged]]/Table1[[#This Row],[goal]])*100</f>
        <v>53.074115044247783</v>
      </c>
      <c r="G351" t="s">
        <v>14</v>
      </c>
      <c r="H351">
        <v>923</v>
      </c>
      <c r="I351" s="4">
        <f>IFERROR(Table1[[#This Row],[pledged]]/Table1[[#This Row],[backers_count]],0)</f>
        <v>103.96316359696641</v>
      </c>
      <c r="J351" t="s">
        <v>21</v>
      </c>
      <c r="K351" t="s">
        <v>22</v>
      </c>
      <c r="L351">
        <v>1500008400</v>
      </c>
      <c r="M351" s="9">
        <f>(((Table1[[#This Row],[launched_at]]/60)/60)/24)+DATE(1970,1,1)</f>
        <v>42930.208333333328</v>
      </c>
      <c r="N351">
        <v>1502600400</v>
      </c>
      <c r="O351" s="9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LEFT(Table1[[#This Row],[category &amp; sub-category]],SEARCH("/",Table1[[#This Row],[category &amp; sub-category]],1)-1)</f>
        <v>theater</v>
      </c>
      <c r="T351" t="str">
        <f>RIGHT(Table1[[#This Row],[category &amp; sub-category]],LEN(Table1[[#This Row],[category &amp; sub-category]])-SEARCH("/",Table1[[#This Row],[category &amp; sub-category]],1))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(Table1[[#This Row],[pledged]]/Table1[[#This Row],[goal]])*100</f>
        <v>5</v>
      </c>
      <c r="G352" t="s">
        <v>14</v>
      </c>
      <c r="H352">
        <v>1</v>
      </c>
      <c r="I352" s="4">
        <f>IFERROR(Table1[[#This Row],[pledged]]/Table1[[#This Row],[backers_count]],0)</f>
        <v>5</v>
      </c>
      <c r="J352" t="s">
        <v>21</v>
      </c>
      <c r="K352" t="s">
        <v>22</v>
      </c>
      <c r="L352">
        <v>1432098000</v>
      </c>
      <c r="M352" s="9">
        <f>(((Table1[[#This Row],[launched_at]]/60)/60)/24)+DATE(1970,1,1)</f>
        <v>42144.208333333328</v>
      </c>
      <c r="N352">
        <v>1433653200</v>
      </c>
      <c r="O352" s="9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LEFT(Table1[[#This Row],[category &amp; sub-category]],SEARCH("/",Table1[[#This Row],[category &amp; sub-category]],1)-1)</f>
        <v>music</v>
      </c>
      <c r="T352" t="str">
        <f>RIGHT(Table1[[#This Row],[category &amp; sub-category]],LEN(Table1[[#This Row],[category &amp; sub-category]])-SEARCH("/",Table1[[#This Row],[category &amp; sub-category]],1))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(Table1[[#This Row],[pledged]]/Table1[[#This Row],[goal]])*100</f>
        <v>127.70715249662618</v>
      </c>
      <c r="G353" t="s">
        <v>20</v>
      </c>
      <c r="H353">
        <v>2013</v>
      </c>
      <c r="I353" s="4">
        <f>IFERROR(Table1[[#This Row],[pledged]]/Table1[[#This Row],[backers_count]],0)</f>
        <v>47.009935419771487</v>
      </c>
      <c r="J353" t="s">
        <v>21</v>
      </c>
      <c r="K353" t="s">
        <v>22</v>
      </c>
      <c r="L353">
        <v>1440392400</v>
      </c>
      <c r="M353" s="9">
        <f>(((Table1[[#This Row],[launched_at]]/60)/60)/24)+DATE(1970,1,1)</f>
        <v>42240.208333333328</v>
      </c>
      <c r="N353">
        <v>1441602000</v>
      </c>
      <c r="O353" s="9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LEFT(Table1[[#This Row],[category &amp; sub-category]],SEARCH("/",Table1[[#This Row],[category &amp; sub-category]],1)-1)</f>
        <v>music</v>
      </c>
      <c r="T353" t="str">
        <f>RIGHT(Table1[[#This Row],[category &amp; sub-category]],LEN(Table1[[#This Row],[category &amp; sub-category]])-SEARCH("/",Table1[[#This Row],[category &amp; sub-category]],1))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(Table1[[#This Row],[pledged]]/Table1[[#This Row],[goal]])*100</f>
        <v>34.892857142857139</v>
      </c>
      <c r="G354" t="s">
        <v>14</v>
      </c>
      <c r="H354">
        <v>33</v>
      </c>
      <c r="I354" s="4">
        <f>IFERROR(Table1[[#This Row],[pledged]]/Table1[[#This Row],[backers_count]],0)</f>
        <v>29.606060606060606</v>
      </c>
      <c r="J354" t="s">
        <v>15</v>
      </c>
      <c r="K354" t="s">
        <v>16</v>
      </c>
      <c r="L354">
        <v>1446876000</v>
      </c>
      <c r="M354" s="9">
        <f>(((Table1[[#This Row],[launched_at]]/60)/60)/24)+DATE(1970,1,1)</f>
        <v>42315.25</v>
      </c>
      <c r="N354">
        <v>1447567200</v>
      </c>
      <c r="O354" s="9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LEFT(Table1[[#This Row],[category &amp; sub-category]],SEARCH("/",Table1[[#This Row],[category &amp; sub-category]],1)-1)</f>
        <v>theater</v>
      </c>
      <c r="T354" t="str">
        <f>RIGHT(Table1[[#This Row],[category &amp; sub-category]],LEN(Table1[[#This Row],[category &amp; sub-category]])-SEARCH("/",Table1[[#This Row],[category &amp; sub-category]],1))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(Table1[[#This Row],[pledged]]/Table1[[#This Row],[goal]])*100</f>
        <v>410.59821428571428</v>
      </c>
      <c r="G355" t="s">
        <v>20</v>
      </c>
      <c r="H355">
        <v>1703</v>
      </c>
      <c r="I355" s="4">
        <f>IFERROR(Table1[[#This Row],[pledged]]/Table1[[#This Row],[backers_count]],0)</f>
        <v>81.010569583088667</v>
      </c>
      <c r="J355" t="s">
        <v>21</v>
      </c>
      <c r="K355" t="s">
        <v>22</v>
      </c>
      <c r="L355">
        <v>1562302800</v>
      </c>
      <c r="M355" s="9">
        <f>(((Table1[[#This Row],[launched_at]]/60)/60)/24)+DATE(1970,1,1)</f>
        <v>43651.208333333328</v>
      </c>
      <c r="N355">
        <v>1562389200</v>
      </c>
      <c r="O355" s="9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LEFT(Table1[[#This Row],[category &amp; sub-category]],SEARCH("/",Table1[[#This Row],[category &amp; sub-category]],1)-1)</f>
        <v>theater</v>
      </c>
      <c r="T355" t="str">
        <f>RIGHT(Table1[[#This Row],[category &amp; sub-category]],LEN(Table1[[#This Row],[category &amp; sub-category]])-SEARCH("/",Table1[[#This Row],[category &amp; sub-category]],1))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(Table1[[#This Row],[pledged]]/Table1[[#This Row],[goal]])*100</f>
        <v>123.73770491803278</v>
      </c>
      <c r="G356" t="s">
        <v>20</v>
      </c>
      <c r="H356">
        <v>80</v>
      </c>
      <c r="I356" s="4">
        <f>IFERROR(Table1[[#This Row],[pledged]]/Table1[[#This Row],[backers_count]],0)</f>
        <v>94.35</v>
      </c>
      <c r="J356" t="s">
        <v>36</v>
      </c>
      <c r="K356" t="s">
        <v>37</v>
      </c>
      <c r="L356">
        <v>1378184400</v>
      </c>
      <c r="M356" s="9">
        <f>(((Table1[[#This Row],[launched_at]]/60)/60)/24)+DATE(1970,1,1)</f>
        <v>41520.208333333336</v>
      </c>
      <c r="N356">
        <v>1378789200</v>
      </c>
      <c r="O356" s="9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LEFT(Table1[[#This Row],[category &amp; sub-category]],SEARCH("/",Table1[[#This Row],[category &amp; sub-category]],1)-1)</f>
        <v>film &amp; video</v>
      </c>
      <c r="T356" t="str">
        <f>RIGHT(Table1[[#This Row],[category &amp; sub-category]],LEN(Table1[[#This Row],[category &amp; sub-category]])-SEARCH("/",Table1[[#This Row],[category &amp; sub-category]],1))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(Table1[[#This Row],[pledged]]/Table1[[#This Row],[goal]])*100</f>
        <v>58.973684210526315</v>
      </c>
      <c r="G357" t="s">
        <v>47</v>
      </c>
      <c r="H357">
        <v>86</v>
      </c>
      <c r="I357" s="4">
        <f>IFERROR(Table1[[#This Row],[pledged]]/Table1[[#This Row],[backers_count]],0)</f>
        <v>26.058139534883722</v>
      </c>
      <c r="J357" t="s">
        <v>21</v>
      </c>
      <c r="K357" t="s">
        <v>22</v>
      </c>
      <c r="L357">
        <v>1485064800</v>
      </c>
      <c r="M357" s="9">
        <f>(((Table1[[#This Row],[launched_at]]/60)/60)/24)+DATE(1970,1,1)</f>
        <v>42757.25</v>
      </c>
      <c r="N357">
        <v>1488520800</v>
      </c>
      <c r="O357" s="9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LEFT(Table1[[#This Row],[category &amp; sub-category]],SEARCH("/",Table1[[#This Row],[category &amp; sub-category]],1)-1)</f>
        <v>technology</v>
      </c>
      <c r="T357" t="str">
        <f>RIGHT(Table1[[#This Row],[category &amp; sub-category]],LEN(Table1[[#This Row],[category &amp; sub-category]])-SEARCH("/",Table1[[#This Row],[category &amp; sub-category]],1))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(Table1[[#This Row],[pledged]]/Table1[[#This Row],[goal]])*100</f>
        <v>36.892473118279568</v>
      </c>
      <c r="G358" t="s">
        <v>14</v>
      </c>
      <c r="H358">
        <v>40</v>
      </c>
      <c r="I358" s="4">
        <f>IFERROR(Table1[[#This Row],[pledged]]/Table1[[#This Row],[backers_count]],0)</f>
        <v>85.775000000000006</v>
      </c>
      <c r="J358" t="s">
        <v>107</v>
      </c>
      <c r="K358" t="s">
        <v>108</v>
      </c>
      <c r="L358">
        <v>1326520800</v>
      </c>
      <c r="M358" s="9">
        <f>(((Table1[[#This Row],[launched_at]]/60)/60)/24)+DATE(1970,1,1)</f>
        <v>40922.25</v>
      </c>
      <c r="N358">
        <v>1327298400</v>
      </c>
      <c r="O358" s="9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LEFT(Table1[[#This Row],[category &amp; sub-category]],SEARCH("/",Table1[[#This Row],[category &amp; sub-category]],1)-1)</f>
        <v>theater</v>
      </c>
      <c r="T358" t="str">
        <f>RIGHT(Table1[[#This Row],[category &amp; sub-category]],LEN(Table1[[#This Row],[category &amp; sub-category]])-SEARCH("/",Table1[[#This Row],[category &amp; sub-category]],1))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(Table1[[#This Row],[pledged]]/Table1[[#This Row],[goal]])*100</f>
        <v>184.91304347826087</v>
      </c>
      <c r="G359" t="s">
        <v>20</v>
      </c>
      <c r="H359">
        <v>41</v>
      </c>
      <c r="I359" s="4">
        <f>IFERROR(Table1[[#This Row],[pledged]]/Table1[[#This Row],[backers_count]],0)</f>
        <v>103.73170731707317</v>
      </c>
      <c r="J359" t="s">
        <v>21</v>
      </c>
      <c r="K359" t="s">
        <v>22</v>
      </c>
      <c r="L359">
        <v>1441256400</v>
      </c>
      <c r="M359" s="9">
        <f>(((Table1[[#This Row],[launched_at]]/60)/60)/24)+DATE(1970,1,1)</f>
        <v>42250.208333333328</v>
      </c>
      <c r="N359">
        <v>1443416400</v>
      </c>
      <c r="O359" s="9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LEFT(Table1[[#This Row],[category &amp; sub-category]],SEARCH("/",Table1[[#This Row],[category &amp; sub-category]],1)-1)</f>
        <v>games</v>
      </c>
      <c r="T359" t="str">
        <f>RIGHT(Table1[[#This Row],[category &amp; sub-category]],LEN(Table1[[#This Row],[category &amp; sub-category]])-SEARCH("/",Table1[[#This Row],[category &amp; sub-category]],1))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(Table1[[#This Row],[pledged]]/Table1[[#This Row],[goal]])*100</f>
        <v>11.814432989690722</v>
      </c>
      <c r="G360" t="s">
        <v>14</v>
      </c>
      <c r="H360">
        <v>23</v>
      </c>
      <c r="I360" s="4">
        <f>IFERROR(Table1[[#This Row],[pledged]]/Table1[[#This Row],[backers_count]],0)</f>
        <v>49.826086956521742</v>
      </c>
      <c r="J360" t="s">
        <v>15</v>
      </c>
      <c r="K360" t="s">
        <v>16</v>
      </c>
      <c r="L360">
        <v>1533877200</v>
      </c>
      <c r="M360" s="9">
        <f>(((Table1[[#This Row],[launched_at]]/60)/60)/24)+DATE(1970,1,1)</f>
        <v>43322.208333333328</v>
      </c>
      <c r="N360">
        <v>1534136400</v>
      </c>
      <c r="O360" s="9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LEFT(Table1[[#This Row],[category &amp; sub-category]],SEARCH("/",Table1[[#This Row],[category &amp; sub-category]],1)-1)</f>
        <v>photography</v>
      </c>
      <c r="T360" t="str">
        <f>RIGHT(Table1[[#This Row],[category &amp; sub-category]],LEN(Table1[[#This Row],[category &amp; sub-category]])-SEARCH("/",Table1[[#This Row],[category &amp; sub-category]],1))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(Table1[[#This Row],[pledged]]/Table1[[#This Row],[goal]])*100</f>
        <v>298.7</v>
      </c>
      <c r="G361" t="s">
        <v>20</v>
      </c>
      <c r="H361">
        <v>187</v>
      </c>
      <c r="I361" s="4">
        <f>IFERROR(Table1[[#This Row],[pledged]]/Table1[[#This Row],[backers_count]],0)</f>
        <v>63.893048128342244</v>
      </c>
      <c r="J361" t="s">
        <v>21</v>
      </c>
      <c r="K361" t="s">
        <v>22</v>
      </c>
      <c r="L361">
        <v>1314421200</v>
      </c>
      <c r="M361" s="9">
        <f>(((Table1[[#This Row],[launched_at]]/60)/60)/24)+DATE(1970,1,1)</f>
        <v>40782.208333333336</v>
      </c>
      <c r="N361">
        <v>1315026000</v>
      </c>
      <c r="O361" s="9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LEFT(Table1[[#This Row],[category &amp; sub-category]],SEARCH("/",Table1[[#This Row],[category &amp; sub-category]],1)-1)</f>
        <v>film &amp; video</v>
      </c>
      <c r="T361" t="str">
        <f>RIGHT(Table1[[#This Row],[category &amp; sub-category]],LEN(Table1[[#This Row],[category &amp; sub-category]])-SEARCH("/",Table1[[#This Row],[category &amp; sub-category]],1))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(Table1[[#This Row],[pledged]]/Table1[[#This Row],[goal]])*100</f>
        <v>226.35175879396985</v>
      </c>
      <c r="G362" t="s">
        <v>20</v>
      </c>
      <c r="H362">
        <v>2875</v>
      </c>
      <c r="I362" s="4">
        <f>IFERROR(Table1[[#This Row],[pledged]]/Table1[[#This Row],[backers_count]],0)</f>
        <v>47.002434782608695</v>
      </c>
      <c r="J362" t="s">
        <v>40</v>
      </c>
      <c r="K362" t="s">
        <v>41</v>
      </c>
      <c r="L362">
        <v>1293861600</v>
      </c>
      <c r="M362" s="9">
        <f>(((Table1[[#This Row],[launched_at]]/60)/60)/24)+DATE(1970,1,1)</f>
        <v>40544.25</v>
      </c>
      <c r="N362">
        <v>1295071200</v>
      </c>
      <c r="O362" s="9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LEFT(Table1[[#This Row],[category &amp; sub-category]],SEARCH("/",Table1[[#This Row],[category &amp; sub-category]],1)-1)</f>
        <v>theater</v>
      </c>
      <c r="T362" t="str">
        <f>RIGHT(Table1[[#This Row],[category &amp; sub-category]],LEN(Table1[[#This Row],[category &amp; sub-category]])-SEARCH("/",Table1[[#This Row],[category &amp; sub-category]],1))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(Table1[[#This Row],[pledged]]/Table1[[#This Row],[goal]])*100</f>
        <v>173.56363636363636</v>
      </c>
      <c r="G363" t="s">
        <v>20</v>
      </c>
      <c r="H363">
        <v>88</v>
      </c>
      <c r="I363" s="4">
        <f>IFERROR(Table1[[#This Row],[pledged]]/Table1[[#This Row],[backers_count]],0)</f>
        <v>108.47727272727273</v>
      </c>
      <c r="J363" t="s">
        <v>21</v>
      </c>
      <c r="K363" t="s">
        <v>22</v>
      </c>
      <c r="L363">
        <v>1507352400</v>
      </c>
      <c r="M363" s="9">
        <f>(((Table1[[#This Row],[launched_at]]/60)/60)/24)+DATE(1970,1,1)</f>
        <v>43015.208333333328</v>
      </c>
      <c r="N363">
        <v>1509426000</v>
      </c>
      <c r="O363" s="9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LEFT(Table1[[#This Row],[category &amp; sub-category]],SEARCH("/",Table1[[#This Row],[category &amp; sub-category]],1)-1)</f>
        <v>theater</v>
      </c>
      <c r="T363" t="str">
        <f>RIGHT(Table1[[#This Row],[category &amp; sub-category]],LEN(Table1[[#This Row],[category &amp; sub-category]])-SEARCH("/",Table1[[#This Row],[category &amp; sub-category]],1))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(Table1[[#This Row],[pledged]]/Table1[[#This Row],[goal]])*100</f>
        <v>371.75675675675677</v>
      </c>
      <c r="G364" t="s">
        <v>20</v>
      </c>
      <c r="H364">
        <v>191</v>
      </c>
      <c r="I364" s="4">
        <f>IFERROR(Table1[[#This Row],[pledged]]/Table1[[#This Row],[backers_count]],0)</f>
        <v>72.015706806282722</v>
      </c>
      <c r="J364" t="s">
        <v>21</v>
      </c>
      <c r="K364" t="s">
        <v>22</v>
      </c>
      <c r="L364">
        <v>1296108000</v>
      </c>
      <c r="M364" s="9">
        <f>(((Table1[[#This Row],[launched_at]]/60)/60)/24)+DATE(1970,1,1)</f>
        <v>40570.25</v>
      </c>
      <c r="N364">
        <v>1299391200</v>
      </c>
      <c r="O364" s="9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LEFT(Table1[[#This Row],[category &amp; sub-category]],SEARCH("/",Table1[[#This Row],[category &amp; sub-category]],1)-1)</f>
        <v>music</v>
      </c>
      <c r="T364" t="str">
        <f>RIGHT(Table1[[#This Row],[category &amp; sub-category]],LEN(Table1[[#This Row],[category &amp; sub-category]])-SEARCH("/",Table1[[#This Row],[category &amp; sub-category]],1))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(Table1[[#This Row],[pledged]]/Table1[[#This Row],[goal]])*100</f>
        <v>160.19230769230771</v>
      </c>
      <c r="G365" t="s">
        <v>20</v>
      </c>
      <c r="H365">
        <v>139</v>
      </c>
      <c r="I365" s="4">
        <f>IFERROR(Table1[[#This Row],[pledged]]/Table1[[#This Row],[backers_count]],0)</f>
        <v>59.928057553956833</v>
      </c>
      <c r="J365" t="s">
        <v>21</v>
      </c>
      <c r="K365" t="s">
        <v>22</v>
      </c>
      <c r="L365">
        <v>1324965600</v>
      </c>
      <c r="M365" s="9">
        <f>(((Table1[[#This Row],[launched_at]]/60)/60)/24)+DATE(1970,1,1)</f>
        <v>40904.25</v>
      </c>
      <c r="N365">
        <v>1325052000</v>
      </c>
      <c r="O365" s="9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LEFT(Table1[[#This Row],[category &amp; sub-category]],SEARCH("/",Table1[[#This Row],[category &amp; sub-category]],1)-1)</f>
        <v>music</v>
      </c>
      <c r="T365" t="str">
        <f>RIGHT(Table1[[#This Row],[category &amp; sub-category]],LEN(Table1[[#This Row],[category &amp; sub-category]])-SEARCH("/",Table1[[#This Row],[category &amp; sub-category]],1))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(Table1[[#This Row],[pledged]]/Table1[[#This Row],[goal]])*100</f>
        <v>1616.3333333333335</v>
      </c>
      <c r="G366" t="s">
        <v>20</v>
      </c>
      <c r="H366">
        <v>186</v>
      </c>
      <c r="I366" s="4">
        <f>IFERROR(Table1[[#This Row],[pledged]]/Table1[[#This Row],[backers_count]],0)</f>
        <v>78.209677419354833</v>
      </c>
      <c r="J366" t="s">
        <v>21</v>
      </c>
      <c r="K366" t="s">
        <v>22</v>
      </c>
      <c r="L366">
        <v>1520229600</v>
      </c>
      <c r="M366" s="9">
        <f>(((Table1[[#This Row],[launched_at]]/60)/60)/24)+DATE(1970,1,1)</f>
        <v>43164.25</v>
      </c>
      <c r="N366">
        <v>1522818000</v>
      </c>
      <c r="O366" s="9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LEFT(Table1[[#This Row],[category &amp; sub-category]],SEARCH("/",Table1[[#This Row],[category &amp; sub-category]],1)-1)</f>
        <v>music</v>
      </c>
      <c r="T366" t="str">
        <f>RIGHT(Table1[[#This Row],[category &amp; sub-category]],LEN(Table1[[#This Row],[category &amp; sub-category]])-SEARCH("/",Table1[[#This Row],[category &amp; sub-category]],1))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(Table1[[#This Row],[pledged]]/Table1[[#This Row],[goal]])*100</f>
        <v>733.4375</v>
      </c>
      <c r="G367" t="s">
        <v>20</v>
      </c>
      <c r="H367">
        <v>112</v>
      </c>
      <c r="I367" s="4">
        <f>IFERROR(Table1[[#This Row],[pledged]]/Table1[[#This Row],[backers_count]],0)</f>
        <v>104.77678571428571</v>
      </c>
      <c r="J367" t="s">
        <v>26</v>
      </c>
      <c r="K367" t="s">
        <v>27</v>
      </c>
      <c r="L367">
        <v>1482991200</v>
      </c>
      <c r="M367" s="9">
        <f>(((Table1[[#This Row],[launched_at]]/60)/60)/24)+DATE(1970,1,1)</f>
        <v>42733.25</v>
      </c>
      <c r="N367">
        <v>1485324000</v>
      </c>
      <c r="O367" s="9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LEFT(Table1[[#This Row],[category &amp; sub-category]],SEARCH("/",Table1[[#This Row],[category &amp; sub-category]],1)-1)</f>
        <v>theater</v>
      </c>
      <c r="T367" t="str">
        <f>RIGHT(Table1[[#This Row],[category &amp; sub-category]],LEN(Table1[[#This Row],[category &amp; sub-category]])-SEARCH("/",Table1[[#This Row],[category &amp; sub-category]],1))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(Table1[[#This Row],[pledged]]/Table1[[#This Row],[goal]])*100</f>
        <v>592.11111111111109</v>
      </c>
      <c r="G368" t="s">
        <v>20</v>
      </c>
      <c r="H368">
        <v>101</v>
      </c>
      <c r="I368" s="4">
        <f>IFERROR(Table1[[#This Row],[pledged]]/Table1[[#This Row],[backers_count]],0)</f>
        <v>105.52475247524752</v>
      </c>
      <c r="J368" t="s">
        <v>21</v>
      </c>
      <c r="K368" t="s">
        <v>22</v>
      </c>
      <c r="L368">
        <v>1294034400</v>
      </c>
      <c r="M368" s="9">
        <f>(((Table1[[#This Row],[launched_at]]/60)/60)/24)+DATE(1970,1,1)</f>
        <v>40546.25</v>
      </c>
      <c r="N368">
        <v>1294120800</v>
      </c>
      <c r="O368" s="9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LEFT(Table1[[#This Row],[category &amp; sub-category]],SEARCH("/",Table1[[#This Row],[category &amp; sub-category]],1)-1)</f>
        <v>theater</v>
      </c>
      <c r="T368" t="str">
        <f>RIGHT(Table1[[#This Row],[category &amp; sub-category]],LEN(Table1[[#This Row],[category &amp; sub-category]])-SEARCH("/",Table1[[#This Row],[category &amp; sub-category]],1))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(Table1[[#This Row],[pledged]]/Table1[[#This Row],[goal]])*100</f>
        <v>18.888888888888889</v>
      </c>
      <c r="G369" t="s">
        <v>14</v>
      </c>
      <c r="H369">
        <v>75</v>
      </c>
      <c r="I369" s="4">
        <f>IFERROR(Table1[[#This Row],[pledged]]/Table1[[#This Row],[backers_count]],0)</f>
        <v>24.933333333333334</v>
      </c>
      <c r="J369" t="s">
        <v>21</v>
      </c>
      <c r="K369" t="s">
        <v>22</v>
      </c>
      <c r="L369">
        <v>1413608400</v>
      </c>
      <c r="M369" s="9">
        <f>(((Table1[[#This Row],[launched_at]]/60)/60)/24)+DATE(1970,1,1)</f>
        <v>41930.208333333336</v>
      </c>
      <c r="N369">
        <v>1415685600</v>
      </c>
      <c r="O369" s="9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LEFT(Table1[[#This Row],[category &amp; sub-category]],SEARCH("/",Table1[[#This Row],[category &amp; sub-category]],1)-1)</f>
        <v>theater</v>
      </c>
      <c r="T369" t="str">
        <f>RIGHT(Table1[[#This Row],[category &amp; sub-category]],LEN(Table1[[#This Row],[category &amp; sub-category]])-SEARCH("/",Table1[[#This Row],[category &amp; sub-category]],1))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(Table1[[#This Row],[pledged]]/Table1[[#This Row],[goal]])*100</f>
        <v>276.80769230769232</v>
      </c>
      <c r="G370" t="s">
        <v>20</v>
      </c>
      <c r="H370">
        <v>206</v>
      </c>
      <c r="I370" s="4">
        <f>IFERROR(Table1[[#This Row],[pledged]]/Table1[[#This Row],[backers_count]],0)</f>
        <v>69.873786407766985</v>
      </c>
      <c r="J370" t="s">
        <v>40</v>
      </c>
      <c r="K370" t="s">
        <v>41</v>
      </c>
      <c r="L370">
        <v>1286946000</v>
      </c>
      <c r="M370" s="9">
        <f>(((Table1[[#This Row],[launched_at]]/60)/60)/24)+DATE(1970,1,1)</f>
        <v>40464.208333333336</v>
      </c>
      <c r="N370">
        <v>1288933200</v>
      </c>
      <c r="O370" s="9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LEFT(Table1[[#This Row],[category &amp; sub-category]],SEARCH("/",Table1[[#This Row],[category &amp; sub-category]],1)-1)</f>
        <v>film &amp; video</v>
      </c>
      <c r="T370" t="str">
        <f>RIGHT(Table1[[#This Row],[category &amp; sub-category]],LEN(Table1[[#This Row],[category &amp; sub-category]])-SEARCH("/",Table1[[#This Row],[category &amp; sub-category]],1))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(Table1[[#This Row],[pledged]]/Table1[[#This Row],[goal]])*100</f>
        <v>273.01851851851848</v>
      </c>
      <c r="G371" t="s">
        <v>20</v>
      </c>
      <c r="H371">
        <v>154</v>
      </c>
      <c r="I371" s="4">
        <f>IFERROR(Table1[[#This Row],[pledged]]/Table1[[#This Row],[backers_count]],0)</f>
        <v>95.733766233766232</v>
      </c>
      <c r="J371" t="s">
        <v>21</v>
      </c>
      <c r="K371" t="s">
        <v>22</v>
      </c>
      <c r="L371">
        <v>1359871200</v>
      </c>
      <c r="M371" s="9">
        <f>(((Table1[[#This Row],[launched_at]]/60)/60)/24)+DATE(1970,1,1)</f>
        <v>41308.25</v>
      </c>
      <c r="N371">
        <v>1363237200</v>
      </c>
      <c r="O371" s="9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LEFT(Table1[[#This Row],[category &amp; sub-category]],SEARCH("/",Table1[[#This Row],[category &amp; sub-category]],1)-1)</f>
        <v>film &amp; video</v>
      </c>
      <c r="T371" t="str">
        <f>RIGHT(Table1[[#This Row],[category &amp; sub-category]],LEN(Table1[[#This Row],[category &amp; sub-category]])-SEARCH("/",Table1[[#This Row],[category &amp; sub-category]],1))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(Table1[[#This Row],[pledged]]/Table1[[#This Row],[goal]])*100</f>
        <v>159.36331255565449</v>
      </c>
      <c r="G372" t="s">
        <v>20</v>
      </c>
      <c r="H372">
        <v>5966</v>
      </c>
      <c r="I372" s="4">
        <f>IFERROR(Table1[[#This Row],[pledged]]/Table1[[#This Row],[backers_count]],0)</f>
        <v>29.997485752598056</v>
      </c>
      <c r="J372" t="s">
        <v>21</v>
      </c>
      <c r="K372" t="s">
        <v>22</v>
      </c>
      <c r="L372">
        <v>1555304400</v>
      </c>
      <c r="M372" s="9">
        <f>(((Table1[[#This Row],[launched_at]]/60)/60)/24)+DATE(1970,1,1)</f>
        <v>43570.208333333328</v>
      </c>
      <c r="N372">
        <v>1555822800</v>
      </c>
      <c r="O372" s="9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LEFT(Table1[[#This Row],[category &amp; sub-category]],SEARCH("/",Table1[[#This Row],[category &amp; sub-category]],1)-1)</f>
        <v>theater</v>
      </c>
      <c r="T372" t="str">
        <f>RIGHT(Table1[[#This Row],[category &amp; sub-category]],LEN(Table1[[#This Row],[category &amp; sub-category]])-SEARCH("/",Table1[[#This Row],[category &amp; sub-category]],1))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(Table1[[#This Row],[pledged]]/Table1[[#This Row],[goal]])*100</f>
        <v>67.869978858350947</v>
      </c>
      <c r="G373" t="s">
        <v>14</v>
      </c>
      <c r="H373">
        <v>2176</v>
      </c>
      <c r="I373" s="4">
        <f>IFERROR(Table1[[#This Row],[pledged]]/Table1[[#This Row],[backers_count]],0)</f>
        <v>59.011948529411768</v>
      </c>
      <c r="J373" t="s">
        <v>21</v>
      </c>
      <c r="K373" t="s">
        <v>22</v>
      </c>
      <c r="L373">
        <v>1423375200</v>
      </c>
      <c r="M373" s="9">
        <f>(((Table1[[#This Row],[launched_at]]/60)/60)/24)+DATE(1970,1,1)</f>
        <v>42043.25</v>
      </c>
      <c r="N373">
        <v>1427778000</v>
      </c>
      <c r="O373" s="9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LEFT(Table1[[#This Row],[category &amp; sub-category]],SEARCH("/",Table1[[#This Row],[category &amp; sub-category]],1)-1)</f>
        <v>theater</v>
      </c>
      <c r="T373" t="str">
        <f>RIGHT(Table1[[#This Row],[category &amp; sub-category]],LEN(Table1[[#This Row],[category &amp; sub-category]])-SEARCH("/",Table1[[#This Row],[category &amp; sub-category]],1))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(Table1[[#This Row],[pledged]]/Table1[[#This Row],[goal]])*100</f>
        <v>1591.5555555555554</v>
      </c>
      <c r="G374" t="s">
        <v>20</v>
      </c>
      <c r="H374">
        <v>169</v>
      </c>
      <c r="I374" s="4">
        <f>IFERROR(Table1[[#This Row],[pledged]]/Table1[[#This Row],[backers_count]],0)</f>
        <v>84.757396449704146</v>
      </c>
      <c r="J374" t="s">
        <v>21</v>
      </c>
      <c r="K374" t="s">
        <v>22</v>
      </c>
      <c r="L374">
        <v>1420696800</v>
      </c>
      <c r="M374" s="9">
        <f>(((Table1[[#This Row],[launched_at]]/60)/60)/24)+DATE(1970,1,1)</f>
        <v>42012.25</v>
      </c>
      <c r="N374">
        <v>1422424800</v>
      </c>
      <c r="O374" s="9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LEFT(Table1[[#This Row],[category &amp; sub-category]],SEARCH("/",Table1[[#This Row],[category &amp; sub-category]],1)-1)</f>
        <v>film &amp; video</v>
      </c>
      <c r="T374" t="str">
        <f>RIGHT(Table1[[#This Row],[category &amp; sub-category]],LEN(Table1[[#This Row],[category &amp; sub-category]])-SEARCH("/",Table1[[#This Row],[category &amp; sub-category]],1))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(Table1[[#This Row],[pledged]]/Table1[[#This Row],[goal]])*100</f>
        <v>730.18222222222221</v>
      </c>
      <c r="G375" t="s">
        <v>20</v>
      </c>
      <c r="H375">
        <v>2106</v>
      </c>
      <c r="I375" s="4">
        <f>IFERROR(Table1[[#This Row],[pledged]]/Table1[[#This Row],[backers_count]],0)</f>
        <v>78.010921177587846</v>
      </c>
      <c r="J375" t="s">
        <v>21</v>
      </c>
      <c r="K375" t="s">
        <v>22</v>
      </c>
      <c r="L375">
        <v>1502946000</v>
      </c>
      <c r="M375" s="9">
        <f>(((Table1[[#This Row],[launched_at]]/60)/60)/24)+DATE(1970,1,1)</f>
        <v>42964.208333333328</v>
      </c>
      <c r="N375">
        <v>1503637200</v>
      </c>
      <c r="O375" s="9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LEFT(Table1[[#This Row],[category &amp; sub-category]],SEARCH("/",Table1[[#This Row],[category &amp; sub-category]],1)-1)</f>
        <v>theater</v>
      </c>
      <c r="T375" t="str">
        <f>RIGHT(Table1[[#This Row],[category &amp; sub-category]],LEN(Table1[[#This Row],[category &amp; sub-category]])-SEARCH("/",Table1[[#This Row],[category &amp; sub-category]],1))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(Table1[[#This Row],[pledged]]/Table1[[#This Row],[goal]])*100</f>
        <v>13.185782556750297</v>
      </c>
      <c r="G376" t="s">
        <v>14</v>
      </c>
      <c r="H376">
        <v>441</v>
      </c>
      <c r="I376" s="4">
        <f>IFERROR(Table1[[#This Row],[pledged]]/Table1[[#This Row],[backers_count]],0)</f>
        <v>50.05215419501134</v>
      </c>
      <c r="J376" t="s">
        <v>21</v>
      </c>
      <c r="K376" t="s">
        <v>22</v>
      </c>
      <c r="L376">
        <v>1547186400</v>
      </c>
      <c r="M376" s="9">
        <f>(((Table1[[#This Row],[launched_at]]/60)/60)/24)+DATE(1970,1,1)</f>
        <v>43476.25</v>
      </c>
      <c r="N376">
        <v>1547618400</v>
      </c>
      <c r="O376" s="9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LEFT(Table1[[#This Row],[category &amp; sub-category]],SEARCH("/",Table1[[#This Row],[category &amp; sub-category]],1)-1)</f>
        <v>film &amp; video</v>
      </c>
      <c r="T376" t="str">
        <f>RIGHT(Table1[[#This Row],[category &amp; sub-category]],LEN(Table1[[#This Row],[category &amp; sub-category]])-SEARCH("/",Table1[[#This Row],[category &amp; sub-category]],1))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(Table1[[#This Row],[pledged]]/Table1[[#This Row],[goal]])*100</f>
        <v>54.777777777777779</v>
      </c>
      <c r="G377" t="s">
        <v>14</v>
      </c>
      <c r="H377">
        <v>25</v>
      </c>
      <c r="I377" s="4">
        <f>IFERROR(Table1[[#This Row],[pledged]]/Table1[[#This Row],[backers_count]],0)</f>
        <v>59.16</v>
      </c>
      <c r="J377" t="s">
        <v>21</v>
      </c>
      <c r="K377" t="s">
        <v>22</v>
      </c>
      <c r="L377">
        <v>1444971600</v>
      </c>
      <c r="M377" s="9">
        <f>(((Table1[[#This Row],[launched_at]]/60)/60)/24)+DATE(1970,1,1)</f>
        <v>42293.208333333328</v>
      </c>
      <c r="N377">
        <v>1449900000</v>
      </c>
      <c r="O377" s="9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LEFT(Table1[[#This Row],[category &amp; sub-category]],SEARCH("/",Table1[[#This Row],[category &amp; sub-category]],1)-1)</f>
        <v>music</v>
      </c>
      <c r="T377" t="str">
        <f>RIGHT(Table1[[#This Row],[category &amp; sub-category]],LEN(Table1[[#This Row],[category &amp; sub-category]])-SEARCH("/",Table1[[#This Row],[category &amp; sub-category]],1))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(Table1[[#This Row],[pledged]]/Table1[[#This Row],[goal]])*100</f>
        <v>361.02941176470591</v>
      </c>
      <c r="G378" t="s">
        <v>20</v>
      </c>
      <c r="H378">
        <v>131</v>
      </c>
      <c r="I378" s="4">
        <f>IFERROR(Table1[[#This Row],[pledged]]/Table1[[#This Row],[backers_count]],0)</f>
        <v>93.702290076335885</v>
      </c>
      <c r="J378" t="s">
        <v>21</v>
      </c>
      <c r="K378" t="s">
        <v>22</v>
      </c>
      <c r="L378">
        <v>1404622800</v>
      </c>
      <c r="M378" s="9">
        <f>(((Table1[[#This Row],[launched_at]]/60)/60)/24)+DATE(1970,1,1)</f>
        <v>41826.208333333336</v>
      </c>
      <c r="N378">
        <v>1405141200</v>
      </c>
      <c r="O378" s="9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LEFT(Table1[[#This Row],[category &amp; sub-category]],SEARCH("/",Table1[[#This Row],[category &amp; sub-category]],1)-1)</f>
        <v>music</v>
      </c>
      <c r="T378" t="str">
        <f>RIGHT(Table1[[#This Row],[category &amp; sub-category]],LEN(Table1[[#This Row],[category &amp; sub-category]])-SEARCH("/",Table1[[#This Row],[category &amp; sub-category]],1))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(Table1[[#This Row],[pledged]]/Table1[[#This Row],[goal]])*100</f>
        <v>10.257545271629779</v>
      </c>
      <c r="G379" t="s">
        <v>14</v>
      </c>
      <c r="H379">
        <v>127</v>
      </c>
      <c r="I379" s="4">
        <f>IFERROR(Table1[[#This Row],[pledged]]/Table1[[#This Row],[backers_count]],0)</f>
        <v>40.14173228346457</v>
      </c>
      <c r="J379" t="s">
        <v>21</v>
      </c>
      <c r="K379" t="s">
        <v>22</v>
      </c>
      <c r="L379">
        <v>1571720400</v>
      </c>
      <c r="M379" s="9">
        <f>(((Table1[[#This Row],[launched_at]]/60)/60)/24)+DATE(1970,1,1)</f>
        <v>43760.208333333328</v>
      </c>
      <c r="N379">
        <v>1572933600</v>
      </c>
      <c r="O379" s="9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LEFT(Table1[[#This Row],[category &amp; sub-category]],SEARCH("/",Table1[[#This Row],[category &amp; sub-category]],1)-1)</f>
        <v>theater</v>
      </c>
      <c r="T379" t="str">
        <f>RIGHT(Table1[[#This Row],[category &amp; sub-category]],LEN(Table1[[#This Row],[category &amp; sub-category]])-SEARCH("/",Table1[[#This Row],[category &amp; sub-category]],1))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(Table1[[#This Row],[pledged]]/Table1[[#This Row],[goal]])*100</f>
        <v>13.962962962962964</v>
      </c>
      <c r="G380" t="s">
        <v>14</v>
      </c>
      <c r="H380">
        <v>355</v>
      </c>
      <c r="I380" s="4">
        <f>IFERROR(Table1[[#This Row],[pledged]]/Table1[[#This Row],[backers_count]],0)</f>
        <v>70.090140845070422</v>
      </c>
      <c r="J380" t="s">
        <v>21</v>
      </c>
      <c r="K380" t="s">
        <v>22</v>
      </c>
      <c r="L380">
        <v>1526878800</v>
      </c>
      <c r="M380" s="9">
        <f>(((Table1[[#This Row],[launched_at]]/60)/60)/24)+DATE(1970,1,1)</f>
        <v>43241.208333333328</v>
      </c>
      <c r="N380">
        <v>1530162000</v>
      </c>
      <c r="O380" s="9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LEFT(Table1[[#This Row],[category &amp; sub-category]],SEARCH("/",Table1[[#This Row],[category &amp; sub-category]],1)-1)</f>
        <v>film &amp; video</v>
      </c>
      <c r="T380" t="str">
        <f>RIGHT(Table1[[#This Row],[category &amp; sub-category]],LEN(Table1[[#This Row],[category &amp; sub-category]])-SEARCH("/",Table1[[#This Row],[category &amp; sub-category]],1))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(Table1[[#This Row],[pledged]]/Table1[[#This Row],[goal]])*100</f>
        <v>40.444444444444443</v>
      </c>
      <c r="G381" t="s">
        <v>14</v>
      </c>
      <c r="H381">
        <v>44</v>
      </c>
      <c r="I381" s="4">
        <f>IFERROR(Table1[[#This Row],[pledged]]/Table1[[#This Row],[backers_count]],0)</f>
        <v>66.181818181818187</v>
      </c>
      <c r="J381" t="s">
        <v>40</v>
      </c>
      <c r="K381" t="s">
        <v>41</v>
      </c>
      <c r="L381">
        <v>1319691600</v>
      </c>
      <c r="M381" s="9">
        <f>(((Table1[[#This Row],[launched_at]]/60)/60)/24)+DATE(1970,1,1)</f>
        <v>40843.208333333336</v>
      </c>
      <c r="N381">
        <v>1320904800</v>
      </c>
      <c r="O381" s="9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LEFT(Table1[[#This Row],[category &amp; sub-category]],SEARCH("/",Table1[[#This Row],[category &amp; sub-category]],1)-1)</f>
        <v>theater</v>
      </c>
      <c r="T381" t="str">
        <f>RIGHT(Table1[[#This Row],[category &amp; sub-category]],LEN(Table1[[#This Row],[category &amp; sub-category]])-SEARCH("/",Table1[[#This Row],[category &amp; sub-category]],1))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(Table1[[#This Row],[pledged]]/Table1[[#This Row],[goal]])*100</f>
        <v>160.32</v>
      </c>
      <c r="G382" t="s">
        <v>20</v>
      </c>
      <c r="H382">
        <v>84</v>
      </c>
      <c r="I382" s="4">
        <f>IFERROR(Table1[[#This Row],[pledged]]/Table1[[#This Row],[backers_count]],0)</f>
        <v>47.714285714285715</v>
      </c>
      <c r="J382" t="s">
        <v>21</v>
      </c>
      <c r="K382" t="s">
        <v>22</v>
      </c>
      <c r="L382">
        <v>1371963600</v>
      </c>
      <c r="M382" s="9">
        <f>(((Table1[[#This Row],[launched_at]]/60)/60)/24)+DATE(1970,1,1)</f>
        <v>41448.208333333336</v>
      </c>
      <c r="N382">
        <v>1372395600</v>
      </c>
      <c r="O382" s="9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LEFT(Table1[[#This Row],[category &amp; sub-category]],SEARCH("/",Table1[[#This Row],[category &amp; sub-category]],1)-1)</f>
        <v>theater</v>
      </c>
      <c r="T382" t="str">
        <f>RIGHT(Table1[[#This Row],[category &amp; sub-category]],LEN(Table1[[#This Row],[category &amp; sub-category]])-SEARCH("/",Table1[[#This Row],[category &amp; sub-category]],1))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(Table1[[#This Row],[pledged]]/Table1[[#This Row],[goal]])*100</f>
        <v>183.9433962264151</v>
      </c>
      <c r="G383" t="s">
        <v>20</v>
      </c>
      <c r="H383">
        <v>155</v>
      </c>
      <c r="I383" s="4">
        <f>IFERROR(Table1[[#This Row],[pledged]]/Table1[[#This Row],[backers_count]],0)</f>
        <v>62.896774193548389</v>
      </c>
      <c r="J383" t="s">
        <v>21</v>
      </c>
      <c r="K383" t="s">
        <v>22</v>
      </c>
      <c r="L383">
        <v>1433739600</v>
      </c>
      <c r="M383" s="9">
        <f>(((Table1[[#This Row],[launched_at]]/60)/60)/24)+DATE(1970,1,1)</f>
        <v>42163.208333333328</v>
      </c>
      <c r="N383">
        <v>1437714000</v>
      </c>
      <c r="O383" s="9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LEFT(Table1[[#This Row],[category &amp; sub-category]],SEARCH("/",Table1[[#This Row],[category &amp; sub-category]],1)-1)</f>
        <v>theater</v>
      </c>
      <c r="T383" t="str">
        <f>RIGHT(Table1[[#This Row],[category &amp; sub-category]],LEN(Table1[[#This Row],[category &amp; sub-category]])-SEARCH("/",Table1[[#This Row],[category &amp; sub-category]],1))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(Table1[[#This Row],[pledged]]/Table1[[#This Row],[goal]])*100</f>
        <v>63.769230769230766</v>
      </c>
      <c r="G384" t="s">
        <v>14</v>
      </c>
      <c r="H384">
        <v>67</v>
      </c>
      <c r="I384" s="4">
        <f>IFERROR(Table1[[#This Row],[pledged]]/Table1[[#This Row],[backers_count]],0)</f>
        <v>86.611940298507463</v>
      </c>
      <c r="J384" t="s">
        <v>21</v>
      </c>
      <c r="K384" t="s">
        <v>22</v>
      </c>
      <c r="L384">
        <v>1508130000</v>
      </c>
      <c r="M384" s="9">
        <f>(((Table1[[#This Row],[launched_at]]/60)/60)/24)+DATE(1970,1,1)</f>
        <v>43024.208333333328</v>
      </c>
      <c r="N384">
        <v>1509771600</v>
      </c>
      <c r="O384" s="9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LEFT(Table1[[#This Row],[category &amp; sub-category]],SEARCH("/",Table1[[#This Row],[category &amp; sub-category]],1)-1)</f>
        <v>photography</v>
      </c>
      <c r="T384" t="str">
        <f>RIGHT(Table1[[#This Row],[category &amp; sub-category]],LEN(Table1[[#This Row],[category &amp; sub-category]])-SEARCH("/",Table1[[#This Row],[category &amp; sub-category]],1))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(Table1[[#This Row],[pledged]]/Table1[[#This Row],[goal]])*100</f>
        <v>225.38095238095238</v>
      </c>
      <c r="G385" t="s">
        <v>20</v>
      </c>
      <c r="H385">
        <v>189</v>
      </c>
      <c r="I385" s="4">
        <f>IFERROR(Table1[[#This Row],[pledged]]/Table1[[#This Row],[backers_count]],0)</f>
        <v>75.126984126984127</v>
      </c>
      <c r="J385" t="s">
        <v>21</v>
      </c>
      <c r="K385" t="s">
        <v>22</v>
      </c>
      <c r="L385">
        <v>1550037600</v>
      </c>
      <c r="M385" s="9">
        <f>(((Table1[[#This Row],[launched_at]]/60)/60)/24)+DATE(1970,1,1)</f>
        <v>43509.25</v>
      </c>
      <c r="N385">
        <v>1550556000</v>
      </c>
      <c r="O385" s="9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LEFT(Table1[[#This Row],[category &amp; sub-category]],SEARCH("/",Table1[[#This Row],[category &amp; sub-category]],1)-1)</f>
        <v>food</v>
      </c>
      <c r="T385" t="str">
        <f>RIGHT(Table1[[#This Row],[category &amp; sub-category]],LEN(Table1[[#This Row],[category &amp; sub-category]])-SEARCH("/",Table1[[#This Row],[category &amp; sub-category]],1))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(Table1[[#This Row],[pledged]]/Table1[[#This Row],[goal]])*100</f>
        <v>172.00961538461539</v>
      </c>
      <c r="G386" t="s">
        <v>20</v>
      </c>
      <c r="H386">
        <v>4799</v>
      </c>
      <c r="I386" s="4">
        <f>IFERROR(Table1[[#This Row],[pledged]]/Table1[[#This Row],[backers_count]],0)</f>
        <v>41.004167534903104</v>
      </c>
      <c r="J386" t="s">
        <v>21</v>
      </c>
      <c r="K386" t="s">
        <v>22</v>
      </c>
      <c r="L386">
        <v>1486706400</v>
      </c>
      <c r="M386" s="9">
        <f>(((Table1[[#This Row],[launched_at]]/60)/60)/24)+DATE(1970,1,1)</f>
        <v>42776.25</v>
      </c>
      <c r="N386">
        <v>1489039200</v>
      </c>
      <c r="O386" s="9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LEFT(Table1[[#This Row],[category &amp; sub-category]],SEARCH("/",Table1[[#This Row],[category &amp; sub-category]],1)-1)</f>
        <v>film &amp; video</v>
      </c>
      <c r="T386" t="str">
        <f>RIGHT(Table1[[#This Row],[category &amp; sub-category]],LEN(Table1[[#This Row],[category &amp; sub-category]])-SEARCH("/",Table1[[#This Row],[category &amp; sub-category]],1))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(Table1[[#This Row],[pledged]]/Table1[[#This Row],[goal]])*100</f>
        <v>146.16709511568124</v>
      </c>
      <c r="G387" t="s">
        <v>20</v>
      </c>
      <c r="H387">
        <v>1137</v>
      </c>
      <c r="I387" s="4">
        <f>IFERROR(Table1[[#This Row],[pledged]]/Table1[[#This Row],[backers_count]],0)</f>
        <v>50.007915567282325</v>
      </c>
      <c r="J387" t="s">
        <v>21</v>
      </c>
      <c r="K387" t="s">
        <v>22</v>
      </c>
      <c r="L387">
        <v>1553835600</v>
      </c>
      <c r="M387" s="9">
        <f>(((Table1[[#This Row],[launched_at]]/60)/60)/24)+DATE(1970,1,1)</f>
        <v>43553.208333333328</v>
      </c>
      <c r="N387">
        <v>1556600400</v>
      </c>
      <c r="O387" s="9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LEFT(Table1[[#This Row],[category &amp; sub-category]],SEARCH("/",Table1[[#This Row],[category &amp; sub-category]],1)-1)</f>
        <v>publishing</v>
      </c>
      <c r="T387" t="str">
        <f>RIGHT(Table1[[#This Row],[category &amp; sub-category]],LEN(Table1[[#This Row],[category &amp; sub-category]])-SEARCH("/",Table1[[#This Row],[category &amp; sub-category]],1))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(Table1[[#This Row],[pledged]]/Table1[[#This Row],[goal]])*100</f>
        <v>76.42361623616236</v>
      </c>
      <c r="G388" t="s">
        <v>14</v>
      </c>
      <c r="H388">
        <v>1068</v>
      </c>
      <c r="I388" s="4">
        <f>IFERROR(Table1[[#This Row],[pledged]]/Table1[[#This Row],[backers_count]],0)</f>
        <v>96.960674157303373</v>
      </c>
      <c r="J388" t="s">
        <v>21</v>
      </c>
      <c r="K388" t="s">
        <v>22</v>
      </c>
      <c r="L388">
        <v>1277528400</v>
      </c>
      <c r="M388" s="9">
        <f>(((Table1[[#This Row],[launched_at]]/60)/60)/24)+DATE(1970,1,1)</f>
        <v>40355.208333333336</v>
      </c>
      <c r="N388">
        <v>1278565200</v>
      </c>
      <c r="O388" s="9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LEFT(Table1[[#This Row],[category &amp; sub-category]],SEARCH("/",Table1[[#This Row],[category &amp; sub-category]],1)-1)</f>
        <v>theater</v>
      </c>
      <c r="T388" t="str">
        <f>RIGHT(Table1[[#This Row],[category &amp; sub-category]],LEN(Table1[[#This Row],[category &amp; sub-category]])-SEARCH("/",Table1[[#This Row],[category &amp; sub-category]],1))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(Table1[[#This Row],[pledged]]/Table1[[#This Row],[goal]])*100</f>
        <v>39.261467889908261</v>
      </c>
      <c r="G389" t="s">
        <v>14</v>
      </c>
      <c r="H389">
        <v>424</v>
      </c>
      <c r="I389" s="4">
        <f>IFERROR(Table1[[#This Row],[pledged]]/Table1[[#This Row],[backers_count]],0)</f>
        <v>100.93160377358491</v>
      </c>
      <c r="J389" t="s">
        <v>21</v>
      </c>
      <c r="K389" t="s">
        <v>22</v>
      </c>
      <c r="L389">
        <v>1339477200</v>
      </c>
      <c r="M389" s="9">
        <f>(((Table1[[#This Row],[launched_at]]/60)/60)/24)+DATE(1970,1,1)</f>
        <v>41072.208333333336</v>
      </c>
      <c r="N389">
        <v>1339909200</v>
      </c>
      <c r="O389" s="9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LEFT(Table1[[#This Row],[category &amp; sub-category]],SEARCH("/",Table1[[#This Row],[category &amp; sub-category]],1)-1)</f>
        <v>technology</v>
      </c>
      <c r="T389" t="str">
        <f>RIGHT(Table1[[#This Row],[category &amp; sub-category]],LEN(Table1[[#This Row],[category &amp; sub-category]])-SEARCH("/",Table1[[#This Row],[category &amp; sub-category]],1))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(Table1[[#This Row],[pledged]]/Table1[[#This Row],[goal]])*100</f>
        <v>11.270034843205574</v>
      </c>
      <c r="G390" t="s">
        <v>74</v>
      </c>
      <c r="H390">
        <v>145</v>
      </c>
      <c r="I390" s="4">
        <f>IFERROR(Table1[[#This Row],[pledged]]/Table1[[#This Row],[backers_count]],0)</f>
        <v>89.227586206896547</v>
      </c>
      <c r="J390" t="s">
        <v>98</v>
      </c>
      <c r="K390" t="s">
        <v>99</v>
      </c>
      <c r="L390">
        <v>1325656800</v>
      </c>
      <c r="M390" s="9">
        <f>(((Table1[[#This Row],[launched_at]]/60)/60)/24)+DATE(1970,1,1)</f>
        <v>40912.25</v>
      </c>
      <c r="N390">
        <v>1325829600</v>
      </c>
      <c r="O390" s="9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LEFT(Table1[[#This Row],[category &amp; sub-category]],SEARCH("/",Table1[[#This Row],[category &amp; sub-category]],1)-1)</f>
        <v>music</v>
      </c>
      <c r="T390" t="str">
        <f>RIGHT(Table1[[#This Row],[category &amp; sub-category]],LEN(Table1[[#This Row],[category &amp; sub-category]])-SEARCH("/",Table1[[#This Row],[category &amp; sub-category]],1))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(Table1[[#This Row],[pledged]]/Table1[[#This Row],[goal]])*100</f>
        <v>122.11084337349398</v>
      </c>
      <c r="G391" t="s">
        <v>20</v>
      </c>
      <c r="H391">
        <v>1152</v>
      </c>
      <c r="I391" s="4">
        <f>IFERROR(Table1[[#This Row],[pledged]]/Table1[[#This Row],[backers_count]],0)</f>
        <v>87.979166666666671</v>
      </c>
      <c r="J391" t="s">
        <v>21</v>
      </c>
      <c r="K391" t="s">
        <v>22</v>
      </c>
      <c r="L391">
        <v>1288242000</v>
      </c>
      <c r="M391" s="9">
        <f>(((Table1[[#This Row],[launched_at]]/60)/60)/24)+DATE(1970,1,1)</f>
        <v>40479.208333333336</v>
      </c>
      <c r="N391">
        <v>1290578400</v>
      </c>
      <c r="O391" s="9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LEFT(Table1[[#This Row],[category &amp; sub-category]],SEARCH("/",Table1[[#This Row],[category &amp; sub-category]],1)-1)</f>
        <v>theater</v>
      </c>
      <c r="T391" t="str">
        <f>RIGHT(Table1[[#This Row],[category &amp; sub-category]],LEN(Table1[[#This Row],[category &amp; sub-category]])-SEARCH("/",Table1[[#This Row],[category &amp; sub-category]],1))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(Table1[[#This Row],[pledged]]/Table1[[#This Row],[goal]])*100</f>
        <v>186.54166666666669</v>
      </c>
      <c r="G392" t="s">
        <v>20</v>
      </c>
      <c r="H392">
        <v>50</v>
      </c>
      <c r="I392" s="4">
        <f>IFERROR(Table1[[#This Row],[pledged]]/Table1[[#This Row],[backers_count]],0)</f>
        <v>89.54</v>
      </c>
      <c r="J392" t="s">
        <v>21</v>
      </c>
      <c r="K392" t="s">
        <v>22</v>
      </c>
      <c r="L392">
        <v>1379048400</v>
      </c>
      <c r="M392" s="9">
        <f>(((Table1[[#This Row],[launched_at]]/60)/60)/24)+DATE(1970,1,1)</f>
        <v>41530.208333333336</v>
      </c>
      <c r="N392">
        <v>1380344400</v>
      </c>
      <c r="O392" s="9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LEFT(Table1[[#This Row],[category &amp; sub-category]],SEARCH("/",Table1[[#This Row],[category &amp; sub-category]],1)-1)</f>
        <v>photography</v>
      </c>
      <c r="T392" t="str">
        <f>RIGHT(Table1[[#This Row],[category &amp; sub-category]],LEN(Table1[[#This Row],[category &amp; sub-category]])-SEARCH("/",Table1[[#This Row],[category &amp; sub-category]],1))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(Table1[[#This Row],[pledged]]/Table1[[#This Row],[goal]])*100</f>
        <v>7.2731788079470201</v>
      </c>
      <c r="G393" t="s">
        <v>14</v>
      </c>
      <c r="H393">
        <v>151</v>
      </c>
      <c r="I393" s="4">
        <f>IFERROR(Table1[[#This Row],[pledged]]/Table1[[#This Row],[backers_count]],0)</f>
        <v>29.09271523178808</v>
      </c>
      <c r="J393" t="s">
        <v>21</v>
      </c>
      <c r="K393" t="s">
        <v>22</v>
      </c>
      <c r="L393">
        <v>1389679200</v>
      </c>
      <c r="M393" s="9">
        <f>(((Table1[[#This Row],[launched_at]]/60)/60)/24)+DATE(1970,1,1)</f>
        <v>41653.25</v>
      </c>
      <c r="N393">
        <v>1389852000</v>
      </c>
      <c r="O393" s="9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LEFT(Table1[[#This Row],[category &amp; sub-category]],SEARCH("/",Table1[[#This Row],[category &amp; sub-category]],1)-1)</f>
        <v>publishing</v>
      </c>
      <c r="T393" t="str">
        <f>RIGHT(Table1[[#This Row],[category &amp; sub-category]],LEN(Table1[[#This Row],[category &amp; sub-category]])-SEARCH("/",Table1[[#This Row],[category &amp; sub-category]],1))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(Table1[[#This Row],[pledged]]/Table1[[#This Row],[goal]])*100</f>
        <v>65.642371234207957</v>
      </c>
      <c r="G394" t="s">
        <v>14</v>
      </c>
      <c r="H394">
        <v>1608</v>
      </c>
      <c r="I394" s="4">
        <f>IFERROR(Table1[[#This Row],[pledged]]/Table1[[#This Row],[backers_count]],0)</f>
        <v>42.006218905472636</v>
      </c>
      <c r="J394" t="s">
        <v>21</v>
      </c>
      <c r="K394" t="s">
        <v>22</v>
      </c>
      <c r="L394">
        <v>1294293600</v>
      </c>
      <c r="M394" s="9">
        <f>(((Table1[[#This Row],[launched_at]]/60)/60)/24)+DATE(1970,1,1)</f>
        <v>40549.25</v>
      </c>
      <c r="N394">
        <v>1294466400</v>
      </c>
      <c r="O394" s="9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LEFT(Table1[[#This Row],[category &amp; sub-category]],SEARCH("/",Table1[[#This Row],[category &amp; sub-category]],1)-1)</f>
        <v>technology</v>
      </c>
      <c r="T394" t="str">
        <f>RIGHT(Table1[[#This Row],[category &amp; sub-category]],LEN(Table1[[#This Row],[category &amp; sub-category]])-SEARCH("/",Table1[[#This Row],[category &amp; sub-category]],1))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(Table1[[#This Row],[pledged]]/Table1[[#This Row],[goal]])*100</f>
        <v>228.96178343949046</v>
      </c>
      <c r="G395" t="s">
        <v>20</v>
      </c>
      <c r="H395">
        <v>3059</v>
      </c>
      <c r="I395" s="4">
        <f>IFERROR(Table1[[#This Row],[pledged]]/Table1[[#This Row],[backers_count]],0)</f>
        <v>47.004903563255965</v>
      </c>
      <c r="J395" t="s">
        <v>15</v>
      </c>
      <c r="K395" t="s">
        <v>16</v>
      </c>
      <c r="L395">
        <v>1500267600</v>
      </c>
      <c r="M395" s="9">
        <f>(((Table1[[#This Row],[launched_at]]/60)/60)/24)+DATE(1970,1,1)</f>
        <v>42933.208333333328</v>
      </c>
      <c r="N395">
        <v>1500354000</v>
      </c>
      <c r="O395" s="9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LEFT(Table1[[#This Row],[category &amp; sub-category]],SEARCH("/",Table1[[#This Row],[category &amp; sub-category]],1)-1)</f>
        <v>music</v>
      </c>
      <c r="T395" t="str">
        <f>RIGHT(Table1[[#This Row],[category &amp; sub-category]],LEN(Table1[[#This Row],[category &amp; sub-category]])-SEARCH("/",Table1[[#This Row],[category &amp; sub-category]],1))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(Table1[[#This Row],[pledged]]/Table1[[#This Row],[goal]])*100</f>
        <v>469.37499999999994</v>
      </c>
      <c r="G396" t="s">
        <v>20</v>
      </c>
      <c r="H396">
        <v>34</v>
      </c>
      <c r="I396" s="4">
        <f>IFERROR(Table1[[#This Row],[pledged]]/Table1[[#This Row],[backers_count]],0)</f>
        <v>110.44117647058823</v>
      </c>
      <c r="J396" t="s">
        <v>21</v>
      </c>
      <c r="K396" t="s">
        <v>22</v>
      </c>
      <c r="L396">
        <v>1375074000</v>
      </c>
      <c r="M396" s="9">
        <f>(((Table1[[#This Row],[launched_at]]/60)/60)/24)+DATE(1970,1,1)</f>
        <v>41484.208333333336</v>
      </c>
      <c r="N396">
        <v>1375938000</v>
      </c>
      <c r="O396" s="9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LEFT(Table1[[#This Row],[category &amp; sub-category]],SEARCH("/",Table1[[#This Row],[category &amp; sub-category]],1)-1)</f>
        <v>film &amp; video</v>
      </c>
      <c r="T396" t="str">
        <f>RIGHT(Table1[[#This Row],[category &amp; sub-category]],LEN(Table1[[#This Row],[category &amp; sub-category]])-SEARCH("/",Table1[[#This Row],[category &amp; sub-category]],1))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(Table1[[#This Row],[pledged]]/Table1[[#This Row],[goal]])*100</f>
        <v>130.11267605633802</v>
      </c>
      <c r="G397" t="s">
        <v>20</v>
      </c>
      <c r="H397">
        <v>220</v>
      </c>
      <c r="I397" s="4">
        <f>IFERROR(Table1[[#This Row],[pledged]]/Table1[[#This Row],[backers_count]],0)</f>
        <v>41.990909090909092</v>
      </c>
      <c r="J397" t="s">
        <v>21</v>
      </c>
      <c r="K397" t="s">
        <v>22</v>
      </c>
      <c r="L397">
        <v>1323324000</v>
      </c>
      <c r="M397" s="9">
        <f>(((Table1[[#This Row],[launched_at]]/60)/60)/24)+DATE(1970,1,1)</f>
        <v>40885.25</v>
      </c>
      <c r="N397">
        <v>1323410400</v>
      </c>
      <c r="O397" s="9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LEFT(Table1[[#This Row],[category &amp; sub-category]],SEARCH("/",Table1[[#This Row],[category &amp; sub-category]],1)-1)</f>
        <v>theater</v>
      </c>
      <c r="T397" t="str">
        <f>RIGHT(Table1[[#This Row],[category &amp; sub-category]],LEN(Table1[[#This Row],[category &amp; sub-category]])-SEARCH("/",Table1[[#This Row],[category &amp; sub-category]],1))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(Table1[[#This Row],[pledged]]/Table1[[#This Row],[goal]])*100</f>
        <v>167.05422993492408</v>
      </c>
      <c r="G398" t="s">
        <v>20</v>
      </c>
      <c r="H398">
        <v>1604</v>
      </c>
      <c r="I398" s="4">
        <f>IFERROR(Table1[[#This Row],[pledged]]/Table1[[#This Row],[backers_count]],0)</f>
        <v>48.012468827930178</v>
      </c>
      <c r="J398" t="s">
        <v>26</v>
      </c>
      <c r="K398" t="s">
        <v>27</v>
      </c>
      <c r="L398">
        <v>1538715600</v>
      </c>
      <c r="M398" s="9">
        <f>(((Table1[[#This Row],[launched_at]]/60)/60)/24)+DATE(1970,1,1)</f>
        <v>43378.208333333328</v>
      </c>
      <c r="N398">
        <v>1539406800</v>
      </c>
      <c r="O398" s="9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LEFT(Table1[[#This Row],[category &amp; sub-category]],SEARCH("/",Table1[[#This Row],[category &amp; sub-category]],1)-1)</f>
        <v>film &amp; video</v>
      </c>
      <c r="T398" t="str">
        <f>RIGHT(Table1[[#This Row],[category &amp; sub-category]],LEN(Table1[[#This Row],[category &amp; sub-category]])-SEARCH("/",Table1[[#This Row],[category &amp; sub-category]],1))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(Table1[[#This Row],[pledged]]/Table1[[#This Row],[goal]])*100</f>
        <v>173.8641975308642</v>
      </c>
      <c r="G399" t="s">
        <v>20</v>
      </c>
      <c r="H399">
        <v>454</v>
      </c>
      <c r="I399" s="4">
        <f>IFERROR(Table1[[#This Row],[pledged]]/Table1[[#This Row],[backers_count]],0)</f>
        <v>31.019823788546255</v>
      </c>
      <c r="J399" t="s">
        <v>21</v>
      </c>
      <c r="K399" t="s">
        <v>22</v>
      </c>
      <c r="L399">
        <v>1369285200</v>
      </c>
      <c r="M399" s="9">
        <f>(((Table1[[#This Row],[launched_at]]/60)/60)/24)+DATE(1970,1,1)</f>
        <v>41417.208333333336</v>
      </c>
      <c r="N399">
        <v>1369803600</v>
      </c>
      <c r="O399" s="9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LEFT(Table1[[#This Row],[category &amp; sub-category]],SEARCH("/",Table1[[#This Row],[category &amp; sub-category]],1)-1)</f>
        <v>music</v>
      </c>
      <c r="T399" t="str">
        <f>RIGHT(Table1[[#This Row],[category &amp; sub-category]],LEN(Table1[[#This Row],[category &amp; sub-category]])-SEARCH("/",Table1[[#This Row],[category &amp; sub-category]],1))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(Table1[[#This Row],[pledged]]/Table1[[#This Row],[goal]])*100</f>
        <v>717.76470588235293</v>
      </c>
      <c r="G400" t="s">
        <v>20</v>
      </c>
      <c r="H400">
        <v>123</v>
      </c>
      <c r="I400" s="4">
        <f>IFERROR(Table1[[#This Row],[pledged]]/Table1[[#This Row],[backers_count]],0)</f>
        <v>99.203252032520325</v>
      </c>
      <c r="J400" t="s">
        <v>107</v>
      </c>
      <c r="K400" t="s">
        <v>108</v>
      </c>
      <c r="L400">
        <v>1525755600</v>
      </c>
      <c r="M400" s="9">
        <f>(((Table1[[#This Row],[launched_at]]/60)/60)/24)+DATE(1970,1,1)</f>
        <v>43228.208333333328</v>
      </c>
      <c r="N400">
        <v>1525928400</v>
      </c>
      <c r="O400" s="9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LEFT(Table1[[#This Row],[category &amp; sub-category]],SEARCH("/",Table1[[#This Row],[category &amp; sub-category]],1)-1)</f>
        <v>film &amp; video</v>
      </c>
      <c r="T400" t="str">
        <f>RIGHT(Table1[[#This Row],[category &amp; sub-category]],LEN(Table1[[#This Row],[category &amp; sub-category]])-SEARCH("/",Table1[[#This Row],[category &amp; sub-category]],1))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(Table1[[#This Row],[pledged]]/Table1[[#This Row],[goal]])*100</f>
        <v>63.850976361767728</v>
      </c>
      <c r="G401" t="s">
        <v>14</v>
      </c>
      <c r="H401">
        <v>941</v>
      </c>
      <c r="I401" s="4">
        <f>IFERROR(Table1[[#This Row],[pledged]]/Table1[[#This Row],[backers_count]],0)</f>
        <v>66.022316684378325</v>
      </c>
      <c r="J401" t="s">
        <v>21</v>
      </c>
      <c r="K401" t="s">
        <v>22</v>
      </c>
      <c r="L401">
        <v>1296626400</v>
      </c>
      <c r="M401" s="9">
        <f>(((Table1[[#This Row],[launched_at]]/60)/60)/24)+DATE(1970,1,1)</f>
        <v>40576.25</v>
      </c>
      <c r="N401">
        <v>1297231200</v>
      </c>
      <c r="O401" s="9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LEFT(Table1[[#This Row],[category &amp; sub-category]],SEARCH("/",Table1[[#This Row],[category &amp; sub-category]],1)-1)</f>
        <v>music</v>
      </c>
      <c r="T401" t="str">
        <f>RIGHT(Table1[[#This Row],[category &amp; sub-category]],LEN(Table1[[#This Row],[category &amp; sub-category]])-SEARCH("/",Table1[[#This Row],[category &amp; sub-category]],1))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(Table1[[#This Row],[pledged]]/Table1[[#This Row],[goal]])*100</f>
        <v>2</v>
      </c>
      <c r="G402" t="s">
        <v>14</v>
      </c>
      <c r="H402">
        <v>1</v>
      </c>
      <c r="I402" s="4">
        <f>IFERROR(Table1[[#This Row],[pledged]]/Table1[[#This Row],[backers_count]],0)</f>
        <v>2</v>
      </c>
      <c r="J402" t="s">
        <v>21</v>
      </c>
      <c r="K402" t="s">
        <v>22</v>
      </c>
      <c r="L402">
        <v>1376629200</v>
      </c>
      <c r="M402" s="9">
        <f>(((Table1[[#This Row],[launched_at]]/60)/60)/24)+DATE(1970,1,1)</f>
        <v>41502.208333333336</v>
      </c>
      <c r="N402">
        <v>1378530000</v>
      </c>
      <c r="O402" s="9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LEFT(Table1[[#This Row],[category &amp; sub-category]],SEARCH("/",Table1[[#This Row],[category &amp; sub-category]],1)-1)</f>
        <v>photography</v>
      </c>
      <c r="T402" t="str">
        <f>RIGHT(Table1[[#This Row],[category &amp; sub-category]],LEN(Table1[[#This Row],[category &amp; sub-category]])-SEARCH("/",Table1[[#This Row],[category &amp; sub-category]],1))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(Table1[[#This Row],[pledged]]/Table1[[#This Row],[goal]])*100</f>
        <v>1530.2222222222222</v>
      </c>
      <c r="G403" t="s">
        <v>20</v>
      </c>
      <c r="H403">
        <v>299</v>
      </c>
      <c r="I403" s="4">
        <f>IFERROR(Table1[[#This Row],[pledged]]/Table1[[#This Row],[backers_count]],0)</f>
        <v>46.060200668896321</v>
      </c>
      <c r="J403" t="s">
        <v>21</v>
      </c>
      <c r="K403" t="s">
        <v>22</v>
      </c>
      <c r="L403">
        <v>1572152400</v>
      </c>
      <c r="M403" s="9">
        <f>(((Table1[[#This Row],[launched_at]]/60)/60)/24)+DATE(1970,1,1)</f>
        <v>43765.208333333328</v>
      </c>
      <c r="N403">
        <v>1572152400</v>
      </c>
      <c r="O403" s="9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LEFT(Table1[[#This Row],[category &amp; sub-category]],SEARCH("/",Table1[[#This Row],[category &amp; sub-category]],1)-1)</f>
        <v>theater</v>
      </c>
      <c r="T403" t="str">
        <f>RIGHT(Table1[[#This Row],[category &amp; sub-category]],LEN(Table1[[#This Row],[category &amp; sub-category]])-SEARCH("/",Table1[[#This Row],[category &amp; sub-category]],1))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(Table1[[#This Row],[pledged]]/Table1[[#This Row],[goal]])*100</f>
        <v>40.356164383561641</v>
      </c>
      <c r="G404" t="s">
        <v>14</v>
      </c>
      <c r="H404">
        <v>40</v>
      </c>
      <c r="I404" s="4">
        <f>IFERROR(Table1[[#This Row],[pledged]]/Table1[[#This Row],[backers_count]],0)</f>
        <v>73.650000000000006</v>
      </c>
      <c r="J404" t="s">
        <v>21</v>
      </c>
      <c r="K404" t="s">
        <v>22</v>
      </c>
      <c r="L404">
        <v>1325829600</v>
      </c>
      <c r="M404" s="9">
        <f>(((Table1[[#This Row],[launched_at]]/60)/60)/24)+DATE(1970,1,1)</f>
        <v>40914.25</v>
      </c>
      <c r="N404">
        <v>1329890400</v>
      </c>
      <c r="O404" s="9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LEFT(Table1[[#This Row],[category &amp; sub-category]],SEARCH("/",Table1[[#This Row],[category &amp; sub-category]],1)-1)</f>
        <v>film &amp; video</v>
      </c>
      <c r="T404" t="str">
        <f>RIGHT(Table1[[#This Row],[category &amp; sub-category]],LEN(Table1[[#This Row],[category &amp; sub-category]])-SEARCH("/",Table1[[#This Row],[category &amp; sub-category]],1))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(Table1[[#This Row],[pledged]]/Table1[[#This Row],[goal]])*100</f>
        <v>86.220633299284984</v>
      </c>
      <c r="G405" t="s">
        <v>14</v>
      </c>
      <c r="H405">
        <v>3015</v>
      </c>
      <c r="I405" s="4">
        <f>IFERROR(Table1[[#This Row],[pledged]]/Table1[[#This Row],[backers_count]],0)</f>
        <v>55.99336650082919</v>
      </c>
      <c r="J405" t="s">
        <v>15</v>
      </c>
      <c r="K405" t="s">
        <v>16</v>
      </c>
      <c r="L405">
        <v>1273640400</v>
      </c>
      <c r="M405" s="9">
        <f>(((Table1[[#This Row],[launched_at]]/60)/60)/24)+DATE(1970,1,1)</f>
        <v>40310.208333333336</v>
      </c>
      <c r="N405">
        <v>1276750800</v>
      </c>
      <c r="O405" s="9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LEFT(Table1[[#This Row],[category &amp; sub-category]],SEARCH("/",Table1[[#This Row],[category &amp; sub-category]],1)-1)</f>
        <v>theater</v>
      </c>
      <c r="T405" t="str">
        <f>RIGHT(Table1[[#This Row],[category &amp; sub-category]],LEN(Table1[[#This Row],[category &amp; sub-category]])-SEARCH("/",Table1[[#This Row],[category &amp; sub-category]],1))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(Table1[[#This Row],[pledged]]/Table1[[#This Row],[goal]])*100</f>
        <v>315.58486707566465</v>
      </c>
      <c r="G406" t="s">
        <v>20</v>
      </c>
      <c r="H406">
        <v>2237</v>
      </c>
      <c r="I406" s="4">
        <f>IFERROR(Table1[[#This Row],[pledged]]/Table1[[#This Row],[backers_count]],0)</f>
        <v>68.985695127402778</v>
      </c>
      <c r="J406" t="s">
        <v>21</v>
      </c>
      <c r="K406" t="s">
        <v>22</v>
      </c>
      <c r="L406">
        <v>1510639200</v>
      </c>
      <c r="M406" s="9">
        <f>(((Table1[[#This Row],[launched_at]]/60)/60)/24)+DATE(1970,1,1)</f>
        <v>43053.25</v>
      </c>
      <c r="N406">
        <v>1510898400</v>
      </c>
      <c r="O406" s="9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LEFT(Table1[[#This Row],[category &amp; sub-category]],SEARCH("/",Table1[[#This Row],[category &amp; sub-category]],1)-1)</f>
        <v>theater</v>
      </c>
      <c r="T406" t="str">
        <f>RIGHT(Table1[[#This Row],[category &amp; sub-category]],LEN(Table1[[#This Row],[category &amp; sub-category]])-SEARCH("/",Table1[[#This Row],[category &amp; sub-category]],1))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(Table1[[#This Row],[pledged]]/Table1[[#This Row],[goal]])*100</f>
        <v>89.618243243243242</v>
      </c>
      <c r="G407" t="s">
        <v>14</v>
      </c>
      <c r="H407">
        <v>435</v>
      </c>
      <c r="I407" s="4">
        <f>IFERROR(Table1[[#This Row],[pledged]]/Table1[[#This Row],[backers_count]],0)</f>
        <v>60.981609195402299</v>
      </c>
      <c r="J407" t="s">
        <v>21</v>
      </c>
      <c r="K407" t="s">
        <v>22</v>
      </c>
      <c r="L407">
        <v>1528088400</v>
      </c>
      <c r="M407" s="9">
        <f>(((Table1[[#This Row],[launched_at]]/60)/60)/24)+DATE(1970,1,1)</f>
        <v>43255.208333333328</v>
      </c>
      <c r="N407">
        <v>1532408400</v>
      </c>
      <c r="O407" s="9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LEFT(Table1[[#This Row],[category &amp; sub-category]],SEARCH("/",Table1[[#This Row],[category &amp; sub-category]],1)-1)</f>
        <v>theater</v>
      </c>
      <c r="T407" t="str">
        <f>RIGHT(Table1[[#This Row],[category &amp; sub-category]],LEN(Table1[[#This Row],[category &amp; sub-category]])-SEARCH("/",Table1[[#This Row],[category &amp; sub-category]],1))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(Table1[[#This Row],[pledged]]/Table1[[#This Row],[goal]])*100</f>
        <v>182.14503816793894</v>
      </c>
      <c r="G408" t="s">
        <v>20</v>
      </c>
      <c r="H408">
        <v>645</v>
      </c>
      <c r="I408" s="4">
        <f>IFERROR(Table1[[#This Row],[pledged]]/Table1[[#This Row],[backers_count]],0)</f>
        <v>110.98139534883721</v>
      </c>
      <c r="J408" t="s">
        <v>21</v>
      </c>
      <c r="K408" t="s">
        <v>22</v>
      </c>
      <c r="L408">
        <v>1359525600</v>
      </c>
      <c r="M408" s="9">
        <f>(((Table1[[#This Row],[launched_at]]/60)/60)/24)+DATE(1970,1,1)</f>
        <v>41304.25</v>
      </c>
      <c r="N408">
        <v>1360562400</v>
      </c>
      <c r="O408" s="9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LEFT(Table1[[#This Row],[category &amp; sub-category]],SEARCH("/",Table1[[#This Row],[category &amp; sub-category]],1)-1)</f>
        <v>film &amp; video</v>
      </c>
      <c r="T408" t="str">
        <f>RIGHT(Table1[[#This Row],[category &amp; sub-category]],LEN(Table1[[#This Row],[category &amp; sub-category]])-SEARCH("/",Table1[[#This Row],[category &amp; sub-category]],1))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(Table1[[#This Row],[pledged]]/Table1[[#This Row],[goal]])*100</f>
        <v>355.88235294117646</v>
      </c>
      <c r="G409" t="s">
        <v>20</v>
      </c>
      <c r="H409">
        <v>484</v>
      </c>
      <c r="I409" s="4">
        <f>IFERROR(Table1[[#This Row],[pledged]]/Table1[[#This Row],[backers_count]],0)</f>
        <v>25</v>
      </c>
      <c r="J409" t="s">
        <v>36</v>
      </c>
      <c r="K409" t="s">
        <v>37</v>
      </c>
      <c r="L409">
        <v>1570942800</v>
      </c>
      <c r="M409" s="9">
        <f>(((Table1[[#This Row],[launched_at]]/60)/60)/24)+DATE(1970,1,1)</f>
        <v>43751.208333333328</v>
      </c>
      <c r="N409">
        <v>1571547600</v>
      </c>
      <c r="O409" s="9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LEFT(Table1[[#This Row],[category &amp; sub-category]],SEARCH("/",Table1[[#This Row],[category &amp; sub-category]],1)-1)</f>
        <v>theater</v>
      </c>
      <c r="T409" t="str">
        <f>RIGHT(Table1[[#This Row],[category &amp; sub-category]],LEN(Table1[[#This Row],[category &amp; sub-category]])-SEARCH("/",Table1[[#This Row],[category &amp; sub-category]],1))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(Table1[[#This Row],[pledged]]/Table1[[#This Row],[goal]])*100</f>
        <v>131.83695652173913</v>
      </c>
      <c r="G410" t="s">
        <v>20</v>
      </c>
      <c r="H410">
        <v>154</v>
      </c>
      <c r="I410" s="4">
        <f>IFERROR(Table1[[#This Row],[pledged]]/Table1[[#This Row],[backers_count]],0)</f>
        <v>78.759740259740255</v>
      </c>
      <c r="J410" t="s">
        <v>15</v>
      </c>
      <c r="K410" t="s">
        <v>16</v>
      </c>
      <c r="L410">
        <v>1466398800</v>
      </c>
      <c r="M410" s="9">
        <f>(((Table1[[#This Row],[launched_at]]/60)/60)/24)+DATE(1970,1,1)</f>
        <v>42541.208333333328</v>
      </c>
      <c r="N410">
        <v>1468126800</v>
      </c>
      <c r="O410" s="9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LEFT(Table1[[#This Row],[category &amp; sub-category]],SEARCH("/",Table1[[#This Row],[category &amp; sub-category]],1)-1)</f>
        <v>film &amp; video</v>
      </c>
      <c r="T410" t="str">
        <f>RIGHT(Table1[[#This Row],[category &amp; sub-category]],LEN(Table1[[#This Row],[category &amp; sub-category]])-SEARCH("/",Table1[[#This Row],[category &amp; sub-category]],1))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(Table1[[#This Row],[pledged]]/Table1[[#This Row],[goal]])*100</f>
        <v>46.315634218289084</v>
      </c>
      <c r="G411" t="s">
        <v>14</v>
      </c>
      <c r="H411">
        <v>714</v>
      </c>
      <c r="I411" s="4">
        <f>IFERROR(Table1[[#This Row],[pledged]]/Table1[[#This Row],[backers_count]],0)</f>
        <v>87.960784313725483</v>
      </c>
      <c r="J411" t="s">
        <v>21</v>
      </c>
      <c r="K411" t="s">
        <v>22</v>
      </c>
      <c r="L411">
        <v>1492491600</v>
      </c>
      <c r="M411" s="9">
        <f>(((Table1[[#This Row],[launched_at]]/60)/60)/24)+DATE(1970,1,1)</f>
        <v>42843.208333333328</v>
      </c>
      <c r="N411">
        <v>1492837200</v>
      </c>
      <c r="O411" s="9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LEFT(Table1[[#This Row],[category &amp; sub-category]],SEARCH("/",Table1[[#This Row],[category &amp; sub-category]],1)-1)</f>
        <v>music</v>
      </c>
      <c r="T411" t="str">
        <f>RIGHT(Table1[[#This Row],[category &amp; sub-category]],LEN(Table1[[#This Row],[category &amp; sub-category]])-SEARCH("/",Table1[[#This Row],[category &amp; sub-category]],1))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(Table1[[#This Row],[pledged]]/Table1[[#This Row],[goal]])*100</f>
        <v>36.132726089785294</v>
      </c>
      <c r="G412" t="s">
        <v>47</v>
      </c>
      <c r="H412">
        <v>1111</v>
      </c>
      <c r="I412" s="4">
        <f>IFERROR(Table1[[#This Row],[pledged]]/Table1[[#This Row],[backers_count]],0)</f>
        <v>49.987398739873989</v>
      </c>
      <c r="J412" t="s">
        <v>21</v>
      </c>
      <c r="K412" t="s">
        <v>22</v>
      </c>
      <c r="L412">
        <v>1430197200</v>
      </c>
      <c r="M412" s="9">
        <f>(((Table1[[#This Row],[launched_at]]/60)/60)/24)+DATE(1970,1,1)</f>
        <v>42122.208333333328</v>
      </c>
      <c r="N412">
        <v>1430197200</v>
      </c>
      <c r="O412" s="9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LEFT(Table1[[#This Row],[category &amp; sub-category]],SEARCH("/",Table1[[#This Row],[category &amp; sub-category]],1)-1)</f>
        <v>games</v>
      </c>
      <c r="T412" t="str">
        <f>RIGHT(Table1[[#This Row],[category &amp; sub-category]],LEN(Table1[[#This Row],[category &amp; sub-category]])-SEARCH("/",Table1[[#This Row],[category &amp; sub-category]],1))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(Table1[[#This Row],[pledged]]/Table1[[#This Row],[goal]])*100</f>
        <v>104.62820512820512</v>
      </c>
      <c r="G413" t="s">
        <v>20</v>
      </c>
      <c r="H413">
        <v>82</v>
      </c>
      <c r="I413" s="4">
        <f>IFERROR(Table1[[#This Row],[pledged]]/Table1[[#This Row],[backers_count]],0)</f>
        <v>99.524390243902445</v>
      </c>
      <c r="J413" t="s">
        <v>21</v>
      </c>
      <c r="K413" t="s">
        <v>22</v>
      </c>
      <c r="L413">
        <v>1496034000</v>
      </c>
      <c r="M413" s="9">
        <f>(((Table1[[#This Row],[launched_at]]/60)/60)/24)+DATE(1970,1,1)</f>
        <v>42884.208333333328</v>
      </c>
      <c r="N413">
        <v>1496206800</v>
      </c>
      <c r="O413" s="9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LEFT(Table1[[#This Row],[category &amp; sub-category]],SEARCH("/",Table1[[#This Row],[category &amp; sub-category]],1)-1)</f>
        <v>theater</v>
      </c>
      <c r="T413" t="str">
        <f>RIGHT(Table1[[#This Row],[category &amp; sub-category]],LEN(Table1[[#This Row],[category &amp; sub-category]])-SEARCH("/",Table1[[#This Row],[category &amp; sub-category]],1))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(Table1[[#This Row],[pledged]]/Table1[[#This Row],[goal]])*100</f>
        <v>668.85714285714289</v>
      </c>
      <c r="G414" t="s">
        <v>20</v>
      </c>
      <c r="H414">
        <v>134</v>
      </c>
      <c r="I414" s="4">
        <f>IFERROR(Table1[[#This Row],[pledged]]/Table1[[#This Row],[backers_count]],0)</f>
        <v>104.82089552238806</v>
      </c>
      <c r="J414" t="s">
        <v>21</v>
      </c>
      <c r="K414" t="s">
        <v>22</v>
      </c>
      <c r="L414">
        <v>1388728800</v>
      </c>
      <c r="M414" s="9">
        <f>(((Table1[[#This Row],[launched_at]]/60)/60)/24)+DATE(1970,1,1)</f>
        <v>41642.25</v>
      </c>
      <c r="N414">
        <v>1389592800</v>
      </c>
      <c r="O414" s="9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LEFT(Table1[[#This Row],[category &amp; sub-category]],SEARCH("/",Table1[[#This Row],[category &amp; sub-category]],1)-1)</f>
        <v>publishing</v>
      </c>
      <c r="T414" t="str">
        <f>RIGHT(Table1[[#This Row],[category &amp; sub-category]],LEN(Table1[[#This Row],[category &amp; sub-category]])-SEARCH("/",Table1[[#This Row],[category &amp; sub-category]],1))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(Table1[[#This Row],[pledged]]/Table1[[#This Row],[goal]])*100</f>
        <v>62.072823218997364</v>
      </c>
      <c r="G415" t="s">
        <v>47</v>
      </c>
      <c r="H415">
        <v>1089</v>
      </c>
      <c r="I415" s="4">
        <f>IFERROR(Table1[[#This Row],[pledged]]/Table1[[#This Row],[backers_count]],0)</f>
        <v>108.01469237832875</v>
      </c>
      <c r="J415" t="s">
        <v>21</v>
      </c>
      <c r="K415" t="s">
        <v>22</v>
      </c>
      <c r="L415">
        <v>1543298400</v>
      </c>
      <c r="M415" s="9">
        <f>(((Table1[[#This Row],[launched_at]]/60)/60)/24)+DATE(1970,1,1)</f>
        <v>43431.25</v>
      </c>
      <c r="N415">
        <v>1545631200</v>
      </c>
      <c r="O415" s="9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LEFT(Table1[[#This Row],[category &amp; sub-category]],SEARCH("/",Table1[[#This Row],[category &amp; sub-category]],1)-1)</f>
        <v>film &amp; video</v>
      </c>
      <c r="T415" t="str">
        <f>RIGHT(Table1[[#This Row],[category &amp; sub-category]],LEN(Table1[[#This Row],[category &amp; sub-category]])-SEARCH("/",Table1[[#This Row],[category &amp; sub-category]],1))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(Table1[[#This Row],[pledged]]/Table1[[#This Row],[goal]])*100</f>
        <v>84.699787460148784</v>
      </c>
      <c r="G416" t="s">
        <v>14</v>
      </c>
      <c r="H416">
        <v>5497</v>
      </c>
      <c r="I416" s="4">
        <f>IFERROR(Table1[[#This Row],[pledged]]/Table1[[#This Row],[backers_count]],0)</f>
        <v>28.998544660724033</v>
      </c>
      <c r="J416" t="s">
        <v>21</v>
      </c>
      <c r="K416" t="s">
        <v>22</v>
      </c>
      <c r="L416">
        <v>1271739600</v>
      </c>
      <c r="M416" s="9">
        <f>(((Table1[[#This Row],[launched_at]]/60)/60)/24)+DATE(1970,1,1)</f>
        <v>40288.208333333336</v>
      </c>
      <c r="N416">
        <v>1272430800</v>
      </c>
      <c r="O416" s="9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LEFT(Table1[[#This Row],[category &amp; sub-category]],SEARCH("/",Table1[[#This Row],[category &amp; sub-category]],1)-1)</f>
        <v>food</v>
      </c>
      <c r="T416" t="str">
        <f>RIGHT(Table1[[#This Row],[category &amp; sub-category]],LEN(Table1[[#This Row],[category &amp; sub-category]])-SEARCH("/",Table1[[#This Row],[category &amp; sub-category]],1))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(Table1[[#This Row],[pledged]]/Table1[[#This Row],[goal]])*100</f>
        <v>11.059030837004405</v>
      </c>
      <c r="G417" t="s">
        <v>14</v>
      </c>
      <c r="H417">
        <v>418</v>
      </c>
      <c r="I417" s="4">
        <f>IFERROR(Table1[[#This Row],[pledged]]/Table1[[#This Row],[backers_count]],0)</f>
        <v>30.028708133971293</v>
      </c>
      <c r="J417" t="s">
        <v>21</v>
      </c>
      <c r="K417" t="s">
        <v>22</v>
      </c>
      <c r="L417">
        <v>1326434400</v>
      </c>
      <c r="M417" s="9">
        <f>(((Table1[[#This Row],[launched_at]]/60)/60)/24)+DATE(1970,1,1)</f>
        <v>40921.25</v>
      </c>
      <c r="N417">
        <v>1327903200</v>
      </c>
      <c r="O417" s="9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LEFT(Table1[[#This Row],[category &amp; sub-category]],SEARCH("/",Table1[[#This Row],[category &amp; sub-category]],1)-1)</f>
        <v>theater</v>
      </c>
      <c r="T417" t="str">
        <f>RIGHT(Table1[[#This Row],[category &amp; sub-category]],LEN(Table1[[#This Row],[category &amp; sub-category]])-SEARCH("/",Table1[[#This Row],[category &amp; sub-category]],1))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(Table1[[#This Row],[pledged]]/Table1[[#This Row],[goal]])*100</f>
        <v>43.838781575037146</v>
      </c>
      <c r="G418" t="s">
        <v>14</v>
      </c>
      <c r="H418">
        <v>1439</v>
      </c>
      <c r="I418" s="4">
        <f>IFERROR(Table1[[#This Row],[pledged]]/Table1[[#This Row],[backers_count]],0)</f>
        <v>41.005559416261292</v>
      </c>
      <c r="J418" t="s">
        <v>21</v>
      </c>
      <c r="K418" t="s">
        <v>22</v>
      </c>
      <c r="L418">
        <v>1295244000</v>
      </c>
      <c r="M418" s="9">
        <f>(((Table1[[#This Row],[launched_at]]/60)/60)/24)+DATE(1970,1,1)</f>
        <v>40560.25</v>
      </c>
      <c r="N418">
        <v>1296021600</v>
      </c>
      <c r="O418" s="9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LEFT(Table1[[#This Row],[category &amp; sub-category]],SEARCH("/",Table1[[#This Row],[category &amp; sub-category]],1)-1)</f>
        <v>film &amp; video</v>
      </c>
      <c r="T418" t="str">
        <f>RIGHT(Table1[[#This Row],[category &amp; sub-category]],LEN(Table1[[#This Row],[category &amp; sub-category]])-SEARCH("/",Table1[[#This Row],[category &amp; sub-category]],1))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(Table1[[#This Row],[pledged]]/Table1[[#This Row],[goal]])*100</f>
        <v>55.470588235294116</v>
      </c>
      <c r="G419" t="s">
        <v>14</v>
      </c>
      <c r="H419">
        <v>15</v>
      </c>
      <c r="I419" s="4">
        <f>IFERROR(Table1[[#This Row],[pledged]]/Table1[[#This Row],[backers_count]],0)</f>
        <v>62.866666666666667</v>
      </c>
      <c r="J419" t="s">
        <v>21</v>
      </c>
      <c r="K419" t="s">
        <v>22</v>
      </c>
      <c r="L419">
        <v>1541221200</v>
      </c>
      <c r="M419" s="9">
        <f>(((Table1[[#This Row],[launched_at]]/60)/60)/24)+DATE(1970,1,1)</f>
        <v>43407.208333333328</v>
      </c>
      <c r="N419">
        <v>1543298400</v>
      </c>
      <c r="O419" s="9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LEFT(Table1[[#This Row],[category &amp; sub-category]],SEARCH("/",Table1[[#This Row],[category &amp; sub-category]],1)-1)</f>
        <v>theater</v>
      </c>
      <c r="T419" t="str">
        <f>RIGHT(Table1[[#This Row],[category &amp; sub-category]],LEN(Table1[[#This Row],[category &amp; sub-category]])-SEARCH("/",Table1[[#This Row],[category &amp; sub-category]],1))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(Table1[[#This Row],[pledged]]/Table1[[#This Row],[goal]])*100</f>
        <v>57.399511301160658</v>
      </c>
      <c r="G420" t="s">
        <v>14</v>
      </c>
      <c r="H420">
        <v>1999</v>
      </c>
      <c r="I420" s="4">
        <f>IFERROR(Table1[[#This Row],[pledged]]/Table1[[#This Row],[backers_count]],0)</f>
        <v>47.005002501250623</v>
      </c>
      <c r="J420" t="s">
        <v>15</v>
      </c>
      <c r="K420" t="s">
        <v>16</v>
      </c>
      <c r="L420">
        <v>1336280400</v>
      </c>
      <c r="M420" s="9">
        <f>(((Table1[[#This Row],[launched_at]]/60)/60)/24)+DATE(1970,1,1)</f>
        <v>41035.208333333336</v>
      </c>
      <c r="N420">
        <v>1336366800</v>
      </c>
      <c r="O420" s="9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LEFT(Table1[[#This Row],[category &amp; sub-category]],SEARCH("/",Table1[[#This Row],[category &amp; sub-category]],1)-1)</f>
        <v>film &amp; video</v>
      </c>
      <c r="T420" t="str">
        <f>RIGHT(Table1[[#This Row],[category &amp; sub-category]],LEN(Table1[[#This Row],[category &amp; sub-category]])-SEARCH("/",Table1[[#This Row],[category &amp; sub-category]],1))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(Table1[[#This Row],[pledged]]/Table1[[#This Row],[goal]])*100</f>
        <v>123.43497363796135</v>
      </c>
      <c r="G421" t="s">
        <v>20</v>
      </c>
      <c r="H421">
        <v>5203</v>
      </c>
      <c r="I421" s="4">
        <f>IFERROR(Table1[[#This Row],[pledged]]/Table1[[#This Row],[backers_count]],0)</f>
        <v>26.997693638285604</v>
      </c>
      <c r="J421" t="s">
        <v>21</v>
      </c>
      <c r="K421" t="s">
        <v>22</v>
      </c>
      <c r="L421">
        <v>1324533600</v>
      </c>
      <c r="M421" s="9">
        <f>(((Table1[[#This Row],[launched_at]]/60)/60)/24)+DATE(1970,1,1)</f>
        <v>40899.25</v>
      </c>
      <c r="N421">
        <v>1325052000</v>
      </c>
      <c r="O421" s="9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LEFT(Table1[[#This Row],[category &amp; sub-category]],SEARCH("/",Table1[[#This Row],[category &amp; sub-category]],1)-1)</f>
        <v>technology</v>
      </c>
      <c r="T421" t="str">
        <f>RIGHT(Table1[[#This Row],[category &amp; sub-category]],LEN(Table1[[#This Row],[category &amp; sub-category]])-SEARCH("/",Table1[[#This Row],[category &amp; sub-category]],1))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(Table1[[#This Row],[pledged]]/Table1[[#This Row],[goal]])*100</f>
        <v>128.46</v>
      </c>
      <c r="G422" t="s">
        <v>20</v>
      </c>
      <c r="H422">
        <v>94</v>
      </c>
      <c r="I422" s="4">
        <f>IFERROR(Table1[[#This Row],[pledged]]/Table1[[#This Row],[backers_count]],0)</f>
        <v>68.329787234042556</v>
      </c>
      <c r="J422" t="s">
        <v>21</v>
      </c>
      <c r="K422" t="s">
        <v>22</v>
      </c>
      <c r="L422">
        <v>1498366800</v>
      </c>
      <c r="M422" s="9">
        <f>(((Table1[[#This Row],[launched_at]]/60)/60)/24)+DATE(1970,1,1)</f>
        <v>42911.208333333328</v>
      </c>
      <c r="N422">
        <v>1499576400</v>
      </c>
      <c r="O422" s="9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LEFT(Table1[[#This Row],[category &amp; sub-category]],SEARCH("/",Table1[[#This Row],[category &amp; sub-category]],1)-1)</f>
        <v>theater</v>
      </c>
      <c r="T422" t="str">
        <f>RIGHT(Table1[[#This Row],[category &amp; sub-category]],LEN(Table1[[#This Row],[category &amp; sub-category]])-SEARCH("/",Table1[[#This Row],[category &amp; sub-category]],1))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(Table1[[#This Row],[pledged]]/Table1[[#This Row],[goal]])*100</f>
        <v>63.989361702127653</v>
      </c>
      <c r="G423" t="s">
        <v>14</v>
      </c>
      <c r="H423">
        <v>118</v>
      </c>
      <c r="I423" s="4">
        <f>IFERROR(Table1[[#This Row],[pledged]]/Table1[[#This Row],[backers_count]],0)</f>
        <v>50.974576271186443</v>
      </c>
      <c r="J423" t="s">
        <v>21</v>
      </c>
      <c r="K423" t="s">
        <v>22</v>
      </c>
      <c r="L423">
        <v>1498712400</v>
      </c>
      <c r="M423" s="9">
        <f>(((Table1[[#This Row],[launched_at]]/60)/60)/24)+DATE(1970,1,1)</f>
        <v>42915.208333333328</v>
      </c>
      <c r="N423">
        <v>1501304400</v>
      </c>
      <c r="O423" s="9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LEFT(Table1[[#This Row],[category &amp; sub-category]],SEARCH("/",Table1[[#This Row],[category &amp; sub-category]],1)-1)</f>
        <v>technology</v>
      </c>
      <c r="T423" t="str">
        <f>RIGHT(Table1[[#This Row],[category &amp; sub-category]],LEN(Table1[[#This Row],[category &amp; sub-category]])-SEARCH("/",Table1[[#This Row],[category &amp; sub-category]],1))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(Table1[[#This Row],[pledged]]/Table1[[#This Row],[goal]])*100</f>
        <v>127.29885057471265</v>
      </c>
      <c r="G424" t="s">
        <v>20</v>
      </c>
      <c r="H424">
        <v>205</v>
      </c>
      <c r="I424" s="4">
        <f>IFERROR(Table1[[#This Row],[pledged]]/Table1[[#This Row],[backers_count]],0)</f>
        <v>54.024390243902438</v>
      </c>
      <c r="J424" t="s">
        <v>21</v>
      </c>
      <c r="K424" t="s">
        <v>22</v>
      </c>
      <c r="L424">
        <v>1271480400</v>
      </c>
      <c r="M424" s="9">
        <f>(((Table1[[#This Row],[launched_at]]/60)/60)/24)+DATE(1970,1,1)</f>
        <v>40285.208333333336</v>
      </c>
      <c r="N424">
        <v>1273208400</v>
      </c>
      <c r="O424" s="9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LEFT(Table1[[#This Row],[category &amp; sub-category]],SEARCH("/",Table1[[#This Row],[category &amp; sub-category]],1)-1)</f>
        <v>theater</v>
      </c>
      <c r="T424" t="str">
        <f>RIGHT(Table1[[#This Row],[category &amp; sub-category]],LEN(Table1[[#This Row],[category &amp; sub-category]])-SEARCH("/",Table1[[#This Row],[category &amp; sub-category]],1))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(Table1[[#This Row],[pledged]]/Table1[[#This Row],[goal]])*100</f>
        <v>10.638024357239512</v>
      </c>
      <c r="G425" t="s">
        <v>14</v>
      </c>
      <c r="H425">
        <v>162</v>
      </c>
      <c r="I425" s="4">
        <f>IFERROR(Table1[[#This Row],[pledged]]/Table1[[#This Row],[backers_count]],0)</f>
        <v>97.055555555555557</v>
      </c>
      <c r="J425" t="s">
        <v>21</v>
      </c>
      <c r="K425" t="s">
        <v>22</v>
      </c>
      <c r="L425">
        <v>1316667600</v>
      </c>
      <c r="M425" s="9">
        <f>(((Table1[[#This Row],[launched_at]]/60)/60)/24)+DATE(1970,1,1)</f>
        <v>40808.208333333336</v>
      </c>
      <c r="N425">
        <v>1316840400</v>
      </c>
      <c r="O425" s="9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LEFT(Table1[[#This Row],[category &amp; sub-category]],SEARCH("/",Table1[[#This Row],[category &amp; sub-category]],1)-1)</f>
        <v>food</v>
      </c>
      <c r="T425" t="str">
        <f>RIGHT(Table1[[#This Row],[category &amp; sub-category]],LEN(Table1[[#This Row],[category &amp; sub-category]])-SEARCH("/",Table1[[#This Row],[category &amp; sub-category]],1))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(Table1[[#This Row],[pledged]]/Table1[[#This Row],[goal]])*100</f>
        <v>40.470588235294116</v>
      </c>
      <c r="G426" t="s">
        <v>14</v>
      </c>
      <c r="H426">
        <v>83</v>
      </c>
      <c r="I426" s="4">
        <f>IFERROR(Table1[[#This Row],[pledged]]/Table1[[#This Row],[backers_count]],0)</f>
        <v>24.867469879518072</v>
      </c>
      <c r="J426" t="s">
        <v>21</v>
      </c>
      <c r="K426" t="s">
        <v>22</v>
      </c>
      <c r="L426">
        <v>1524027600</v>
      </c>
      <c r="M426" s="9">
        <f>(((Table1[[#This Row],[launched_at]]/60)/60)/24)+DATE(1970,1,1)</f>
        <v>43208.208333333328</v>
      </c>
      <c r="N426">
        <v>1524546000</v>
      </c>
      <c r="O426" s="9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LEFT(Table1[[#This Row],[category &amp; sub-category]],SEARCH("/",Table1[[#This Row],[category &amp; sub-category]],1)-1)</f>
        <v>music</v>
      </c>
      <c r="T426" t="str">
        <f>RIGHT(Table1[[#This Row],[category &amp; sub-category]],LEN(Table1[[#This Row],[category &amp; sub-category]])-SEARCH("/",Table1[[#This Row],[category &amp; sub-category]],1))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(Table1[[#This Row],[pledged]]/Table1[[#This Row],[goal]])*100</f>
        <v>287.66666666666663</v>
      </c>
      <c r="G427" t="s">
        <v>20</v>
      </c>
      <c r="H427">
        <v>92</v>
      </c>
      <c r="I427" s="4">
        <f>IFERROR(Table1[[#This Row],[pledged]]/Table1[[#This Row],[backers_count]],0)</f>
        <v>84.423913043478265</v>
      </c>
      <c r="J427" t="s">
        <v>21</v>
      </c>
      <c r="K427" t="s">
        <v>22</v>
      </c>
      <c r="L427">
        <v>1438059600</v>
      </c>
      <c r="M427" s="9">
        <f>(((Table1[[#This Row],[launched_at]]/60)/60)/24)+DATE(1970,1,1)</f>
        <v>42213.208333333328</v>
      </c>
      <c r="N427">
        <v>1438578000</v>
      </c>
      <c r="O427" s="9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LEFT(Table1[[#This Row],[category &amp; sub-category]],SEARCH("/",Table1[[#This Row],[category &amp; sub-category]],1)-1)</f>
        <v>photography</v>
      </c>
      <c r="T427" t="str">
        <f>RIGHT(Table1[[#This Row],[category &amp; sub-category]],LEN(Table1[[#This Row],[category &amp; sub-category]])-SEARCH("/",Table1[[#This Row],[category &amp; sub-category]],1))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(Table1[[#This Row],[pledged]]/Table1[[#This Row],[goal]])*100</f>
        <v>572.94444444444446</v>
      </c>
      <c r="G428" t="s">
        <v>20</v>
      </c>
      <c r="H428">
        <v>219</v>
      </c>
      <c r="I428" s="4">
        <f>IFERROR(Table1[[#This Row],[pledged]]/Table1[[#This Row],[backers_count]],0)</f>
        <v>47.091324200913242</v>
      </c>
      <c r="J428" t="s">
        <v>21</v>
      </c>
      <c r="K428" t="s">
        <v>22</v>
      </c>
      <c r="L428">
        <v>1361944800</v>
      </c>
      <c r="M428" s="9">
        <f>(((Table1[[#This Row],[launched_at]]/60)/60)/24)+DATE(1970,1,1)</f>
        <v>41332.25</v>
      </c>
      <c r="N428">
        <v>1362549600</v>
      </c>
      <c r="O428" s="9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LEFT(Table1[[#This Row],[category &amp; sub-category]],SEARCH("/",Table1[[#This Row],[category &amp; sub-category]],1)-1)</f>
        <v>theater</v>
      </c>
      <c r="T428" t="str">
        <f>RIGHT(Table1[[#This Row],[category &amp; sub-category]],LEN(Table1[[#This Row],[category &amp; sub-category]])-SEARCH("/",Table1[[#This Row],[category &amp; sub-category]],1))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(Table1[[#This Row],[pledged]]/Table1[[#This Row],[goal]])*100</f>
        <v>112.90429799426933</v>
      </c>
      <c r="G429" t="s">
        <v>20</v>
      </c>
      <c r="H429">
        <v>2526</v>
      </c>
      <c r="I429" s="4">
        <f>IFERROR(Table1[[#This Row],[pledged]]/Table1[[#This Row],[backers_count]],0)</f>
        <v>77.996041171813147</v>
      </c>
      <c r="J429" t="s">
        <v>21</v>
      </c>
      <c r="K429" t="s">
        <v>22</v>
      </c>
      <c r="L429">
        <v>1410584400</v>
      </c>
      <c r="M429" s="9">
        <f>(((Table1[[#This Row],[launched_at]]/60)/60)/24)+DATE(1970,1,1)</f>
        <v>41895.208333333336</v>
      </c>
      <c r="N429">
        <v>1413349200</v>
      </c>
      <c r="O429" s="9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LEFT(Table1[[#This Row],[category &amp; sub-category]],SEARCH("/",Table1[[#This Row],[category &amp; sub-category]],1)-1)</f>
        <v>theater</v>
      </c>
      <c r="T429" t="str">
        <f>RIGHT(Table1[[#This Row],[category &amp; sub-category]],LEN(Table1[[#This Row],[category &amp; sub-category]])-SEARCH("/",Table1[[#This Row],[category &amp; sub-category]],1))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(Table1[[#This Row],[pledged]]/Table1[[#This Row],[goal]])*100</f>
        <v>46.387573964497044</v>
      </c>
      <c r="G430" t="s">
        <v>14</v>
      </c>
      <c r="H430">
        <v>747</v>
      </c>
      <c r="I430" s="4">
        <f>IFERROR(Table1[[#This Row],[pledged]]/Table1[[#This Row],[backers_count]],0)</f>
        <v>62.967871485943775</v>
      </c>
      <c r="J430" t="s">
        <v>21</v>
      </c>
      <c r="K430" t="s">
        <v>22</v>
      </c>
      <c r="L430">
        <v>1297404000</v>
      </c>
      <c r="M430" s="9">
        <f>(((Table1[[#This Row],[launched_at]]/60)/60)/24)+DATE(1970,1,1)</f>
        <v>40585.25</v>
      </c>
      <c r="N430">
        <v>1298008800</v>
      </c>
      <c r="O430" s="9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LEFT(Table1[[#This Row],[category &amp; sub-category]],SEARCH("/",Table1[[#This Row],[category &amp; sub-category]],1)-1)</f>
        <v>film &amp; video</v>
      </c>
      <c r="T430" t="str">
        <f>RIGHT(Table1[[#This Row],[category &amp; sub-category]],LEN(Table1[[#This Row],[category &amp; sub-category]])-SEARCH("/",Table1[[#This Row],[category &amp; sub-category]],1))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(Table1[[#This Row],[pledged]]/Table1[[#This Row],[goal]])*100</f>
        <v>90.675916230366497</v>
      </c>
      <c r="G431" t="s">
        <v>74</v>
      </c>
      <c r="H431">
        <v>2138</v>
      </c>
      <c r="I431" s="4">
        <f>IFERROR(Table1[[#This Row],[pledged]]/Table1[[#This Row],[backers_count]],0)</f>
        <v>81.006080449017773</v>
      </c>
      <c r="J431" t="s">
        <v>21</v>
      </c>
      <c r="K431" t="s">
        <v>22</v>
      </c>
      <c r="L431">
        <v>1392012000</v>
      </c>
      <c r="M431" s="9">
        <f>(((Table1[[#This Row],[launched_at]]/60)/60)/24)+DATE(1970,1,1)</f>
        <v>41680.25</v>
      </c>
      <c r="N431">
        <v>1394427600</v>
      </c>
      <c r="O431" s="9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LEFT(Table1[[#This Row],[category &amp; sub-category]],SEARCH("/",Table1[[#This Row],[category &amp; sub-category]],1)-1)</f>
        <v>photography</v>
      </c>
      <c r="T431" t="str">
        <f>RIGHT(Table1[[#This Row],[category &amp; sub-category]],LEN(Table1[[#This Row],[category &amp; sub-category]])-SEARCH("/",Table1[[#This Row],[category &amp; sub-category]],1))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(Table1[[#This Row],[pledged]]/Table1[[#This Row],[goal]])*100</f>
        <v>67.740740740740748</v>
      </c>
      <c r="G432" t="s">
        <v>14</v>
      </c>
      <c r="H432">
        <v>84</v>
      </c>
      <c r="I432" s="4">
        <f>IFERROR(Table1[[#This Row],[pledged]]/Table1[[#This Row],[backers_count]],0)</f>
        <v>65.321428571428569</v>
      </c>
      <c r="J432" t="s">
        <v>21</v>
      </c>
      <c r="K432" t="s">
        <v>22</v>
      </c>
      <c r="L432">
        <v>1569733200</v>
      </c>
      <c r="M432" s="9">
        <f>(((Table1[[#This Row],[launched_at]]/60)/60)/24)+DATE(1970,1,1)</f>
        <v>43737.208333333328</v>
      </c>
      <c r="N432">
        <v>1572670800</v>
      </c>
      <c r="O432" s="9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LEFT(Table1[[#This Row],[category &amp; sub-category]],SEARCH("/",Table1[[#This Row],[category &amp; sub-category]],1)-1)</f>
        <v>theater</v>
      </c>
      <c r="T432" t="str">
        <f>RIGHT(Table1[[#This Row],[category &amp; sub-category]],LEN(Table1[[#This Row],[category &amp; sub-category]])-SEARCH("/",Table1[[#This Row],[category &amp; sub-category]],1))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(Table1[[#This Row],[pledged]]/Table1[[#This Row],[goal]])*100</f>
        <v>192.49019607843135</v>
      </c>
      <c r="G433" t="s">
        <v>20</v>
      </c>
      <c r="H433">
        <v>94</v>
      </c>
      <c r="I433" s="4">
        <f>IFERROR(Table1[[#This Row],[pledged]]/Table1[[#This Row],[backers_count]],0)</f>
        <v>104.43617021276596</v>
      </c>
      <c r="J433" t="s">
        <v>21</v>
      </c>
      <c r="K433" t="s">
        <v>22</v>
      </c>
      <c r="L433">
        <v>1529643600</v>
      </c>
      <c r="M433" s="9">
        <f>(((Table1[[#This Row],[launched_at]]/60)/60)/24)+DATE(1970,1,1)</f>
        <v>43273.208333333328</v>
      </c>
      <c r="N433">
        <v>1531112400</v>
      </c>
      <c r="O433" s="9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LEFT(Table1[[#This Row],[category &amp; sub-category]],SEARCH("/",Table1[[#This Row],[category &amp; sub-category]],1)-1)</f>
        <v>theater</v>
      </c>
      <c r="T433" t="str">
        <f>RIGHT(Table1[[#This Row],[category &amp; sub-category]],LEN(Table1[[#This Row],[category &amp; sub-category]])-SEARCH("/",Table1[[#This Row],[category &amp; sub-category]],1))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(Table1[[#This Row],[pledged]]/Table1[[#This Row],[goal]])*100</f>
        <v>82.714285714285722</v>
      </c>
      <c r="G434" t="s">
        <v>14</v>
      </c>
      <c r="H434">
        <v>91</v>
      </c>
      <c r="I434" s="4">
        <f>IFERROR(Table1[[#This Row],[pledged]]/Table1[[#This Row],[backers_count]],0)</f>
        <v>69.989010989010993</v>
      </c>
      <c r="J434" t="s">
        <v>21</v>
      </c>
      <c r="K434" t="s">
        <v>22</v>
      </c>
      <c r="L434">
        <v>1399006800</v>
      </c>
      <c r="M434" s="9">
        <f>(((Table1[[#This Row],[launched_at]]/60)/60)/24)+DATE(1970,1,1)</f>
        <v>41761.208333333336</v>
      </c>
      <c r="N434">
        <v>1400734800</v>
      </c>
      <c r="O434" s="9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LEFT(Table1[[#This Row],[category &amp; sub-category]],SEARCH("/",Table1[[#This Row],[category &amp; sub-category]],1)-1)</f>
        <v>theater</v>
      </c>
      <c r="T434" t="str">
        <f>RIGHT(Table1[[#This Row],[category &amp; sub-category]],LEN(Table1[[#This Row],[category &amp; sub-category]])-SEARCH("/",Table1[[#This Row],[category &amp; sub-category]],1))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(Table1[[#This Row],[pledged]]/Table1[[#This Row],[goal]])*100</f>
        <v>54.163920922570021</v>
      </c>
      <c r="G435" t="s">
        <v>14</v>
      </c>
      <c r="H435">
        <v>792</v>
      </c>
      <c r="I435" s="4">
        <f>IFERROR(Table1[[#This Row],[pledged]]/Table1[[#This Row],[backers_count]],0)</f>
        <v>83.023989898989896</v>
      </c>
      <c r="J435" t="s">
        <v>21</v>
      </c>
      <c r="K435" t="s">
        <v>22</v>
      </c>
      <c r="L435">
        <v>1385359200</v>
      </c>
      <c r="M435" s="9">
        <f>(((Table1[[#This Row],[launched_at]]/60)/60)/24)+DATE(1970,1,1)</f>
        <v>41603.25</v>
      </c>
      <c r="N435">
        <v>1386741600</v>
      </c>
      <c r="O435" s="9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LEFT(Table1[[#This Row],[category &amp; sub-category]],SEARCH("/",Table1[[#This Row],[category &amp; sub-category]],1)-1)</f>
        <v>film &amp; video</v>
      </c>
      <c r="T435" t="str">
        <f>RIGHT(Table1[[#This Row],[category &amp; sub-category]],LEN(Table1[[#This Row],[category &amp; sub-category]])-SEARCH("/",Table1[[#This Row],[category &amp; sub-category]],1))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(Table1[[#This Row],[pledged]]/Table1[[#This Row],[goal]])*100</f>
        <v>16.722222222222221</v>
      </c>
      <c r="G436" t="s">
        <v>74</v>
      </c>
      <c r="H436">
        <v>10</v>
      </c>
      <c r="I436" s="4">
        <f>IFERROR(Table1[[#This Row],[pledged]]/Table1[[#This Row],[backers_count]],0)</f>
        <v>90.3</v>
      </c>
      <c r="J436" t="s">
        <v>15</v>
      </c>
      <c r="K436" t="s">
        <v>16</v>
      </c>
      <c r="L436">
        <v>1480572000</v>
      </c>
      <c r="M436" s="9">
        <f>(((Table1[[#This Row],[launched_at]]/60)/60)/24)+DATE(1970,1,1)</f>
        <v>42705.25</v>
      </c>
      <c r="N436">
        <v>1481781600</v>
      </c>
      <c r="O436" s="9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LEFT(Table1[[#This Row],[category &amp; sub-category]],SEARCH("/",Table1[[#This Row],[category &amp; sub-category]],1)-1)</f>
        <v>theater</v>
      </c>
      <c r="T436" t="str">
        <f>RIGHT(Table1[[#This Row],[category &amp; sub-category]],LEN(Table1[[#This Row],[category &amp; sub-category]])-SEARCH("/",Table1[[#This Row],[category &amp; sub-category]],1))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(Table1[[#This Row],[pledged]]/Table1[[#This Row],[goal]])*100</f>
        <v>116.87664041994749</v>
      </c>
      <c r="G437" t="s">
        <v>20</v>
      </c>
      <c r="H437">
        <v>1713</v>
      </c>
      <c r="I437" s="4">
        <f>IFERROR(Table1[[#This Row],[pledged]]/Table1[[#This Row],[backers_count]],0)</f>
        <v>103.98131932282546</v>
      </c>
      <c r="J437" t="s">
        <v>107</v>
      </c>
      <c r="K437" t="s">
        <v>108</v>
      </c>
      <c r="L437">
        <v>1418623200</v>
      </c>
      <c r="M437" s="9">
        <f>(((Table1[[#This Row],[launched_at]]/60)/60)/24)+DATE(1970,1,1)</f>
        <v>41988.25</v>
      </c>
      <c r="N437">
        <v>1419660000</v>
      </c>
      <c r="O437" s="9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LEFT(Table1[[#This Row],[category &amp; sub-category]],SEARCH("/",Table1[[#This Row],[category &amp; sub-category]],1)-1)</f>
        <v>theater</v>
      </c>
      <c r="T437" t="str">
        <f>RIGHT(Table1[[#This Row],[category &amp; sub-category]],LEN(Table1[[#This Row],[category &amp; sub-category]])-SEARCH("/",Table1[[#This Row],[category &amp; sub-category]],1))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(Table1[[#This Row],[pledged]]/Table1[[#This Row],[goal]])*100</f>
        <v>1052.1538461538462</v>
      </c>
      <c r="G438" t="s">
        <v>20</v>
      </c>
      <c r="H438">
        <v>249</v>
      </c>
      <c r="I438" s="4">
        <f>IFERROR(Table1[[#This Row],[pledged]]/Table1[[#This Row],[backers_count]],0)</f>
        <v>54.931726907630519</v>
      </c>
      <c r="J438" t="s">
        <v>21</v>
      </c>
      <c r="K438" t="s">
        <v>22</v>
      </c>
      <c r="L438">
        <v>1555736400</v>
      </c>
      <c r="M438" s="9">
        <f>(((Table1[[#This Row],[launched_at]]/60)/60)/24)+DATE(1970,1,1)</f>
        <v>43575.208333333328</v>
      </c>
      <c r="N438">
        <v>1555822800</v>
      </c>
      <c r="O438" s="9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LEFT(Table1[[#This Row],[category &amp; sub-category]],SEARCH("/",Table1[[#This Row],[category &amp; sub-category]],1)-1)</f>
        <v>music</v>
      </c>
      <c r="T438" t="str">
        <f>RIGHT(Table1[[#This Row],[category &amp; sub-category]],LEN(Table1[[#This Row],[category &amp; sub-category]])-SEARCH("/",Table1[[#This Row],[category &amp; sub-category]],1))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(Table1[[#This Row],[pledged]]/Table1[[#This Row],[goal]])*100</f>
        <v>123.07407407407408</v>
      </c>
      <c r="G439" t="s">
        <v>20</v>
      </c>
      <c r="H439">
        <v>192</v>
      </c>
      <c r="I439" s="4">
        <f>IFERROR(Table1[[#This Row],[pledged]]/Table1[[#This Row],[backers_count]],0)</f>
        <v>51.921875</v>
      </c>
      <c r="J439" t="s">
        <v>21</v>
      </c>
      <c r="K439" t="s">
        <v>22</v>
      </c>
      <c r="L439">
        <v>1442120400</v>
      </c>
      <c r="M439" s="9">
        <f>(((Table1[[#This Row],[launched_at]]/60)/60)/24)+DATE(1970,1,1)</f>
        <v>42260.208333333328</v>
      </c>
      <c r="N439">
        <v>1442379600</v>
      </c>
      <c r="O439" s="9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LEFT(Table1[[#This Row],[category &amp; sub-category]],SEARCH("/",Table1[[#This Row],[category &amp; sub-category]],1)-1)</f>
        <v>film &amp; video</v>
      </c>
      <c r="T439" t="str">
        <f>RIGHT(Table1[[#This Row],[category &amp; sub-category]],LEN(Table1[[#This Row],[category &amp; sub-category]])-SEARCH("/",Table1[[#This Row],[category &amp; sub-category]],1))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(Table1[[#This Row],[pledged]]/Table1[[#This Row],[goal]])*100</f>
        <v>178.63855421686748</v>
      </c>
      <c r="G440" t="s">
        <v>20</v>
      </c>
      <c r="H440">
        <v>247</v>
      </c>
      <c r="I440" s="4">
        <f>IFERROR(Table1[[#This Row],[pledged]]/Table1[[#This Row],[backers_count]],0)</f>
        <v>60.02834008097166</v>
      </c>
      <c r="J440" t="s">
        <v>21</v>
      </c>
      <c r="K440" t="s">
        <v>22</v>
      </c>
      <c r="L440">
        <v>1362376800</v>
      </c>
      <c r="M440" s="9">
        <f>(((Table1[[#This Row],[launched_at]]/60)/60)/24)+DATE(1970,1,1)</f>
        <v>41337.25</v>
      </c>
      <c r="N440">
        <v>1364965200</v>
      </c>
      <c r="O440" s="9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LEFT(Table1[[#This Row],[category &amp; sub-category]],SEARCH("/",Table1[[#This Row],[category &amp; sub-category]],1)-1)</f>
        <v>theater</v>
      </c>
      <c r="T440" t="str">
        <f>RIGHT(Table1[[#This Row],[category &amp; sub-category]],LEN(Table1[[#This Row],[category &amp; sub-category]])-SEARCH("/",Table1[[#This Row],[category &amp; sub-category]],1))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(Table1[[#This Row],[pledged]]/Table1[[#This Row],[goal]])*100</f>
        <v>355.28169014084506</v>
      </c>
      <c r="G441" t="s">
        <v>20</v>
      </c>
      <c r="H441">
        <v>2293</v>
      </c>
      <c r="I441" s="4">
        <f>IFERROR(Table1[[#This Row],[pledged]]/Table1[[#This Row],[backers_count]],0)</f>
        <v>44.003488879197555</v>
      </c>
      <c r="J441" t="s">
        <v>21</v>
      </c>
      <c r="K441" t="s">
        <v>22</v>
      </c>
      <c r="L441">
        <v>1478408400</v>
      </c>
      <c r="M441" s="9">
        <f>(((Table1[[#This Row],[launched_at]]/60)/60)/24)+DATE(1970,1,1)</f>
        <v>42680.208333333328</v>
      </c>
      <c r="N441">
        <v>1479016800</v>
      </c>
      <c r="O441" s="9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LEFT(Table1[[#This Row],[category &amp; sub-category]],SEARCH("/",Table1[[#This Row],[category &amp; sub-category]],1)-1)</f>
        <v>film &amp; video</v>
      </c>
      <c r="T441" t="str">
        <f>RIGHT(Table1[[#This Row],[category &amp; sub-category]],LEN(Table1[[#This Row],[category &amp; sub-category]])-SEARCH("/",Table1[[#This Row],[category &amp; sub-category]],1))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(Table1[[#This Row],[pledged]]/Table1[[#This Row],[goal]])*100</f>
        <v>161.90634146341463</v>
      </c>
      <c r="G442" t="s">
        <v>20</v>
      </c>
      <c r="H442">
        <v>3131</v>
      </c>
      <c r="I442" s="4">
        <f>IFERROR(Table1[[#This Row],[pledged]]/Table1[[#This Row],[backers_count]],0)</f>
        <v>53.003513254551258</v>
      </c>
      <c r="J442" t="s">
        <v>21</v>
      </c>
      <c r="K442" t="s">
        <v>22</v>
      </c>
      <c r="L442">
        <v>1498798800</v>
      </c>
      <c r="M442" s="9">
        <f>(((Table1[[#This Row],[launched_at]]/60)/60)/24)+DATE(1970,1,1)</f>
        <v>42916.208333333328</v>
      </c>
      <c r="N442">
        <v>1499662800</v>
      </c>
      <c r="O442" s="9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LEFT(Table1[[#This Row],[category &amp; sub-category]],SEARCH("/",Table1[[#This Row],[category &amp; sub-category]],1)-1)</f>
        <v>film &amp; video</v>
      </c>
      <c r="T442" t="str">
        <f>RIGHT(Table1[[#This Row],[category &amp; sub-category]],LEN(Table1[[#This Row],[category &amp; sub-category]])-SEARCH("/",Table1[[#This Row],[category &amp; sub-category]],1))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(Table1[[#This Row],[pledged]]/Table1[[#This Row],[goal]])*100</f>
        <v>24.914285714285715</v>
      </c>
      <c r="G443" t="s">
        <v>14</v>
      </c>
      <c r="H443">
        <v>32</v>
      </c>
      <c r="I443" s="4">
        <f>IFERROR(Table1[[#This Row],[pledged]]/Table1[[#This Row],[backers_count]],0)</f>
        <v>54.5</v>
      </c>
      <c r="J443" t="s">
        <v>21</v>
      </c>
      <c r="K443" t="s">
        <v>22</v>
      </c>
      <c r="L443">
        <v>1335416400</v>
      </c>
      <c r="M443" s="9">
        <f>(((Table1[[#This Row],[launched_at]]/60)/60)/24)+DATE(1970,1,1)</f>
        <v>41025.208333333336</v>
      </c>
      <c r="N443">
        <v>1337835600</v>
      </c>
      <c r="O443" s="9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LEFT(Table1[[#This Row],[category &amp; sub-category]],SEARCH("/",Table1[[#This Row],[category &amp; sub-category]],1)-1)</f>
        <v>technology</v>
      </c>
      <c r="T443" t="str">
        <f>RIGHT(Table1[[#This Row],[category &amp; sub-category]],LEN(Table1[[#This Row],[category &amp; sub-category]])-SEARCH("/",Table1[[#This Row],[category &amp; sub-category]],1))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(Table1[[#This Row],[pledged]]/Table1[[#This Row],[goal]])*100</f>
        <v>198.72222222222223</v>
      </c>
      <c r="G444" t="s">
        <v>20</v>
      </c>
      <c r="H444">
        <v>143</v>
      </c>
      <c r="I444" s="4">
        <f>IFERROR(Table1[[#This Row],[pledged]]/Table1[[#This Row],[backers_count]],0)</f>
        <v>75.04195804195804</v>
      </c>
      <c r="J444" t="s">
        <v>107</v>
      </c>
      <c r="K444" t="s">
        <v>108</v>
      </c>
      <c r="L444">
        <v>1504328400</v>
      </c>
      <c r="M444" s="9">
        <f>(((Table1[[#This Row],[launched_at]]/60)/60)/24)+DATE(1970,1,1)</f>
        <v>42980.208333333328</v>
      </c>
      <c r="N444">
        <v>1505710800</v>
      </c>
      <c r="O444" s="9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LEFT(Table1[[#This Row],[category &amp; sub-category]],SEARCH("/",Table1[[#This Row],[category &amp; sub-category]],1)-1)</f>
        <v>theater</v>
      </c>
      <c r="T444" t="str">
        <f>RIGHT(Table1[[#This Row],[category &amp; sub-category]],LEN(Table1[[#This Row],[category &amp; sub-category]])-SEARCH("/",Table1[[#This Row],[category &amp; sub-category]],1))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(Table1[[#This Row],[pledged]]/Table1[[#This Row],[goal]])*100</f>
        <v>34.752688172043008</v>
      </c>
      <c r="G445" t="s">
        <v>74</v>
      </c>
      <c r="H445">
        <v>90</v>
      </c>
      <c r="I445" s="4">
        <f>IFERROR(Table1[[#This Row],[pledged]]/Table1[[#This Row],[backers_count]],0)</f>
        <v>35.911111111111111</v>
      </c>
      <c r="J445" t="s">
        <v>21</v>
      </c>
      <c r="K445" t="s">
        <v>22</v>
      </c>
      <c r="L445">
        <v>1285822800</v>
      </c>
      <c r="M445" s="9">
        <f>(((Table1[[#This Row],[launched_at]]/60)/60)/24)+DATE(1970,1,1)</f>
        <v>40451.208333333336</v>
      </c>
      <c r="N445">
        <v>1287464400</v>
      </c>
      <c r="O445" s="9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LEFT(Table1[[#This Row],[category &amp; sub-category]],SEARCH("/",Table1[[#This Row],[category &amp; sub-category]],1)-1)</f>
        <v>theater</v>
      </c>
      <c r="T445" t="str">
        <f>RIGHT(Table1[[#This Row],[category &amp; sub-category]],LEN(Table1[[#This Row],[category &amp; sub-category]])-SEARCH("/",Table1[[#This Row],[category &amp; sub-category]],1))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(Table1[[#This Row],[pledged]]/Table1[[#This Row],[goal]])*100</f>
        <v>176.41935483870967</v>
      </c>
      <c r="G446" t="s">
        <v>20</v>
      </c>
      <c r="H446">
        <v>296</v>
      </c>
      <c r="I446" s="4">
        <f>IFERROR(Table1[[#This Row],[pledged]]/Table1[[#This Row],[backers_count]],0)</f>
        <v>36.952702702702702</v>
      </c>
      <c r="J446" t="s">
        <v>21</v>
      </c>
      <c r="K446" t="s">
        <v>22</v>
      </c>
      <c r="L446">
        <v>1311483600</v>
      </c>
      <c r="M446" s="9">
        <f>(((Table1[[#This Row],[launched_at]]/60)/60)/24)+DATE(1970,1,1)</f>
        <v>40748.208333333336</v>
      </c>
      <c r="N446">
        <v>1311656400</v>
      </c>
      <c r="O446" s="9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LEFT(Table1[[#This Row],[category &amp; sub-category]],SEARCH("/",Table1[[#This Row],[category &amp; sub-category]],1)-1)</f>
        <v>music</v>
      </c>
      <c r="T446" t="str">
        <f>RIGHT(Table1[[#This Row],[category &amp; sub-category]],LEN(Table1[[#This Row],[category &amp; sub-category]])-SEARCH("/",Table1[[#This Row],[category &amp; sub-category]],1))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(Table1[[#This Row],[pledged]]/Table1[[#This Row],[goal]])*100</f>
        <v>511.38095238095235</v>
      </c>
      <c r="G447" t="s">
        <v>20</v>
      </c>
      <c r="H447">
        <v>170</v>
      </c>
      <c r="I447" s="4">
        <f>IFERROR(Table1[[#This Row],[pledged]]/Table1[[#This Row],[backers_count]],0)</f>
        <v>63.170588235294119</v>
      </c>
      <c r="J447" t="s">
        <v>21</v>
      </c>
      <c r="K447" t="s">
        <v>22</v>
      </c>
      <c r="L447">
        <v>1291356000</v>
      </c>
      <c r="M447" s="9">
        <f>(((Table1[[#This Row],[launched_at]]/60)/60)/24)+DATE(1970,1,1)</f>
        <v>40515.25</v>
      </c>
      <c r="N447">
        <v>1293170400</v>
      </c>
      <c r="O447" s="9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LEFT(Table1[[#This Row],[category &amp; sub-category]],SEARCH("/",Table1[[#This Row],[category &amp; sub-category]],1)-1)</f>
        <v>theater</v>
      </c>
      <c r="T447" t="str">
        <f>RIGHT(Table1[[#This Row],[category &amp; sub-category]],LEN(Table1[[#This Row],[category &amp; sub-category]])-SEARCH("/",Table1[[#This Row],[category &amp; sub-category]],1))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(Table1[[#This Row],[pledged]]/Table1[[#This Row],[goal]])*100</f>
        <v>82.044117647058826</v>
      </c>
      <c r="G448" t="s">
        <v>14</v>
      </c>
      <c r="H448">
        <v>186</v>
      </c>
      <c r="I448" s="4">
        <f>IFERROR(Table1[[#This Row],[pledged]]/Table1[[#This Row],[backers_count]],0)</f>
        <v>29.99462365591398</v>
      </c>
      <c r="J448" t="s">
        <v>21</v>
      </c>
      <c r="K448" t="s">
        <v>22</v>
      </c>
      <c r="L448">
        <v>1355810400</v>
      </c>
      <c r="M448" s="9">
        <f>(((Table1[[#This Row],[launched_at]]/60)/60)/24)+DATE(1970,1,1)</f>
        <v>41261.25</v>
      </c>
      <c r="N448">
        <v>1355983200</v>
      </c>
      <c r="O448" s="9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LEFT(Table1[[#This Row],[category &amp; sub-category]],SEARCH("/",Table1[[#This Row],[category &amp; sub-category]],1)-1)</f>
        <v>technology</v>
      </c>
      <c r="T448" t="str">
        <f>RIGHT(Table1[[#This Row],[category &amp; sub-category]],LEN(Table1[[#This Row],[category &amp; sub-category]])-SEARCH("/",Table1[[#This Row],[category &amp; sub-category]],1))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(Table1[[#This Row],[pledged]]/Table1[[#This Row],[goal]])*100</f>
        <v>24.326030927835053</v>
      </c>
      <c r="G449" t="s">
        <v>74</v>
      </c>
      <c r="H449">
        <v>439</v>
      </c>
      <c r="I449" s="4">
        <f>IFERROR(Table1[[#This Row],[pledged]]/Table1[[#This Row],[backers_count]],0)</f>
        <v>86</v>
      </c>
      <c r="J449" t="s">
        <v>40</v>
      </c>
      <c r="K449" t="s">
        <v>41</v>
      </c>
      <c r="L449">
        <v>1513663200</v>
      </c>
      <c r="M449" s="9">
        <f>(((Table1[[#This Row],[launched_at]]/60)/60)/24)+DATE(1970,1,1)</f>
        <v>43088.25</v>
      </c>
      <c r="N449">
        <v>1515045600</v>
      </c>
      <c r="O449" s="9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LEFT(Table1[[#This Row],[category &amp; sub-category]],SEARCH("/",Table1[[#This Row],[category &amp; sub-category]],1)-1)</f>
        <v>film &amp; video</v>
      </c>
      <c r="T449" t="str">
        <f>RIGHT(Table1[[#This Row],[category &amp; sub-category]],LEN(Table1[[#This Row],[category &amp; sub-category]])-SEARCH("/",Table1[[#This Row],[category &amp; sub-category]],1))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(Table1[[#This Row],[pledged]]/Table1[[#This Row],[goal]])*100</f>
        <v>50.482758620689658</v>
      </c>
      <c r="G450" t="s">
        <v>14</v>
      </c>
      <c r="H450">
        <v>605</v>
      </c>
      <c r="I450" s="4">
        <f>IFERROR(Table1[[#This Row],[pledged]]/Table1[[#This Row],[backers_count]],0)</f>
        <v>75.014876033057845</v>
      </c>
      <c r="J450" t="s">
        <v>21</v>
      </c>
      <c r="K450" t="s">
        <v>22</v>
      </c>
      <c r="L450">
        <v>1365915600</v>
      </c>
      <c r="M450" s="9">
        <f>(((Table1[[#This Row],[launched_at]]/60)/60)/24)+DATE(1970,1,1)</f>
        <v>41378.208333333336</v>
      </c>
      <c r="N450">
        <v>1366088400</v>
      </c>
      <c r="O450" s="9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LEFT(Table1[[#This Row],[category &amp; sub-category]],SEARCH("/",Table1[[#This Row],[category &amp; sub-category]],1)-1)</f>
        <v>games</v>
      </c>
      <c r="T450" t="str">
        <f>RIGHT(Table1[[#This Row],[category &amp; sub-category]],LEN(Table1[[#This Row],[category &amp; sub-category]])-SEARCH("/",Table1[[#This Row],[category &amp; sub-category]],1))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(Table1[[#This Row],[pledged]]/Table1[[#This Row],[goal]])*100</f>
        <v>967</v>
      </c>
      <c r="G451" t="s">
        <v>20</v>
      </c>
      <c r="H451">
        <v>86</v>
      </c>
      <c r="I451" s="4">
        <f>IFERROR(Table1[[#This Row],[pledged]]/Table1[[#This Row],[backers_count]],0)</f>
        <v>101.19767441860465</v>
      </c>
      <c r="J451" t="s">
        <v>36</v>
      </c>
      <c r="K451" t="s">
        <v>37</v>
      </c>
      <c r="L451">
        <v>1551852000</v>
      </c>
      <c r="M451" s="9">
        <f>(((Table1[[#This Row],[launched_at]]/60)/60)/24)+DATE(1970,1,1)</f>
        <v>43530.25</v>
      </c>
      <c r="N451">
        <v>1553317200</v>
      </c>
      <c r="O451" s="9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LEFT(Table1[[#This Row],[category &amp; sub-category]],SEARCH("/",Table1[[#This Row],[category &amp; sub-category]],1)-1)</f>
        <v>games</v>
      </c>
      <c r="T451" t="str">
        <f>RIGHT(Table1[[#This Row],[category &amp; sub-category]],LEN(Table1[[#This Row],[category &amp; sub-category]])-SEARCH("/",Table1[[#This Row],[category &amp; sub-category]],1))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(Table1[[#This Row],[pledged]]/Table1[[#This Row],[goal]])*100</f>
        <v>4</v>
      </c>
      <c r="G452" t="s">
        <v>14</v>
      </c>
      <c r="H452">
        <v>1</v>
      </c>
      <c r="I452" s="4">
        <f>IFERROR(Table1[[#This Row],[pledged]]/Table1[[#This Row],[backers_count]],0)</f>
        <v>4</v>
      </c>
      <c r="J452" t="s">
        <v>15</v>
      </c>
      <c r="K452" t="s">
        <v>16</v>
      </c>
      <c r="L452">
        <v>1540098000</v>
      </c>
      <c r="M452" s="9">
        <f>(((Table1[[#This Row],[launched_at]]/60)/60)/24)+DATE(1970,1,1)</f>
        <v>43394.208333333328</v>
      </c>
      <c r="N452">
        <v>1542088800</v>
      </c>
      <c r="O452" s="9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LEFT(Table1[[#This Row],[category &amp; sub-category]],SEARCH("/",Table1[[#This Row],[category &amp; sub-category]],1)-1)</f>
        <v>film &amp; video</v>
      </c>
      <c r="T452" t="str">
        <f>RIGHT(Table1[[#This Row],[category &amp; sub-category]],LEN(Table1[[#This Row],[category &amp; sub-category]])-SEARCH("/",Table1[[#This Row],[category &amp; sub-category]],1))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(Table1[[#This Row],[pledged]]/Table1[[#This Row],[goal]])*100</f>
        <v>122.84501347708894</v>
      </c>
      <c r="G453" t="s">
        <v>20</v>
      </c>
      <c r="H453">
        <v>6286</v>
      </c>
      <c r="I453" s="4">
        <f>IFERROR(Table1[[#This Row],[pledged]]/Table1[[#This Row],[backers_count]],0)</f>
        <v>29.001272669424118</v>
      </c>
      <c r="J453" t="s">
        <v>21</v>
      </c>
      <c r="K453" t="s">
        <v>22</v>
      </c>
      <c r="L453">
        <v>1500440400</v>
      </c>
      <c r="M453" s="9">
        <f>(((Table1[[#This Row],[launched_at]]/60)/60)/24)+DATE(1970,1,1)</f>
        <v>42935.208333333328</v>
      </c>
      <c r="N453">
        <v>1503118800</v>
      </c>
      <c r="O453" s="9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LEFT(Table1[[#This Row],[category &amp; sub-category]],SEARCH("/",Table1[[#This Row],[category &amp; sub-category]],1)-1)</f>
        <v>music</v>
      </c>
      <c r="T453" t="str">
        <f>RIGHT(Table1[[#This Row],[category &amp; sub-category]],LEN(Table1[[#This Row],[category &amp; sub-category]])-SEARCH("/",Table1[[#This Row],[category &amp; sub-category]],1))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(Table1[[#This Row],[pledged]]/Table1[[#This Row],[goal]])*100</f>
        <v>63.4375</v>
      </c>
      <c r="G454" t="s">
        <v>14</v>
      </c>
      <c r="H454">
        <v>31</v>
      </c>
      <c r="I454" s="4">
        <f>IFERROR(Table1[[#This Row],[pledged]]/Table1[[#This Row],[backers_count]],0)</f>
        <v>98.225806451612897</v>
      </c>
      <c r="J454" t="s">
        <v>21</v>
      </c>
      <c r="K454" t="s">
        <v>22</v>
      </c>
      <c r="L454">
        <v>1278392400</v>
      </c>
      <c r="M454" s="9">
        <f>(((Table1[[#This Row],[launched_at]]/60)/60)/24)+DATE(1970,1,1)</f>
        <v>40365.208333333336</v>
      </c>
      <c r="N454">
        <v>1278478800</v>
      </c>
      <c r="O454" s="9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LEFT(Table1[[#This Row],[category &amp; sub-category]],SEARCH("/",Table1[[#This Row],[category &amp; sub-category]],1)-1)</f>
        <v>film &amp; video</v>
      </c>
      <c r="T454" t="str">
        <f>RIGHT(Table1[[#This Row],[category &amp; sub-category]],LEN(Table1[[#This Row],[category &amp; sub-category]])-SEARCH("/",Table1[[#This Row],[category &amp; sub-category]],1))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(Table1[[#This Row],[pledged]]/Table1[[#This Row],[goal]])*100</f>
        <v>56.331688596491226</v>
      </c>
      <c r="G455" t="s">
        <v>14</v>
      </c>
      <c r="H455">
        <v>1181</v>
      </c>
      <c r="I455" s="4">
        <f>IFERROR(Table1[[#This Row],[pledged]]/Table1[[#This Row],[backers_count]],0)</f>
        <v>87.001693480101608</v>
      </c>
      <c r="J455" t="s">
        <v>21</v>
      </c>
      <c r="K455" t="s">
        <v>22</v>
      </c>
      <c r="L455">
        <v>1480572000</v>
      </c>
      <c r="M455" s="9">
        <f>(((Table1[[#This Row],[launched_at]]/60)/60)/24)+DATE(1970,1,1)</f>
        <v>42705.25</v>
      </c>
      <c r="N455">
        <v>1484114400</v>
      </c>
      <c r="O455" s="9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LEFT(Table1[[#This Row],[category &amp; sub-category]],SEARCH("/",Table1[[#This Row],[category &amp; sub-category]],1)-1)</f>
        <v>film &amp; video</v>
      </c>
      <c r="T455" t="str">
        <f>RIGHT(Table1[[#This Row],[category &amp; sub-category]],LEN(Table1[[#This Row],[category &amp; sub-category]])-SEARCH("/",Table1[[#This Row],[category &amp; sub-category]],1))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(Table1[[#This Row],[pledged]]/Table1[[#This Row],[goal]])*100</f>
        <v>44.074999999999996</v>
      </c>
      <c r="G456" t="s">
        <v>14</v>
      </c>
      <c r="H456">
        <v>39</v>
      </c>
      <c r="I456" s="4">
        <f>IFERROR(Table1[[#This Row],[pledged]]/Table1[[#This Row],[backers_count]],0)</f>
        <v>45.205128205128204</v>
      </c>
      <c r="J456" t="s">
        <v>21</v>
      </c>
      <c r="K456" t="s">
        <v>22</v>
      </c>
      <c r="L456">
        <v>1382331600</v>
      </c>
      <c r="M456" s="9">
        <f>(((Table1[[#This Row],[launched_at]]/60)/60)/24)+DATE(1970,1,1)</f>
        <v>41568.208333333336</v>
      </c>
      <c r="N456">
        <v>1385445600</v>
      </c>
      <c r="O456" s="9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LEFT(Table1[[#This Row],[category &amp; sub-category]],SEARCH("/",Table1[[#This Row],[category &amp; sub-category]],1)-1)</f>
        <v>film &amp; video</v>
      </c>
      <c r="T456" t="str">
        <f>RIGHT(Table1[[#This Row],[category &amp; sub-category]],LEN(Table1[[#This Row],[category &amp; sub-category]])-SEARCH("/",Table1[[#This Row],[category &amp; sub-category]],1))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(Table1[[#This Row],[pledged]]/Table1[[#This Row],[goal]])*100</f>
        <v>118.37253218884121</v>
      </c>
      <c r="G457" t="s">
        <v>20</v>
      </c>
      <c r="H457">
        <v>3727</v>
      </c>
      <c r="I457" s="4">
        <f>IFERROR(Table1[[#This Row],[pledged]]/Table1[[#This Row],[backers_count]],0)</f>
        <v>37.001341561577675</v>
      </c>
      <c r="J457" t="s">
        <v>21</v>
      </c>
      <c r="K457" t="s">
        <v>22</v>
      </c>
      <c r="L457">
        <v>1316754000</v>
      </c>
      <c r="M457" s="9">
        <f>(((Table1[[#This Row],[launched_at]]/60)/60)/24)+DATE(1970,1,1)</f>
        <v>40809.208333333336</v>
      </c>
      <c r="N457">
        <v>1318741200</v>
      </c>
      <c r="O457" s="9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LEFT(Table1[[#This Row],[category &amp; sub-category]],SEARCH("/",Table1[[#This Row],[category &amp; sub-category]],1)-1)</f>
        <v>theater</v>
      </c>
      <c r="T457" t="str">
        <f>RIGHT(Table1[[#This Row],[category &amp; sub-category]],LEN(Table1[[#This Row],[category &amp; sub-category]])-SEARCH("/",Table1[[#This Row],[category &amp; sub-category]],1))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(Table1[[#This Row],[pledged]]/Table1[[#This Row],[goal]])*100</f>
        <v>104.1243169398907</v>
      </c>
      <c r="G458" t="s">
        <v>20</v>
      </c>
      <c r="H458">
        <v>1605</v>
      </c>
      <c r="I458" s="4">
        <f>IFERROR(Table1[[#This Row],[pledged]]/Table1[[#This Row],[backers_count]],0)</f>
        <v>94.976947040498445</v>
      </c>
      <c r="J458" t="s">
        <v>21</v>
      </c>
      <c r="K458" t="s">
        <v>22</v>
      </c>
      <c r="L458">
        <v>1518242400</v>
      </c>
      <c r="M458" s="9">
        <f>(((Table1[[#This Row],[launched_at]]/60)/60)/24)+DATE(1970,1,1)</f>
        <v>43141.25</v>
      </c>
      <c r="N458">
        <v>1518242400</v>
      </c>
      <c r="O458" s="9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LEFT(Table1[[#This Row],[category &amp; sub-category]],SEARCH("/",Table1[[#This Row],[category &amp; sub-category]],1)-1)</f>
        <v>music</v>
      </c>
      <c r="T458" t="str">
        <f>RIGHT(Table1[[#This Row],[category &amp; sub-category]],LEN(Table1[[#This Row],[category &amp; sub-category]])-SEARCH("/",Table1[[#This Row],[category &amp; sub-category]],1))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(Table1[[#This Row],[pledged]]/Table1[[#This Row],[goal]])*100</f>
        <v>26.640000000000004</v>
      </c>
      <c r="G459" t="s">
        <v>14</v>
      </c>
      <c r="H459">
        <v>46</v>
      </c>
      <c r="I459" s="4">
        <f>IFERROR(Table1[[#This Row],[pledged]]/Table1[[#This Row],[backers_count]],0)</f>
        <v>28.956521739130434</v>
      </c>
      <c r="J459" t="s">
        <v>21</v>
      </c>
      <c r="K459" t="s">
        <v>22</v>
      </c>
      <c r="L459">
        <v>1476421200</v>
      </c>
      <c r="M459" s="9">
        <f>(((Table1[[#This Row],[launched_at]]/60)/60)/24)+DATE(1970,1,1)</f>
        <v>42657.208333333328</v>
      </c>
      <c r="N459">
        <v>1476594000</v>
      </c>
      <c r="O459" s="9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LEFT(Table1[[#This Row],[category &amp; sub-category]],SEARCH("/",Table1[[#This Row],[category &amp; sub-category]],1)-1)</f>
        <v>theater</v>
      </c>
      <c r="T459" t="str">
        <f>RIGHT(Table1[[#This Row],[category &amp; sub-category]],LEN(Table1[[#This Row],[category &amp; sub-category]])-SEARCH("/",Table1[[#This Row],[category &amp; sub-category]],1))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(Table1[[#This Row],[pledged]]/Table1[[#This Row],[goal]])*100</f>
        <v>351.20118343195264</v>
      </c>
      <c r="G460" t="s">
        <v>20</v>
      </c>
      <c r="H460">
        <v>2120</v>
      </c>
      <c r="I460" s="4">
        <f>IFERROR(Table1[[#This Row],[pledged]]/Table1[[#This Row],[backers_count]],0)</f>
        <v>55.993396226415094</v>
      </c>
      <c r="J460" t="s">
        <v>21</v>
      </c>
      <c r="K460" t="s">
        <v>22</v>
      </c>
      <c r="L460">
        <v>1269752400</v>
      </c>
      <c r="M460" s="9">
        <f>(((Table1[[#This Row],[launched_at]]/60)/60)/24)+DATE(1970,1,1)</f>
        <v>40265.208333333336</v>
      </c>
      <c r="N460">
        <v>1273554000</v>
      </c>
      <c r="O460" s="9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LEFT(Table1[[#This Row],[category &amp; sub-category]],SEARCH("/",Table1[[#This Row],[category &amp; sub-category]],1)-1)</f>
        <v>theater</v>
      </c>
      <c r="T460" t="str">
        <f>RIGHT(Table1[[#This Row],[category &amp; sub-category]],LEN(Table1[[#This Row],[category &amp; sub-category]])-SEARCH("/",Table1[[#This Row],[category &amp; sub-category]],1))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(Table1[[#This Row],[pledged]]/Table1[[#This Row],[goal]])*100</f>
        <v>90.063492063492063</v>
      </c>
      <c r="G461" t="s">
        <v>14</v>
      </c>
      <c r="H461">
        <v>105</v>
      </c>
      <c r="I461" s="4">
        <f>IFERROR(Table1[[#This Row],[pledged]]/Table1[[#This Row],[backers_count]],0)</f>
        <v>54.038095238095238</v>
      </c>
      <c r="J461" t="s">
        <v>21</v>
      </c>
      <c r="K461" t="s">
        <v>22</v>
      </c>
      <c r="L461">
        <v>1419746400</v>
      </c>
      <c r="M461" s="9">
        <f>(((Table1[[#This Row],[launched_at]]/60)/60)/24)+DATE(1970,1,1)</f>
        <v>42001.25</v>
      </c>
      <c r="N461">
        <v>1421906400</v>
      </c>
      <c r="O461" s="9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LEFT(Table1[[#This Row],[category &amp; sub-category]],SEARCH("/",Table1[[#This Row],[category &amp; sub-category]],1)-1)</f>
        <v>film &amp; video</v>
      </c>
      <c r="T461" t="str">
        <f>RIGHT(Table1[[#This Row],[category &amp; sub-category]],LEN(Table1[[#This Row],[category &amp; sub-category]])-SEARCH("/",Table1[[#This Row],[category &amp; sub-category]],1))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(Table1[[#This Row],[pledged]]/Table1[[#This Row],[goal]])*100</f>
        <v>171.625</v>
      </c>
      <c r="G462" t="s">
        <v>20</v>
      </c>
      <c r="H462">
        <v>50</v>
      </c>
      <c r="I462" s="4">
        <f>IFERROR(Table1[[#This Row],[pledged]]/Table1[[#This Row],[backers_count]],0)</f>
        <v>82.38</v>
      </c>
      <c r="J462" t="s">
        <v>21</v>
      </c>
      <c r="K462" t="s">
        <v>22</v>
      </c>
      <c r="L462">
        <v>1281330000</v>
      </c>
      <c r="M462" s="9">
        <f>(((Table1[[#This Row],[launched_at]]/60)/60)/24)+DATE(1970,1,1)</f>
        <v>40399.208333333336</v>
      </c>
      <c r="N462">
        <v>1281589200</v>
      </c>
      <c r="O462" s="9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LEFT(Table1[[#This Row],[category &amp; sub-category]],SEARCH("/",Table1[[#This Row],[category &amp; sub-category]],1)-1)</f>
        <v>theater</v>
      </c>
      <c r="T462" t="str">
        <f>RIGHT(Table1[[#This Row],[category &amp; sub-category]],LEN(Table1[[#This Row],[category &amp; sub-category]])-SEARCH("/",Table1[[#This Row],[category &amp; sub-category]],1))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(Table1[[#This Row],[pledged]]/Table1[[#This Row],[goal]])*100</f>
        <v>141.04655870445345</v>
      </c>
      <c r="G463" t="s">
        <v>20</v>
      </c>
      <c r="H463">
        <v>2080</v>
      </c>
      <c r="I463" s="4">
        <f>IFERROR(Table1[[#This Row],[pledged]]/Table1[[#This Row],[backers_count]],0)</f>
        <v>66.997115384615384</v>
      </c>
      <c r="J463" t="s">
        <v>21</v>
      </c>
      <c r="K463" t="s">
        <v>22</v>
      </c>
      <c r="L463">
        <v>1398661200</v>
      </c>
      <c r="M463" s="9">
        <f>(((Table1[[#This Row],[launched_at]]/60)/60)/24)+DATE(1970,1,1)</f>
        <v>41757.208333333336</v>
      </c>
      <c r="N463">
        <v>1400389200</v>
      </c>
      <c r="O463" s="9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LEFT(Table1[[#This Row],[category &amp; sub-category]],SEARCH("/",Table1[[#This Row],[category &amp; sub-category]],1)-1)</f>
        <v>film &amp; video</v>
      </c>
      <c r="T463" t="str">
        <f>RIGHT(Table1[[#This Row],[category &amp; sub-category]],LEN(Table1[[#This Row],[category &amp; sub-category]])-SEARCH("/",Table1[[#This Row],[category &amp; sub-category]],1))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(Table1[[#This Row],[pledged]]/Table1[[#This Row],[goal]])*100</f>
        <v>30.57944915254237</v>
      </c>
      <c r="G464" t="s">
        <v>14</v>
      </c>
      <c r="H464">
        <v>535</v>
      </c>
      <c r="I464" s="4">
        <f>IFERROR(Table1[[#This Row],[pledged]]/Table1[[#This Row],[backers_count]],0)</f>
        <v>107.91401869158878</v>
      </c>
      <c r="J464" t="s">
        <v>21</v>
      </c>
      <c r="K464" t="s">
        <v>22</v>
      </c>
      <c r="L464">
        <v>1359525600</v>
      </c>
      <c r="M464" s="9">
        <f>(((Table1[[#This Row],[launched_at]]/60)/60)/24)+DATE(1970,1,1)</f>
        <v>41304.25</v>
      </c>
      <c r="N464">
        <v>1362808800</v>
      </c>
      <c r="O464" s="9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LEFT(Table1[[#This Row],[category &amp; sub-category]],SEARCH("/",Table1[[#This Row],[category &amp; sub-category]],1)-1)</f>
        <v>games</v>
      </c>
      <c r="T464" t="str">
        <f>RIGHT(Table1[[#This Row],[category &amp; sub-category]],LEN(Table1[[#This Row],[category &amp; sub-category]])-SEARCH("/",Table1[[#This Row],[category &amp; sub-category]],1))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(Table1[[#This Row],[pledged]]/Table1[[#This Row],[goal]])*100</f>
        <v>108.16455696202532</v>
      </c>
      <c r="G465" t="s">
        <v>20</v>
      </c>
      <c r="H465">
        <v>2105</v>
      </c>
      <c r="I465" s="4">
        <f>IFERROR(Table1[[#This Row],[pledged]]/Table1[[#This Row],[backers_count]],0)</f>
        <v>69.009501187648453</v>
      </c>
      <c r="J465" t="s">
        <v>21</v>
      </c>
      <c r="K465" t="s">
        <v>22</v>
      </c>
      <c r="L465">
        <v>1388469600</v>
      </c>
      <c r="M465" s="9">
        <f>(((Table1[[#This Row],[launched_at]]/60)/60)/24)+DATE(1970,1,1)</f>
        <v>41639.25</v>
      </c>
      <c r="N465">
        <v>1388815200</v>
      </c>
      <c r="O465" s="9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LEFT(Table1[[#This Row],[category &amp; sub-category]],SEARCH("/",Table1[[#This Row],[category &amp; sub-category]],1)-1)</f>
        <v>film &amp; video</v>
      </c>
      <c r="T465" t="str">
        <f>RIGHT(Table1[[#This Row],[category &amp; sub-category]],LEN(Table1[[#This Row],[category &amp; sub-category]])-SEARCH("/",Table1[[#This Row],[category &amp; sub-category]],1))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(Table1[[#This Row],[pledged]]/Table1[[#This Row],[goal]])*100</f>
        <v>133.45505617977528</v>
      </c>
      <c r="G466" t="s">
        <v>20</v>
      </c>
      <c r="H466">
        <v>2436</v>
      </c>
      <c r="I466" s="4">
        <f>IFERROR(Table1[[#This Row],[pledged]]/Table1[[#This Row],[backers_count]],0)</f>
        <v>39.006568144499177</v>
      </c>
      <c r="J466" t="s">
        <v>21</v>
      </c>
      <c r="K466" t="s">
        <v>22</v>
      </c>
      <c r="L466">
        <v>1518328800</v>
      </c>
      <c r="M466" s="9">
        <f>(((Table1[[#This Row],[launched_at]]/60)/60)/24)+DATE(1970,1,1)</f>
        <v>43142.25</v>
      </c>
      <c r="N466">
        <v>1519538400</v>
      </c>
      <c r="O466" s="9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LEFT(Table1[[#This Row],[category &amp; sub-category]],SEARCH("/",Table1[[#This Row],[category &amp; sub-category]],1)-1)</f>
        <v>theater</v>
      </c>
      <c r="T466" t="str">
        <f>RIGHT(Table1[[#This Row],[category &amp; sub-category]],LEN(Table1[[#This Row],[category &amp; sub-category]])-SEARCH("/",Table1[[#This Row],[category &amp; sub-category]],1))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(Table1[[#This Row],[pledged]]/Table1[[#This Row],[goal]])*100</f>
        <v>187.85106382978722</v>
      </c>
      <c r="G467" t="s">
        <v>20</v>
      </c>
      <c r="H467">
        <v>80</v>
      </c>
      <c r="I467" s="4">
        <f>IFERROR(Table1[[#This Row],[pledged]]/Table1[[#This Row],[backers_count]],0)</f>
        <v>110.3625</v>
      </c>
      <c r="J467" t="s">
        <v>21</v>
      </c>
      <c r="K467" t="s">
        <v>22</v>
      </c>
      <c r="L467">
        <v>1517032800</v>
      </c>
      <c r="M467" s="9">
        <f>(((Table1[[#This Row],[launched_at]]/60)/60)/24)+DATE(1970,1,1)</f>
        <v>43127.25</v>
      </c>
      <c r="N467">
        <v>1517810400</v>
      </c>
      <c r="O467" s="9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LEFT(Table1[[#This Row],[category &amp; sub-category]],SEARCH("/",Table1[[#This Row],[category &amp; sub-category]],1)-1)</f>
        <v>publishing</v>
      </c>
      <c r="T467" t="str">
        <f>RIGHT(Table1[[#This Row],[category &amp; sub-category]],LEN(Table1[[#This Row],[category &amp; sub-category]])-SEARCH("/",Table1[[#This Row],[category &amp; sub-category]],1))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(Table1[[#This Row],[pledged]]/Table1[[#This Row],[goal]])*100</f>
        <v>332</v>
      </c>
      <c r="G468" t="s">
        <v>20</v>
      </c>
      <c r="H468">
        <v>42</v>
      </c>
      <c r="I468" s="4">
        <f>IFERROR(Table1[[#This Row],[pledged]]/Table1[[#This Row],[backers_count]],0)</f>
        <v>94.857142857142861</v>
      </c>
      <c r="J468" t="s">
        <v>21</v>
      </c>
      <c r="K468" t="s">
        <v>22</v>
      </c>
      <c r="L468">
        <v>1368594000</v>
      </c>
      <c r="M468" s="9">
        <f>(((Table1[[#This Row],[launched_at]]/60)/60)/24)+DATE(1970,1,1)</f>
        <v>41409.208333333336</v>
      </c>
      <c r="N468">
        <v>1370581200</v>
      </c>
      <c r="O468" s="9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LEFT(Table1[[#This Row],[category &amp; sub-category]],SEARCH("/",Table1[[#This Row],[category &amp; sub-category]],1)-1)</f>
        <v>technology</v>
      </c>
      <c r="T468" t="str">
        <f>RIGHT(Table1[[#This Row],[category &amp; sub-category]],LEN(Table1[[#This Row],[category &amp; sub-category]])-SEARCH("/",Table1[[#This Row],[category &amp; sub-category]],1))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(Table1[[#This Row],[pledged]]/Table1[[#This Row],[goal]])*100</f>
        <v>575.21428571428578</v>
      </c>
      <c r="G469" t="s">
        <v>20</v>
      </c>
      <c r="H469">
        <v>139</v>
      </c>
      <c r="I469" s="4">
        <f>IFERROR(Table1[[#This Row],[pledged]]/Table1[[#This Row],[backers_count]],0)</f>
        <v>57.935251798561154</v>
      </c>
      <c r="J469" t="s">
        <v>15</v>
      </c>
      <c r="K469" t="s">
        <v>16</v>
      </c>
      <c r="L469">
        <v>1448258400</v>
      </c>
      <c r="M469" s="9">
        <f>(((Table1[[#This Row],[launched_at]]/60)/60)/24)+DATE(1970,1,1)</f>
        <v>42331.25</v>
      </c>
      <c r="N469">
        <v>1448863200</v>
      </c>
      <c r="O469" s="9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LEFT(Table1[[#This Row],[category &amp; sub-category]],SEARCH("/",Table1[[#This Row],[category &amp; sub-category]],1)-1)</f>
        <v>technology</v>
      </c>
      <c r="T469" t="str">
        <f>RIGHT(Table1[[#This Row],[category &amp; sub-category]],LEN(Table1[[#This Row],[category &amp; sub-category]])-SEARCH("/",Table1[[#This Row],[category &amp; sub-category]],1))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(Table1[[#This Row],[pledged]]/Table1[[#This Row],[goal]])*100</f>
        <v>40.5</v>
      </c>
      <c r="G470" t="s">
        <v>14</v>
      </c>
      <c r="H470">
        <v>16</v>
      </c>
      <c r="I470" s="4">
        <f>IFERROR(Table1[[#This Row],[pledged]]/Table1[[#This Row],[backers_count]],0)</f>
        <v>101.25</v>
      </c>
      <c r="J470" t="s">
        <v>21</v>
      </c>
      <c r="K470" t="s">
        <v>22</v>
      </c>
      <c r="L470">
        <v>1555218000</v>
      </c>
      <c r="M470" s="9">
        <f>(((Table1[[#This Row],[launched_at]]/60)/60)/24)+DATE(1970,1,1)</f>
        <v>43569.208333333328</v>
      </c>
      <c r="N470">
        <v>1556600400</v>
      </c>
      <c r="O470" s="9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LEFT(Table1[[#This Row],[category &amp; sub-category]],SEARCH("/",Table1[[#This Row],[category &amp; sub-category]],1)-1)</f>
        <v>theater</v>
      </c>
      <c r="T470" t="str">
        <f>RIGHT(Table1[[#This Row],[category &amp; sub-category]],LEN(Table1[[#This Row],[category &amp; sub-category]])-SEARCH("/",Table1[[#This Row],[category &amp; sub-category]],1))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(Table1[[#This Row],[pledged]]/Table1[[#This Row],[goal]])*100</f>
        <v>184.42857142857144</v>
      </c>
      <c r="G471" t="s">
        <v>20</v>
      </c>
      <c r="H471">
        <v>159</v>
      </c>
      <c r="I471" s="4">
        <f>IFERROR(Table1[[#This Row],[pledged]]/Table1[[#This Row],[backers_count]],0)</f>
        <v>64.95597484276729</v>
      </c>
      <c r="J471" t="s">
        <v>21</v>
      </c>
      <c r="K471" t="s">
        <v>22</v>
      </c>
      <c r="L471">
        <v>1431925200</v>
      </c>
      <c r="M471" s="9">
        <f>(((Table1[[#This Row],[launched_at]]/60)/60)/24)+DATE(1970,1,1)</f>
        <v>42142.208333333328</v>
      </c>
      <c r="N471">
        <v>1432098000</v>
      </c>
      <c r="O471" s="9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LEFT(Table1[[#This Row],[category &amp; sub-category]],SEARCH("/",Table1[[#This Row],[category &amp; sub-category]],1)-1)</f>
        <v>film &amp; video</v>
      </c>
      <c r="T471" t="str">
        <f>RIGHT(Table1[[#This Row],[category &amp; sub-category]],LEN(Table1[[#This Row],[category &amp; sub-category]])-SEARCH("/",Table1[[#This Row],[category &amp; sub-category]],1))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(Table1[[#This Row],[pledged]]/Table1[[#This Row],[goal]])*100</f>
        <v>285.80555555555554</v>
      </c>
      <c r="G472" t="s">
        <v>20</v>
      </c>
      <c r="H472">
        <v>381</v>
      </c>
      <c r="I472" s="4">
        <f>IFERROR(Table1[[#This Row],[pledged]]/Table1[[#This Row],[backers_count]],0)</f>
        <v>27.00524934383202</v>
      </c>
      <c r="J472" t="s">
        <v>21</v>
      </c>
      <c r="K472" t="s">
        <v>22</v>
      </c>
      <c r="L472">
        <v>1481522400</v>
      </c>
      <c r="M472" s="9">
        <f>(((Table1[[#This Row],[launched_at]]/60)/60)/24)+DATE(1970,1,1)</f>
        <v>42716.25</v>
      </c>
      <c r="N472">
        <v>1482127200</v>
      </c>
      <c r="O472" s="9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LEFT(Table1[[#This Row],[category &amp; sub-category]],SEARCH("/",Table1[[#This Row],[category &amp; sub-category]],1)-1)</f>
        <v>technology</v>
      </c>
      <c r="T472" t="str">
        <f>RIGHT(Table1[[#This Row],[category &amp; sub-category]],LEN(Table1[[#This Row],[category &amp; sub-category]])-SEARCH("/",Table1[[#This Row],[category &amp; sub-category]],1))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(Table1[[#This Row],[pledged]]/Table1[[#This Row],[goal]])*100</f>
        <v>319</v>
      </c>
      <c r="G473" t="s">
        <v>20</v>
      </c>
      <c r="H473">
        <v>194</v>
      </c>
      <c r="I473" s="4">
        <f>IFERROR(Table1[[#This Row],[pledged]]/Table1[[#This Row],[backers_count]],0)</f>
        <v>50.97422680412371</v>
      </c>
      <c r="J473" t="s">
        <v>40</v>
      </c>
      <c r="K473" t="s">
        <v>41</v>
      </c>
      <c r="L473">
        <v>1335934800</v>
      </c>
      <c r="M473" s="9">
        <f>(((Table1[[#This Row],[launched_at]]/60)/60)/24)+DATE(1970,1,1)</f>
        <v>41031.208333333336</v>
      </c>
      <c r="N473">
        <v>1335934800</v>
      </c>
      <c r="O473" s="9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LEFT(Table1[[#This Row],[category &amp; sub-category]],SEARCH("/",Table1[[#This Row],[category &amp; sub-category]],1)-1)</f>
        <v>food</v>
      </c>
      <c r="T473" t="str">
        <f>RIGHT(Table1[[#This Row],[category &amp; sub-category]],LEN(Table1[[#This Row],[category &amp; sub-category]])-SEARCH("/",Table1[[#This Row],[category &amp; sub-category]],1))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(Table1[[#This Row],[pledged]]/Table1[[#This Row],[goal]])*100</f>
        <v>39.234070221066318</v>
      </c>
      <c r="G474" t="s">
        <v>14</v>
      </c>
      <c r="H474">
        <v>575</v>
      </c>
      <c r="I474" s="4">
        <f>IFERROR(Table1[[#This Row],[pledged]]/Table1[[#This Row],[backers_count]],0)</f>
        <v>104.94260869565217</v>
      </c>
      <c r="J474" t="s">
        <v>21</v>
      </c>
      <c r="K474" t="s">
        <v>22</v>
      </c>
      <c r="L474">
        <v>1552280400</v>
      </c>
      <c r="M474" s="9">
        <f>(((Table1[[#This Row],[launched_at]]/60)/60)/24)+DATE(1970,1,1)</f>
        <v>43535.208333333328</v>
      </c>
      <c r="N474">
        <v>1556946000</v>
      </c>
      <c r="O474" s="9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LEFT(Table1[[#This Row],[category &amp; sub-category]],SEARCH("/",Table1[[#This Row],[category &amp; sub-category]],1)-1)</f>
        <v>music</v>
      </c>
      <c r="T474" t="str">
        <f>RIGHT(Table1[[#This Row],[category &amp; sub-category]],LEN(Table1[[#This Row],[category &amp; sub-category]])-SEARCH("/",Table1[[#This Row],[category &amp; sub-category]],1))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(Table1[[#This Row],[pledged]]/Table1[[#This Row],[goal]])*100</f>
        <v>178.14000000000001</v>
      </c>
      <c r="G475" t="s">
        <v>20</v>
      </c>
      <c r="H475">
        <v>106</v>
      </c>
      <c r="I475" s="4">
        <f>IFERROR(Table1[[#This Row],[pledged]]/Table1[[#This Row],[backers_count]],0)</f>
        <v>84.028301886792448</v>
      </c>
      <c r="J475" t="s">
        <v>21</v>
      </c>
      <c r="K475" t="s">
        <v>22</v>
      </c>
      <c r="L475">
        <v>1529989200</v>
      </c>
      <c r="M475" s="9">
        <f>(((Table1[[#This Row],[launched_at]]/60)/60)/24)+DATE(1970,1,1)</f>
        <v>43277.208333333328</v>
      </c>
      <c r="N475">
        <v>1530075600</v>
      </c>
      <c r="O475" s="9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LEFT(Table1[[#This Row],[category &amp; sub-category]],SEARCH("/",Table1[[#This Row],[category &amp; sub-category]],1)-1)</f>
        <v>music</v>
      </c>
      <c r="T475" t="str">
        <f>RIGHT(Table1[[#This Row],[category &amp; sub-category]],LEN(Table1[[#This Row],[category &amp; sub-category]])-SEARCH("/",Table1[[#This Row],[category &amp; sub-category]],1))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(Table1[[#This Row],[pledged]]/Table1[[#This Row],[goal]])*100</f>
        <v>365.15</v>
      </c>
      <c r="G476" t="s">
        <v>20</v>
      </c>
      <c r="H476">
        <v>142</v>
      </c>
      <c r="I476" s="4">
        <f>IFERROR(Table1[[#This Row],[pledged]]/Table1[[#This Row],[backers_count]],0)</f>
        <v>102.85915492957747</v>
      </c>
      <c r="J476" t="s">
        <v>21</v>
      </c>
      <c r="K476" t="s">
        <v>22</v>
      </c>
      <c r="L476">
        <v>1418709600</v>
      </c>
      <c r="M476" s="9">
        <f>(((Table1[[#This Row],[launched_at]]/60)/60)/24)+DATE(1970,1,1)</f>
        <v>41989.25</v>
      </c>
      <c r="N476">
        <v>1418796000</v>
      </c>
      <c r="O476" s="9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LEFT(Table1[[#This Row],[category &amp; sub-category]],SEARCH("/",Table1[[#This Row],[category &amp; sub-category]],1)-1)</f>
        <v>film &amp; video</v>
      </c>
      <c r="T476" t="str">
        <f>RIGHT(Table1[[#This Row],[category &amp; sub-category]],LEN(Table1[[#This Row],[category &amp; sub-category]])-SEARCH("/",Table1[[#This Row],[category &amp; sub-category]],1))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(Table1[[#This Row],[pledged]]/Table1[[#This Row],[goal]])*100</f>
        <v>113.94594594594594</v>
      </c>
      <c r="G477" t="s">
        <v>20</v>
      </c>
      <c r="H477">
        <v>211</v>
      </c>
      <c r="I477" s="4">
        <f>IFERROR(Table1[[#This Row],[pledged]]/Table1[[#This Row],[backers_count]],0)</f>
        <v>39.962085308056871</v>
      </c>
      <c r="J477" t="s">
        <v>21</v>
      </c>
      <c r="K477" t="s">
        <v>22</v>
      </c>
      <c r="L477">
        <v>1372136400</v>
      </c>
      <c r="M477" s="9">
        <f>(((Table1[[#This Row],[launched_at]]/60)/60)/24)+DATE(1970,1,1)</f>
        <v>41450.208333333336</v>
      </c>
      <c r="N477">
        <v>1372482000</v>
      </c>
      <c r="O477" s="9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LEFT(Table1[[#This Row],[category &amp; sub-category]],SEARCH("/",Table1[[#This Row],[category &amp; sub-category]],1)-1)</f>
        <v>publishing</v>
      </c>
      <c r="T477" t="str">
        <f>RIGHT(Table1[[#This Row],[category &amp; sub-category]],LEN(Table1[[#This Row],[category &amp; sub-category]])-SEARCH("/",Table1[[#This Row],[category &amp; sub-category]],1))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(Table1[[#This Row],[pledged]]/Table1[[#This Row],[goal]])*100</f>
        <v>29.828720626631856</v>
      </c>
      <c r="G478" t="s">
        <v>14</v>
      </c>
      <c r="H478">
        <v>1120</v>
      </c>
      <c r="I478" s="4">
        <f>IFERROR(Table1[[#This Row],[pledged]]/Table1[[#This Row],[backers_count]],0)</f>
        <v>51.001785714285717</v>
      </c>
      <c r="J478" t="s">
        <v>21</v>
      </c>
      <c r="K478" t="s">
        <v>22</v>
      </c>
      <c r="L478">
        <v>1533877200</v>
      </c>
      <c r="M478" s="9">
        <f>(((Table1[[#This Row],[launched_at]]/60)/60)/24)+DATE(1970,1,1)</f>
        <v>43322.208333333328</v>
      </c>
      <c r="N478">
        <v>1534395600</v>
      </c>
      <c r="O478" s="9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LEFT(Table1[[#This Row],[category &amp; sub-category]],SEARCH("/",Table1[[#This Row],[category &amp; sub-category]],1)-1)</f>
        <v>publishing</v>
      </c>
      <c r="T478" t="str">
        <f>RIGHT(Table1[[#This Row],[category &amp; sub-category]],LEN(Table1[[#This Row],[category &amp; sub-category]])-SEARCH("/",Table1[[#This Row],[category &amp; sub-category]],1))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(Table1[[#This Row],[pledged]]/Table1[[#This Row],[goal]])*100</f>
        <v>54.270588235294113</v>
      </c>
      <c r="G479" t="s">
        <v>14</v>
      </c>
      <c r="H479">
        <v>113</v>
      </c>
      <c r="I479" s="4">
        <f>IFERROR(Table1[[#This Row],[pledged]]/Table1[[#This Row],[backers_count]],0)</f>
        <v>40.823008849557525</v>
      </c>
      <c r="J479" t="s">
        <v>21</v>
      </c>
      <c r="K479" t="s">
        <v>22</v>
      </c>
      <c r="L479">
        <v>1309064400</v>
      </c>
      <c r="M479" s="9">
        <f>(((Table1[[#This Row],[launched_at]]/60)/60)/24)+DATE(1970,1,1)</f>
        <v>40720.208333333336</v>
      </c>
      <c r="N479">
        <v>1311397200</v>
      </c>
      <c r="O479" s="9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LEFT(Table1[[#This Row],[category &amp; sub-category]],SEARCH("/",Table1[[#This Row],[category &amp; sub-category]],1)-1)</f>
        <v>film &amp; video</v>
      </c>
      <c r="T479" t="str">
        <f>RIGHT(Table1[[#This Row],[category &amp; sub-category]],LEN(Table1[[#This Row],[category &amp; sub-category]])-SEARCH("/",Table1[[#This Row],[category &amp; sub-category]],1))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(Table1[[#This Row],[pledged]]/Table1[[#This Row],[goal]])*100</f>
        <v>236.34156976744185</v>
      </c>
      <c r="G480" t="s">
        <v>20</v>
      </c>
      <c r="H480">
        <v>2756</v>
      </c>
      <c r="I480" s="4">
        <f>IFERROR(Table1[[#This Row],[pledged]]/Table1[[#This Row],[backers_count]],0)</f>
        <v>58.999637155297535</v>
      </c>
      <c r="J480" t="s">
        <v>21</v>
      </c>
      <c r="K480" t="s">
        <v>22</v>
      </c>
      <c r="L480">
        <v>1425877200</v>
      </c>
      <c r="M480" s="9">
        <f>(((Table1[[#This Row],[launched_at]]/60)/60)/24)+DATE(1970,1,1)</f>
        <v>42072.208333333328</v>
      </c>
      <c r="N480">
        <v>1426914000</v>
      </c>
      <c r="O480" s="9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LEFT(Table1[[#This Row],[category &amp; sub-category]],SEARCH("/",Table1[[#This Row],[category &amp; sub-category]],1)-1)</f>
        <v>technology</v>
      </c>
      <c r="T480" t="str">
        <f>RIGHT(Table1[[#This Row],[category &amp; sub-category]],LEN(Table1[[#This Row],[category &amp; sub-category]])-SEARCH("/",Table1[[#This Row],[category &amp; sub-category]],1))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(Table1[[#This Row],[pledged]]/Table1[[#This Row],[goal]])*100</f>
        <v>512.91666666666663</v>
      </c>
      <c r="G481" t="s">
        <v>20</v>
      </c>
      <c r="H481">
        <v>173</v>
      </c>
      <c r="I481" s="4">
        <f>IFERROR(Table1[[#This Row],[pledged]]/Table1[[#This Row],[backers_count]],0)</f>
        <v>71.156069364161851</v>
      </c>
      <c r="J481" t="s">
        <v>40</v>
      </c>
      <c r="K481" t="s">
        <v>41</v>
      </c>
      <c r="L481">
        <v>1501304400</v>
      </c>
      <c r="M481" s="9">
        <f>(((Table1[[#This Row],[launched_at]]/60)/60)/24)+DATE(1970,1,1)</f>
        <v>42945.208333333328</v>
      </c>
      <c r="N481">
        <v>1501477200</v>
      </c>
      <c r="O481" s="9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LEFT(Table1[[#This Row],[category &amp; sub-category]],SEARCH("/",Table1[[#This Row],[category &amp; sub-category]],1)-1)</f>
        <v>food</v>
      </c>
      <c r="T481" t="str">
        <f>RIGHT(Table1[[#This Row],[category &amp; sub-category]],LEN(Table1[[#This Row],[category &amp; sub-category]])-SEARCH("/",Table1[[#This Row],[category &amp; sub-category]],1))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(Table1[[#This Row],[pledged]]/Table1[[#This Row],[goal]])*100</f>
        <v>100.65116279069768</v>
      </c>
      <c r="G482" t="s">
        <v>20</v>
      </c>
      <c r="H482">
        <v>87</v>
      </c>
      <c r="I482" s="4">
        <f>IFERROR(Table1[[#This Row],[pledged]]/Table1[[#This Row],[backers_count]],0)</f>
        <v>99.494252873563212</v>
      </c>
      <c r="J482" t="s">
        <v>21</v>
      </c>
      <c r="K482" t="s">
        <v>22</v>
      </c>
      <c r="L482">
        <v>1268287200</v>
      </c>
      <c r="M482" s="9">
        <f>(((Table1[[#This Row],[launched_at]]/60)/60)/24)+DATE(1970,1,1)</f>
        <v>40248.25</v>
      </c>
      <c r="N482">
        <v>1269061200</v>
      </c>
      <c r="O482" s="9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LEFT(Table1[[#This Row],[category &amp; sub-category]],SEARCH("/",Table1[[#This Row],[category &amp; sub-category]],1)-1)</f>
        <v>photography</v>
      </c>
      <c r="T482" t="str">
        <f>RIGHT(Table1[[#This Row],[category &amp; sub-category]],LEN(Table1[[#This Row],[category &amp; sub-category]])-SEARCH("/",Table1[[#This Row],[category &amp; sub-category]],1))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(Table1[[#This Row],[pledged]]/Table1[[#This Row],[goal]])*100</f>
        <v>81.348423194303152</v>
      </c>
      <c r="G483" t="s">
        <v>14</v>
      </c>
      <c r="H483">
        <v>1538</v>
      </c>
      <c r="I483" s="4">
        <f>IFERROR(Table1[[#This Row],[pledged]]/Table1[[#This Row],[backers_count]],0)</f>
        <v>103.98634590377114</v>
      </c>
      <c r="J483" t="s">
        <v>21</v>
      </c>
      <c r="K483" t="s">
        <v>22</v>
      </c>
      <c r="L483">
        <v>1412139600</v>
      </c>
      <c r="M483" s="9">
        <f>(((Table1[[#This Row],[launched_at]]/60)/60)/24)+DATE(1970,1,1)</f>
        <v>41913.208333333336</v>
      </c>
      <c r="N483">
        <v>1415772000</v>
      </c>
      <c r="O483" s="9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LEFT(Table1[[#This Row],[category &amp; sub-category]],SEARCH("/",Table1[[#This Row],[category &amp; sub-category]],1)-1)</f>
        <v>theater</v>
      </c>
      <c r="T483" t="str">
        <f>RIGHT(Table1[[#This Row],[category &amp; sub-category]],LEN(Table1[[#This Row],[category &amp; sub-category]])-SEARCH("/",Table1[[#This Row],[category &amp; sub-category]],1))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(Table1[[#This Row],[pledged]]/Table1[[#This Row],[goal]])*100</f>
        <v>16.404761904761905</v>
      </c>
      <c r="G484" t="s">
        <v>14</v>
      </c>
      <c r="H484">
        <v>9</v>
      </c>
      <c r="I484" s="4">
        <f>IFERROR(Table1[[#This Row],[pledged]]/Table1[[#This Row],[backers_count]],0)</f>
        <v>76.555555555555557</v>
      </c>
      <c r="J484" t="s">
        <v>21</v>
      </c>
      <c r="K484" t="s">
        <v>22</v>
      </c>
      <c r="L484">
        <v>1330063200</v>
      </c>
      <c r="M484" s="9">
        <f>(((Table1[[#This Row],[launched_at]]/60)/60)/24)+DATE(1970,1,1)</f>
        <v>40963.25</v>
      </c>
      <c r="N484">
        <v>1331013600</v>
      </c>
      <c r="O484" s="9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LEFT(Table1[[#This Row],[category &amp; sub-category]],SEARCH("/",Table1[[#This Row],[category &amp; sub-category]],1)-1)</f>
        <v>publishing</v>
      </c>
      <c r="T484" t="str">
        <f>RIGHT(Table1[[#This Row],[category &amp; sub-category]],LEN(Table1[[#This Row],[category &amp; sub-category]])-SEARCH("/",Table1[[#This Row],[category &amp; sub-category]],1))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(Table1[[#This Row],[pledged]]/Table1[[#This Row],[goal]])*100</f>
        <v>52.774617067833695</v>
      </c>
      <c r="G485" t="s">
        <v>14</v>
      </c>
      <c r="H485">
        <v>554</v>
      </c>
      <c r="I485" s="4">
        <f>IFERROR(Table1[[#This Row],[pledged]]/Table1[[#This Row],[backers_count]],0)</f>
        <v>87.068592057761734</v>
      </c>
      <c r="J485" t="s">
        <v>21</v>
      </c>
      <c r="K485" t="s">
        <v>22</v>
      </c>
      <c r="L485">
        <v>1576130400</v>
      </c>
      <c r="M485" s="9">
        <f>(((Table1[[#This Row],[launched_at]]/60)/60)/24)+DATE(1970,1,1)</f>
        <v>43811.25</v>
      </c>
      <c r="N485">
        <v>1576735200</v>
      </c>
      <c r="O485" s="9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LEFT(Table1[[#This Row],[category &amp; sub-category]],SEARCH("/",Table1[[#This Row],[category &amp; sub-category]],1)-1)</f>
        <v>theater</v>
      </c>
      <c r="T485" t="str">
        <f>RIGHT(Table1[[#This Row],[category &amp; sub-category]],LEN(Table1[[#This Row],[category &amp; sub-category]])-SEARCH("/",Table1[[#This Row],[category &amp; sub-category]],1))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(Table1[[#This Row],[pledged]]/Table1[[#This Row],[goal]])*100</f>
        <v>260.20608108108109</v>
      </c>
      <c r="G486" t="s">
        <v>20</v>
      </c>
      <c r="H486">
        <v>1572</v>
      </c>
      <c r="I486" s="4">
        <f>IFERROR(Table1[[#This Row],[pledged]]/Table1[[#This Row],[backers_count]],0)</f>
        <v>48.99554707379135</v>
      </c>
      <c r="J486" t="s">
        <v>40</v>
      </c>
      <c r="K486" t="s">
        <v>41</v>
      </c>
      <c r="L486">
        <v>1407128400</v>
      </c>
      <c r="M486" s="9">
        <f>(((Table1[[#This Row],[launched_at]]/60)/60)/24)+DATE(1970,1,1)</f>
        <v>41855.208333333336</v>
      </c>
      <c r="N486">
        <v>1411362000</v>
      </c>
      <c r="O486" s="9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LEFT(Table1[[#This Row],[category &amp; sub-category]],SEARCH("/",Table1[[#This Row],[category &amp; sub-category]],1)-1)</f>
        <v>food</v>
      </c>
      <c r="T486" t="str">
        <f>RIGHT(Table1[[#This Row],[category &amp; sub-category]],LEN(Table1[[#This Row],[category &amp; sub-category]])-SEARCH("/",Table1[[#This Row],[category &amp; sub-category]],1))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(Table1[[#This Row],[pledged]]/Table1[[#This Row],[goal]])*100</f>
        <v>30.73289183222958</v>
      </c>
      <c r="G487" t="s">
        <v>14</v>
      </c>
      <c r="H487">
        <v>648</v>
      </c>
      <c r="I487" s="4">
        <f>IFERROR(Table1[[#This Row],[pledged]]/Table1[[#This Row],[backers_count]],0)</f>
        <v>42.969135802469133</v>
      </c>
      <c r="J487" t="s">
        <v>40</v>
      </c>
      <c r="K487" t="s">
        <v>41</v>
      </c>
      <c r="L487">
        <v>1560142800</v>
      </c>
      <c r="M487" s="9">
        <f>(((Table1[[#This Row],[launched_at]]/60)/60)/24)+DATE(1970,1,1)</f>
        <v>43626.208333333328</v>
      </c>
      <c r="N487">
        <v>1563685200</v>
      </c>
      <c r="O487" s="9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LEFT(Table1[[#This Row],[category &amp; sub-category]],SEARCH("/",Table1[[#This Row],[category &amp; sub-category]],1)-1)</f>
        <v>theater</v>
      </c>
      <c r="T487" t="str">
        <f>RIGHT(Table1[[#This Row],[category &amp; sub-category]],LEN(Table1[[#This Row],[category &amp; sub-category]])-SEARCH("/",Table1[[#This Row],[category &amp; sub-category]],1))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(Table1[[#This Row],[pledged]]/Table1[[#This Row],[goal]])*100</f>
        <v>13.5</v>
      </c>
      <c r="G488" t="s">
        <v>14</v>
      </c>
      <c r="H488">
        <v>21</v>
      </c>
      <c r="I488" s="4">
        <f>IFERROR(Table1[[#This Row],[pledged]]/Table1[[#This Row],[backers_count]],0)</f>
        <v>33.428571428571431</v>
      </c>
      <c r="J488" t="s">
        <v>40</v>
      </c>
      <c r="K488" t="s">
        <v>41</v>
      </c>
      <c r="L488">
        <v>1520575200</v>
      </c>
      <c r="M488" s="9">
        <f>(((Table1[[#This Row],[launched_at]]/60)/60)/24)+DATE(1970,1,1)</f>
        <v>43168.25</v>
      </c>
      <c r="N488">
        <v>1521867600</v>
      </c>
      <c r="O488" s="9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LEFT(Table1[[#This Row],[category &amp; sub-category]],SEARCH("/",Table1[[#This Row],[category &amp; sub-category]],1)-1)</f>
        <v>publishing</v>
      </c>
      <c r="T488" t="str">
        <f>RIGHT(Table1[[#This Row],[category &amp; sub-category]],LEN(Table1[[#This Row],[category &amp; sub-category]])-SEARCH("/",Table1[[#This Row],[category &amp; sub-category]],1))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(Table1[[#This Row],[pledged]]/Table1[[#This Row],[goal]])*100</f>
        <v>178.62556663644605</v>
      </c>
      <c r="G489" t="s">
        <v>20</v>
      </c>
      <c r="H489">
        <v>2346</v>
      </c>
      <c r="I489" s="4">
        <f>IFERROR(Table1[[#This Row],[pledged]]/Table1[[#This Row],[backers_count]],0)</f>
        <v>83.982949701619773</v>
      </c>
      <c r="J489" t="s">
        <v>21</v>
      </c>
      <c r="K489" t="s">
        <v>22</v>
      </c>
      <c r="L489">
        <v>1492664400</v>
      </c>
      <c r="M489" s="9">
        <f>(((Table1[[#This Row],[launched_at]]/60)/60)/24)+DATE(1970,1,1)</f>
        <v>42845.208333333328</v>
      </c>
      <c r="N489">
        <v>1495515600</v>
      </c>
      <c r="O489" s="9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LEFT(Table1[[#This Row],[category &amp; sub-category]],SEARCH("/",Table1[[#This Row],[category &amp; sub-category]],1)-1)</f>
        <v>theater</v>
      </c>
      <c r="T489" t="str">
        <f>RIGHT(Table1[[#This Row],[category &amp; sub-category]],LEN(Table1[[#This Row],[category &amp; sub-category]])-SEARCH("/",Table1[[#This Row],[category &amp; sub-category]],1))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(Table1[[#This Row],[pledged]]/Table1[[#This Row],[goal]])*100</f>
        <v>220.0566037735849</v>
      </c>
      <c r="G490" t="s">
        <v>20</v>
      </c>
      <c r="H490">
        <v>115</v>
      </c>
      <c r="I490" s="4">
        <f>IFERROR(Table1[[#This Row],[pledged]]/Table1[[#This Row],[backers_count]],0)</f>
        <v>101.41739130434783</v>
      </c>
      <c r="J490" t="s">
        <v>21</v>
      </c>
      <c r="K490" t="s">
        <v>22</v>
      </c>
      <c r="L490">
        <v>1454479200</v>
      </c>
      <c r="M490" s="9">
        <f>(((Table1[[#This Row],[launched_at]]/60)/60)/24)+DATE(1970,1,1)</f>
        <v>42403.25</v>
      </c>
      <c r="N490">
        <v>1455948000</v>
      </c>
      <c r="O490" s="9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LEFT(Table1[[#This Row],[category &amp; sub-category]],SEARCH("/",Table1[[#This Row],[category &amp; sub-category]],1)-1)</f>
        <v>theater</v>
      </c>
      <c r="T490" t="str">
        <f>RIGHT(Table1[[#This Row],[category &amp; sub-category]],LEN(Table1[[#This Row],[category &amp; sub-category]])-SEARCH("/",Table1[[#This Row],[category &amp; sub-category]],1))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(Table1[[#This Row],[pledged]]/Table1[[#This Row],[goal]])*100</f>
        <v>101.5108695652174</v>
      </c>
      <c r="G491" t="s">
        <v>20</v>
      </c>
      <c r="H491">
        <v>85</v>
      </c>
      <c r="I491" s="4">
        <f>IFERROR(Table1[[#This Row],[pledged]]/Table1[[#This Row],[backers_count]],0)</f>
        <v>109.87058823529412</v>
      </c>
      <c r="J491" t="s">
        <v>107</v>
      </c>
      <c r="K491" t="s">
        <v>108</v>
      </c>
      <c r="L491">
        <v>1281934800</v>
      </c>
      <c r="M491" s="9">
        <f>(((Table1[[#This Row],[launched_at]]/60)/60)/24)+DATE(1970,1,1)</f>
        <v>40406.208333333336</v>
      </c>
      <c r="N491">
        <v>1282366800</v>
      </c>
      <c r="O491" s="9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LEFT(Table1[[#This Row],[category &amp; sub-category]],SEARCH("/",Table1[[#This Row],[category &amp; sub-category]],1)-1)</f>
        <v>technology</v>
      </c>
      <c r="T491" t="str">
        <f>RIGHT(Table1[[#This Row],[category &amp; sub-category]],LEN(Table1[[#This Row],[category &amp; sub-category]])-SEARCH("/",Table1[[#This Row],[category &amp; sub-category]],1))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(Table1[[#This Row],[pledged]]/Table1[[#This Row],[goal]])*100</f>
        <v>191.5</v>
      </c>
      <c r="G492" t="s">
        <v>20</v>
      </c>
      <c r="H492">
        <v>144</v>
      </c>
      <c r="I492" s="4">
        <f>IFERROR(Table1[[#This Row],[pledged]]/Table1[[#This Row],[backers_count]],0)</f>
        <v>31.916666666666668</v>
      </c>
      <c r="J492" t="s">
        <v>21</v>
      </c>
      <c r="K492" t="s">
        <v>22</v>
      </c>
      <c r="L492">
        <v>1573970400</v>
      </c>
      <c r="M492" s="9">
        <f>(((Table1[[#This Row],[launched_at]]/60)/60)/24)+DATE(1970,1,1)</f>
        <v>43786.25</v>
      </c>
      <c r="N492">
        <v>1574575200</v>
      </c>
      <c r="O492" s="9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LEFT(Table1[[#This Row],[category &amp; sub-category]],SEARCH("/",Table1[[#This Row],[category &amp; sub-category]],1)-1)</f>
        <v>journalism</v>
      </c>
      <c r="T492" t="str">
        <f>RIGHT(Table1[[#This Row],[category &amp; sub-category]],LEN(Table1[[#This Row],[category &amp; sub-category]])-SEARCH("/",Table1[[#This Row],[category &amp; sub-category]],1))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(Table1[[#This Row],[pledged]]/Table1[[#This Row],[goal]])*100</f>
        <v>305.34683098591546</v>
      </c>
      <c r="G493" t="s">
        <v>20</v>
      </c>
      <c r="H493">
        <v>2443</v>
      </c>
      <c r="I493" s="4">
        <f>IFERROR(Table1[[#This Row],[pledged]]/Table1[[#This Row],[backers_count]],0)</f>
        <v>70.993450675399103</v>
      </c>
      <c r="J493" t="s">
        <v>21</v>
      </c>
      <c r="K493" t="s">
        <v>22</v>
      </c>
      <c r="L493">
        <v>1372654800</v>
      </c>
      <c r="M493" s="9">
        <f>(((Table1[[#This Row],[launched_at]]/60)/60)/24)+DATE(1970,1,1)</f>
        <v>41456.208333333336</v>
      </c>
      <c r="N493">
        <v>1374901200</v>
      </c>
      <c r="O493" s="9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LEFT(Table1[[#This Row],[category &amp; sub-category]],SEARCH("/",Table1[[#This Row],[category &amp; sub-category]],1)-1)</f>
        <v>food</v>
      </c>
      <c r="T493" t="str">
        <f>RIGHT(Table1[[#This Row],[category &amp; sub-category]],LEN(Table1[[#This Row],[category &amp; sub-category]])-SEARCH("/",Table1[[#This Row],[category &amp; sub-category]],1))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(Table1[[#This Row],[pledged]]/Table1[[#This Row],[goal]])*100</f>
        <v>23.995287958115181</v>
      </c>
      <c r="G494" t="s">
        <v>74</v>
      </c>
      <c r="H494">
        <v>595</v>
      </c>
      <c r="I494" s="4">
        <f>IFERROR(Table1[[#This Row],[pledged]]/Table1[[#This Row],[backers_count]],0)</f>
        <v>77.026890756302521</v>
      </c>
      <c r="J494" t="s">
        <v>21</v>
      </c>
      <c r="K494" t="s">
        <v>22</v>
      </c>
      <c r="L494">
        <v>1275886800</v>
      </c>
      <c r="M494" s="9">
        <f>(((Table1[[#This Row],[launched_at]]/60)/60)/24)+DATE(1970,1,1)</f>
        <v>40336.208333333336</v>
      </c>
      <c r="N494">
        <v>1278910800</v>
      </c>
      <c r="O494" s="9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LEFT(Table1[[#This Row],[category &amp; sub-category]],SEARCH("/",Table1[[#This Row],[category &amp; sub-category]],1)-1)</f>
        <v>film &amp; video</v>
      </c>
      <c r="T494" t="str">
        <f>RIGHT(Table1[[#This Row],[category &amp; sub-category]],LEN(Table1[[#This Row],[category &amp; sub-category]])-SEARCH("/",Table1[[#This Row],[category &amp; sub-category]],1))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(Table1[[#This Row],[pledged]]/Table1[[#This Row],[goal]])*100</f>
        <v>723.77777777777771</v>
      </c>
      <c r="G495" t="s">
        <v>20</v>
      </c>
      <c r="H495">
        <v>64</v>
      </c>
      <c r="I495" s="4">
        <f>IFERROR(Table1[[#This Row],[pledged]]/Table1[[#This Row],[backers_count]],0)</f>
        <v>101.78125</v>
      </c>
      <c r="J495" t="s">
        <v>21</v>
      </c>
      <c r="K495" t="s">
        <v>22</v>
      </c>
      <c r="L495">
        <v>1561784400</v>
      </c>
      <c r="M495" s="9">
        <f>(((Table1[[#This Row],[launched_at]]/60)/60)/24)+DATE(1970,1,1)</f>
        <v>43645.208333333328</v>
      </c>
      <c r="N495">
        <v>1562907600</v>
      </c>
      <c r="O495" s="9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LEFT(Table1[[#This Row],[category &amp; sub-category]],SEARCH("/",Table1[[#This Row],[category &amp; sub-category]],1)-1)</f>
        <v>photography</v>
      </c>
      <c r="T495" t="str">
        <f>RIGHT(Table1[[#This Row],[category &amp; sub-category]],LEN(Table1[[#This Row],[category &amp; sub-category]])-SEARCH("/",Table1[[#This Row],[category &amp; sub-category]],1))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(Table1[[#This Row],[pledged]]/Table1[[#This Row],[goal]])*100</f>
        <v>547.36</v>
      </c>
      <c r="G496" t="s">
        <v>20</v>
      </c>
      <c r="H496">
        <v>268</v>
      </c>
      <c r="I496" s="4">
        <f>IFERROR(Table1[[#This Row],[pledged]]/Table1[[#This Row],[backers_count]],0)</f>
        <v>51.059701492537314</v>
      </c>
      <c r="J496" t="s">
        <v>21</v>
      </c>
      <c r="K496" t="s">
        <v>22</v>
      </c>
      <c r="L496">
        <v>1332392400</v>
      </c>
      <c r="M496" s="9">
        <f>(((Table1[[#This Row],[launched_at]]/60)/60)/24)+DATE(1970,1,1)</f>
        <v>40990.208333333336</v>
      </c>
      <c r="N496">
        <v>1332478800</v>
      </c>
      <c r="O496" s="9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LEFT(Table1[[#This Row],[category &amp; sub-category]],SEARCH("/",Table1[[#This Row],[category &amp; sub-category]],1)-1)</f>
        <v>technology</v>
      </c>
      <c r="T496" t="str">
        <f>RIGHT(Table1[[#This Row],[category &amp; sub-category]],LEN(Table1[[#This Row],[category &amp; sub-category]])-SEARCH("/",Table1[[#This Row],[category &amp; sub-category]],1))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(Table1[[#This Row],[pledged]]/Table1[[#This Row],[goal]])*100</f>
        <v>414.49999999999994</v>
      </c>
      <c r="G497" t="s">
        <v>20</v>
      </c>
      <c r="H497">
        <v>195</v>
      </c>
      <c r="I497" s="4">
        <f>IFERROR(Table1[[#This Row],[pledged]]/Table1[[#This Row],[backers_count]],0)</f>
        <v>68.02051282051282</v>
      </c>
      <c r="J497" t="s">
        <v>36</v>
      </c>
      <c r="K497" t="s">
        <v>37</v>
      </c>
      <c r="L497">
        <v>1402376400</v>
      </c>
      <c r="M497" s="9">
        <f>(((Table1[[#This Row],[launched_at]]/60)/60)/24)+DATE(1970,1,1)</f>
        <v>41800.208333333336</v>
      </c>
      <c r="N497">
        <v>1402722000</v>
      </c>
      <c r="O497" s="9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LEFT(Table1[[#This Row],[category &amp; sub-category]],SEARCH("/",Table1[[#This Row],[category &amp; sub-category]],1)-1)</f>
        <v>theater</v>
      </c>
      <c r="T497" t="str">
        <f>RIGHT(Table1[[#This Row],[category &amp; sub-category]],LEN(Table1[[#This Row],[category &amp; sub-category]])-SEARCH("/",Table1[[#This Row],[category &amp; sub-category]],1))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(Table1[[#This Row],[pledged]]/Table1[[#This Row],[goal]])*100</f>
        <v>0.90696409140369971</v>
      </c>
      <c r="G498" t="s">
        <v>14</v>
      </c>
      <c r="H498">
        <v>54</v>
      </c>
      <c r="I498" s="4">
        <f>IFERROR(Table1[[#This Row],[pledged]]/Table1[[#This Row],[backers_count]],0)</f>
        <v>30.87037037037037</v>
      </c>
      <c r="J498" t="s">
        <v>21</v>
      </c>
      <c r="K498" t="s">
        <v>22</v>
      </c>
      <c r="L498">
        <v>1495342800</v>
      </c>
      <c r="M498" s="9">
        <f>(((Table1[[#This Row],[launched_at]]/60)/60)/24)+DATE(1970,1,1)</f>
        <v>42876.208333333328</v>
      </c>
      <c r="N498">
        <v>1496811600</v>
      </c>
      <c r="O498" s="9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LEFT(Table1[[#This Row],[category &amp; sub-category]],SEARCH("/",Table1[[#This Row],[category &amp; sub-category]],1)-1)</f>
        <v>film &amp; video</v>
      </c>
      <c r="T498" t="str">
        <f>RIGHT(Table1[[#This Row],[category &amp; sub-category]],LEN(Table1[[#This Row],[category &amp; sub-category]])-SEARCH("/",Table1[[#This Row],[category &amp; sub-category]],1))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(Table1[[#This Row],[pledged]]/Table1[[#This Row],[goal]])*100</f>
        <v>34.173469387755098</v>
      </c>
      <c r="G499" t="s">
        <v>14</v>
      </c>
      <c r="H499">
        <v>120</v>
      </c>
      <c r="I499" s="4">
        <f>IFERROR(Table1[[#This Row],[pledged]]/Table1[[#This Row],[backers_count]],0)</f>
        <v>27.908333333333335</v>
      </c>
      <c r="J499" t="s">
        <v>21</v>
      </c>
      <c r="K499" t="s">
        <v>22</v>
      </c>
      <c r="L499">
        <v>1482213600</v>
      </c>
      <c r="M499" s="9">
        <f>(((Table1[[#This Row],[launched_at]]/60)/60)/24)+DATE(1970,1,1)</f>
        <v>42724.25</v>
      </c>
      <c r="N499">
        <v>1482213600</v>
      </c>
      <c r="O499" s="9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LEFT(Table1[[#This Row],[category &amp; sub-category]],SEARCH("/",Table1[[#This Row],[category &amp; sub-category]],1)-1)</f>
        <v>technology</v>
      </c>
      <c r="T499" t="str">
        <f>RIGHT(Table1[[#This Row],[category &amp; sub-category]],LEN(Table1[[#This Row],[category &amp; sub-category]])-SEARCH("/",Table1[[#This Row],[category &amp; sub-category]],1))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(Table1[[#This Row],[pledged]]/Table1[[#This Row],[goal]])*100</f>
        <v>23.948810754912099</v>
      </c>
      <c r="G500" t="s">
        <v>14</v>
      </c>
      <c r="H500">
        <v>579</v>
      </c>
      <c r="I500" s="4">
        <f>IFERROR(Table1[[#This Row],[pledged]]/Table1[[#This Row],[backers_count]],0)</f>
        <v>79.994818652849744</v>
      </c>
      <c r="J500" t="s">
        <v>36</v>
      </c>
      <c r="K500" t="s">
        <v>37</v>
      </c>
      <c r="L500">
        <v>1420092000</v>
      </c>
      <c r="M500" s="9">
        <f>(((Table1[[#This Row],[launched_at]]/60)/60)/24)+DATE(1970,1,1)</f>
        <v>42005.25</v>
      </c>
      <c r="N500">
        <v>1420264800</v>
      </c>
      <c r="O500" s="9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LEFT(Table1[[#This Row],[category &amp; sub-category]],SEARCH("/",Table1[[#This Row],[category &amp; sub-category]],1)-1)</f>
        <v>technology</v>
      </c>
      <c r="T500" t="str">
        <f>RIGHT(Table1[[#This Row],[category &amp; sub-category]],LEN(Table1[[#This Row],[category &amp; sub-category]])-SEARCH("/",Table1[[#This Row],[category &amp; sub-category]],1))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(Table1[[#This Row],[pledged]]/Table1[[#This Row],[goal]])*100</f>
        <v>48.072649572649574</v>
      </c>
      <c r="G501" t="s">
        <v>14</v>
      </c>
      <c r="H501">
        <v>2072</v>
      </c>
      <c r="I501" s="4">
        <f>IFERROR(Table1[[#This Row],[pledged]]/Table1[[#This Row],[backers_count]],0)</f>
        <v>38.003378378378379</v>
      </c>
      <c r="J501" t="s">
        <v>21</v>
      </c>
      <c r="K501" t="s">
        <v>22</v>
      </c>
      <c r="L501">
        <v>1458018000</v>
      </c>
      <c r="M501" s="9">
        <f>(((Table1[[#This Row],[launched_at]]/60)/60)/24)+DATE(1970,1,1)</f>
        <v>42444.208333333328</v>
      </c>
      <c r="N501">
        <v>1458450000</v>
      </c>
      <c r="O501" s="9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LEFT(Table1[[#This Row],[category &amp; sub-category]],SEARCH("/",Table1[[#This Row],[category &amp; sub-category]],1)-1)</f>
        <v>film &amp; video</v>
      </c>
      <c r="T501" t="str">
        <f>RIGHT(Table1[[#This Row],[category &amp; sub-category]],LEN(Table1[[#This Row],[category &amp; sub-category]])-SEARCH("/",Table1[[#This Row],[category &amp; sub-category]],1))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(Table1[[#This Row],[pledged]]/Table1[[#This Row],[goal]])*100</f>
        <v>0</v>
      </c>
      <c r="G502" t="s">
        <v>14</v>
      </c>
      <c r="H502">
        <v>0</v>
      </c>
      <c r="I502" s="4">
        <f>IFERROR(Table1[[#This Row],[pledged]]/Table1[[#This Row],[backers_count]],0)</f>
        <v>0</v>
      </c>
      <c r="J502" t="s">
        <v>21</v>
      </c>
      <c r="K502" t="s">
        <v>22</v>
      </c>
      <c r="L502">
        <v>1367384400</v>
      </c>
      <c r="M502" s="9">
        <f>(((Table1[[#This Row],[launched_at]]/60)/60)/24)+DATE(1970,1,1)</f>
        <v>41395.208333333336</v>
      </c>
      <c r="N502">
        <v>1369803600</v>
      </c>
      <c r="O502" s="9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LEFT(Table1[[#This Row],[category &amp; sub-category]],SEARCH("/",Table1[[#This Row],[category &amp; sub-category]],1)-1)</f>
        <v>theater</v>
      </c>
      <c r="T502" t="str">
        <f>RIGHT(Table1[[#This Row],[category &amp; sub-category]],LEN(Table1[[#This Row],[category &amp; sub-category]])-SEARCH("/",Table1[[#This Row],[category &amp; sub-category]],1))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(Table1[[#This Row],[pledged]]/Table1[[#This Row],[goal]])*100</f>
        <v>70.145182291666657</v>
      </c>
      <c r="G503" t="s">
        <v>14</v>
      </c>
      <c r="H503">
        <v>1796</v>
      </c>
      <c r="I503" s="4">
        <f>IFERROR(Table1[[#This Row],[pledged]]/Table1[[#This Row],[backers_count]],0)</f>
        <v>59.990534521158132</v>
      </c>
      <c r="J503" t="s">
        <v>21</v>
      </c>
      <c r="K503" t="s">
        <v>22</v>
      </c>
      <c r="L503">
        <v>1363064400</v>
      </c>
      <c r="M503" s="9">
        <f>(((Table1[[#This Row],[launched_at]]/60)/60)/24)+DATE(1970,1,1)</f>
        <v>41345.208333333336</v>
      </c>
      <c r="N503">
        <v>1363237200</v>
      </c>
      <c r="O503" s="9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LEFT(Table1[[#This Row],[category &amp; sub-category]],SEARCH("/",Table1[[#This Row],[category &amp; sub-category]],1)-1)</f>
        <v>film &amp; video</v>
      </c>
      <c r="T503" t="str">
        <f>RIGHT(Table1[[#This Row],[category &amp; sub-category]],LEN(Table1[[#This Row],[category &amp; sub-category]])-SEARCH("/",Table1[[#This Row],[category &amp; sub-category]],1))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(Table1[[#This Row],[pledged]]/Table1[[#This Row],[goal]])*100</f>
        <v>529.92307692307691</v>
      </c>
      <c r="G504" t="s">
        <v>20</v>
      </c>
      <c r="H504">
        <v>186</v>
      </c>
      <c r="I504" s="4">
        <f>IFERROR(Table1[[#This Row],[pledged]]/Table1[[#This Row],[backers_count]],0)</f>
        <v>37.037634408602152</v>
      </c>
      <c r="J504" t="s">
        <v>26</v>
      </c>
      <c r="K504" t="s">
        <v>27</v>
      </c>
      <c r="L504">
        <v>1343365200</v>
      </c>
      <c r="M504" s="9">
        <f>(((Table1[[#This Row],[launched_at]]/60)/60)/24)+DATE(1970,1,1)</f>
        <v>41117.208333333336</v>
      </c>
      <c r="N504">
        <v>1345870800</v>
      </c>
      <c r="O504" s="9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LEFT(Table1[[#This Row],[category &amp; sub-category]],SEARCH("/",Table1[[#This Row],[category &amp; sub-category]],1)-1)</f>
        <v>games</v>
      </c>
      <c r="T504" t="str">
        <f>RIGHT(Table1[[#This Row],[category &amp; sub-category]],LEN(Table1[[#This Row],[category &amp; sub-category]])-SEARCH("/",Table1[[#This Row],[category &amp; sub-category]],1))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(Table1[[#This Row],[pledged]]/Table1[[#This Row],[goal]])*100</f>
        <v>180.32549019607845</v>
      </c>
      <c r="G505" t="s">
        <v>20</v>
      </c>
      <c r="H505">
        <v>460</v>
      </c>
      <c r="I505" s="4">
        <f>IFERROR(Table1[[#This Row],[pledged]]/Table1[[#This Row],[backers_count]],0)</f>
        <v>99.963043478260872</v>
      </c>
      <c r="J505" t="s">
        <v>21</v>
      </c>
      <c r="K505" t="s">
        <v>22</v>
      </c>
      <c r="L505">
        <v>1435726800</v>
      </c>
      <c r="M505" s="9">
        <f>(((Table1[[#This Row],[launched_at]]/60)/60)/24)+DATE(1970,1,1)</f>
        <v>42186.208333333328</v>
      </c>
      <c r="N505">
        <v>1437454800</v>
      </c>
      <c r="O505" s="9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LEFT(Table1[[#This Row],[category &amp; sub-category]],SEARCH("/",Table1[[#This Row],[category &amp; sub-category]],1)-1)</f>
        <v>film &amp; video</v>
      </c>
      <c r="T505" t="str">
        <f>RIGHT(Table1[[#This Row],[category &amp; sub-category]],LEN(Table1[[#This Row],[category &amp; sub-category]])-SEARCH("/",Table1[[#This Row],[category &amp; sub-category]],1))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(Table1[[#This Row],[pledged]]/Table1[[#This Row],[goal]])*100</f>
        <v>92.320000000000007</v>
      </c>
      <c r="G506" t="s">
        <v>14</v>
      </c>
      <c r="H506">
        <v>62</v>
      </c>
      <c r="I506" s="4">
        <f>IFERROR(Table1[[#This Row],[pledged]]/Table1[[#This Row],[backers_count]],0)</f>
        <v>111.6774193548387</v>
      </c>
      <c r="J506" t="s">
        <v>107</v>
      </c>
      <c r="K506" t="s">
        <v>108</v>
      </c>
      <c r="L506">
        <v>1431925200</v>
      </c>
      <c r="M506" s="9">
        <f>(((Table1[[#This Row],[launched_at]]/60)/60)/24)+DATE(1970,1,1)</f>
        <v>42142.208333333328</v>
      </c>
      <c r="N506">
        <v>1432011600</v>
      </c>
      <c r="O506" s="9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LEFT(Table1[[#This Row],[category &amp; sub-category]],SEARCH("/",Table1[[#This Row],[category &amp; sub-category]],1)-1)</f>
        <v>music</v>
      </c>
      <c r="T506" t="str">
        <f>RIGHT(Table1[[#This Row],[category &amp; sub-category]],LEN(Table1[[#This Row],[category &amp; sub-category]])-SEARCH("/",Table1[[#This Row],[category &amp; sub-category]],1))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(Table1[[#This Row],[pledged]]/Table1[[#This Row],[goal]])*100</f>
        <v>13.901001112347053</v>
      </c>
      <c r="G507" t="s">
        <v>14</v>
      </c>
      <c r="H507">
        <v>347</v>
      </c>
      <c r="I507" s="4">
        <f>IFERROR(Table1[[#This Row],[pledged]]/Table1[[#This Row],[backers_count]],0)</f>
        <v>36.014409221902014</v>
      </c>
      <c r="J507" t="s">
        <v>21</v>
      </c>
      <c r="K507" t="s">
        <v>22</v>
      </c>
      <c r="L507">
        <v>1362722400</v>
      </c>
      <c r="M507" s="9">
        <f>(((Table1[[#This Row],[launched_at]]/60)/60)/24)+DATE(1970,1,1)</f>
        <v>41341.25</v>
      </c>
      <c r="N507">
        <v>1366347600</v>
      </c>
      <c r="O507" s="9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LEFT(Table1[[#This Row],[category &amp; sub-category]],SEARCH("/",Table1[[#This Row],[category &amp; sub-category]],1)-1)</f>
        <v>publishing</v>
      </c>
      <c r="T507" t="str">
        <f>RIGHT(Table1[[#This Row],[category &amp; sub-category]],LEN(Table1[[#This Row],[category &amp; sub-category]])-SEARCH("/",Table1[[#This Row],[category &amp; sub-category]],1))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(Table1[[#This Row],[pledged]]/Table1[[#This Row],[goal]])*100</f>
        <v>927.07777777777767</v>
      </c>
      <c r="G508" t="s">
        <v>20</v>
      </c>
      <c r="H508">
        <v>2528</v>
      </c>
      <c r="I508" s="4">
        <f>IFERROR(Table1[[#This Row],[pledged]]/Table1[[#This Row],[backers_count]],0)</f>
        <v>66.010284810126578</v>
      </c>
      <c r="J508" t="s">
        <v>21</v>
      </c>
      <c r="K508" t="s">
        <v>22</v>
      </c>
      <c r="L508">
        <v>1511416800</v>
      </c>
      <c r="M508" s="9">
        <f>(((Table1[[#This Row],[launched_at]]/60)/60)/24)+DATE(1970,1,1)</f>
        <v>43062.25</v>
      </c>
      <c r="N508">
        <v>1512885600</v>
      </c>
      <c r="O508" s="9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LEFT(Table1[[#This Row],[category &amp; sub-category]],SEARCH("/",Table1[[#This Row],[category &amp; sub-category]],1)-1)</f>
        <v>theater</v>
      </c>
      <c r="T508" t="str">
        <f>RIGHT(Table1[[#This Row],[category &amp; sub-category]],LEN(Table1[[#This Row],[category &amp; sub-category]])-SEARCH("/",Table1[[#This Row],[category &amp; sub-category]],1))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(Table1[[#This Row],[pledged]]/Table1[[#This Row],[goal]])*100</f>
        <v>39.857142857142861</v>
      </c>
      <c r="G509" t="s">
        <v>14</v>
      </c>
      <c r="H509">
        <v>19</v>
      </c>
      <c r="I509" s="4">
        <f>IFERROR(Table1[[#This Row],[pledged]]/Table1[[#This Row],[backers_count]],0)</f>
        <v>44.05263157894737</v>
      </c>
      <c r="J509" t="s">
        <v>21</v>
      </c>
      <c r="K509" t="s">
        <v>22</v>
      </c>
      <c r="L509">
        <v>1365483600</v>
      </c>
      <c r="M509" s="9">
        <f>(((Table1[[#This Row],[launched_at]]/60)/60)/24)+DATE(1970,1,1)</f>
        <v>41373.208333333336</v>
      </c>
      <c r="N509">
        <v>1369717200</v>
      </c>
      <c r="O509" s="9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LEFT(Table1[[#This Row],[category &amp; sub-category]],SEARCH("/",Table1[[#This Row],[category &amp; sub-category]],1)-1)</f>
        <v>technology</v>
      </c>
      <c r="T509" t="str">
        <f>RIGHT(Table1[[#This Row],[category &amp; sub-category]],LEN(Table1[[#This Row],[category &amp; sub-category]])-SEARCH("/",Table1[[#This Row],[category &amp; sub-category]],1))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(Table1[[#This Row],[pledged]]/Table1[[#This Row],[goal]])*100</f>
        <v>112.22929936305732</v>
      </c>
      <c r="G510" t="s">
        <v>20</v>
      </c>
      <c r="H510">
        <v>3657</v>
      </c>
      <c r="I510" s="4">
        <f>IFERROR(Table1[[#This Row],[pledged]]/Table1[[#This Row],[backers_count]],0)</f>
        <v>52.999726551818434</v>
      </c>
      <c r="J510" t="s">
        <v>21</v>
      </c>
      <c r="K510" t="s">
        <v>22</v>
      </c>
      <c r="L510">
        <v>1532840400</v>
      </c>
      <c r="M510" s="9">
        <f>(((Table1[[#This Row],[launched_at]]/60)/60)/24)+DATE(1970,1,1)</f>
        <v>43310.208333333328</v>
      </c>
      <c r="N510">
        <v>1534654800</v>
      </c>
      <c r="O510" s="9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LEFT(Table1[[#This Row],[category &amp; sub-category]],SEARCH("/",Table1[[#This Row],[category &amp; sub-category]],1)-1)</f>
        <v>theater</v>
      </c>
      <c r="T510" t="str">
        <f>RIGHT(Table1[[#This Row],[category &amp; sub-category]],LEN(Table1[[#This Row],[category &amp; sub-category]])-SEARCH("/",Table1[[#This Row],[category &amp; sub-category]],1))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(Table1[[#This Row],[pledged]]/Table1[[#This Row],[goal]])*100</f>
        <v>70.925816023738875</v>
      </c>
      <c r="G511" t="s">
        <v>14</v>
      </c>
      <c r="H511">
        <v>1258</v>
      </c>
      <c r="I511" s="4">
        <f>IFERROR(Table1[[#This Row],[pledged]]/Table1[[#This Row],[backers_count]],0)</f>
        <v>95</v>
      </c>
      <c r="J511" t="s">
        <v>21</v>
      </c>
      <c r="K511" t="s">
        <v>22</v>
      </c>
      <c r="L511">
        <v>1336194000</v>
      </c>
      <c r="M511" s="9">
        <f>(((Table1[[#This Row],[launched_at]]/60)/60)/24)+DATE(1970,1,1)</f>
        <v>41034.208333333336</v>
      </c>
      <c r="N511">
        <v>1337058000</v>
      </c>
      <c r="O511" s="9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LEFT(Table1[[#This Row],[category &amp; sub-category]],SEARCH("/",Table1[[#This Row],[category &amp; sub-category]],1)-1)</f>
        <v>theater</v>
      </c>
      <c r="T511" t="str">
        <f>RIGHT(Table1[[#This Row],[category &amp; sub-category]],LEN(Table1[[#This Row],[category &amp; sub-category]])-SEARCH("/",Table1[[#This Row],[category &amp; sub-category]],1))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(Table1[[#This Row],[pledged]]/Table1[[#This Row],[goal]])*100</f>
        <v>119.08974358974358</v>
      </c>
      <c r="G512" t="s">
        <v>20</v>
      </c>
      <c r="H512">
        <v>131</v>
      </c>
      <c r="I512" s="4">
        <f>IFERROR(Table1[[#This Row],[pledged]]/Table1[[#This Row],[backers_count]],0)</f>
        <v>70.908396946564892</v>
      </c>
      <c r="J512" t="s">
        <v>26</v>
      </c>
      <c r="K512" t="s">
        <v>27</v>
      </c>
      <c r="L512">
        <v>1527742800</v>
      </c>
      <c r="M512" s="9">
        <f>(((Table1[[#This Row],[launched_at]]/60)/60)/24)+DATE(1970,1,1)</f>
        <v>43251.208333333328</v>
      </c>
      <c r="N512">
        <v>1529816400</v>
      </c>
      <c r="O512" s="9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LEFT(Table1[[#This Row],[category &amp; sub-category]],SEARCH("/",Table1[[#This Row],[category &amp; sub-category]],1)-1)</f>
        <v>film &amp; video</v>
      </c>
      <c r="T512" t="str">
        <f>RIGHT(Table1[[#This Row],[category &amp; sub-category]],LEN(Table1[[#This Row],[category &amp; sub-category]])-SEARCH("/",Table1[[#This Row],[category &amp; sub-category]],1))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(Table1[[#This Row],[pledged]]/Table1[[#This Row],[goal]])*100</f>
        <v>24.017591339648174</v>
      </c>
      <c r="G513" t="s">
        <v>14</v>
      </c>
      <c r="H513">
        <v>362</v>
      </c>
      <c r="I513" s="4">
        <f>IFERROR(Table1[[#This Row],[pledged]]/Table1[[#This Row],[backers_count]],0)</f>
        <v>98.060773480662988</v>
      </c>
      <c r="J513" t="s">
        <v>21</v>
      </c>
      <c r="K513" t="s">
        <v>22</v>
      </c>
      <c r="L513">
        <v>1564030800</v>
      </c>
      <c r="M513" s="9">
        <f>(((Table1[[#This Row],[launched_at]]/60)/60)/24)+DATE(1970,1,1)</f>
        <v>43671.208333333328</v>
      </c>
      <c r="N513">
        <v>1564894800</v>
      </c>
      <c r="O513" s="9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LEFT(Table1[[#This Row],[category &amp; sub-category]],SEARCH("/",Table1[[#This Row],[category &amp; sub-category]],1)-1)</f>
        <v>theater</v>
      </c>
      <c r="T513" t="str">
        <f>RIGHT(Table1[[#This Row],[category &amp; sub-category]],LEN(Table1[[#This Row],[category &amp; sub-category]])-SEARCH("/",Table1[[#This Row],[category &amp; sub-category]],1))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(Table1[[#This Row],[pledged]]/Table1[[#This Row],[goal]])*100</f>
        <v>139.31868131868131</v>
      </c>
      <c r="G514" t="s">
        <v>20</v>
      </c>
      <c r="H514">
        <v>239</v>
      </c>
      <c r="I514" s="4">
        <f>IFERROR(Table1[[#This Row],[pledged]]/Table1[[#This Row],[backers_count]],0)</f>
        <v>53.046025104602514</v>
      </c>
      <c r="J514" t="s">
        <v>21</v>
      </c>
      <c r="K514" t="s">
        <v>22</v>
      </c>
      <c r="L514">
        <v>1404536400</v>
      </c>
      <c r="M514" s="9">
        <f>(((Table1[[#This Row],[launched_at]]/60)/60)/24)+DATE(1970,1,1)</f>
        <v>41825.208333333336</v>
      </c>
      <c r="N514">
        <v>1404622800</v>
      </c>
      <c r="O514" s="9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LEFT(Table1[[#This Row],[category &amp; sub-category]],SEARCH("/",Table1[[#This Row],[category &amp; sub-category]],1)-1)</f>
        <v>games</v>
      </c>
      <c r="T514" t="str">
        <f>RIGHT(Table1[[#This Row],[category &amp; sub-category]],LEN(Table1[[#This Row],[category &amp; sub-category]])-SEARCH("/",Table1[[#This Row],[category &amp; sub-category]],1))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(Table1[[#This Row],[pledged]]/Table1[[#This Row],[goal]])*100</f>
        <v>39.277108433734945</v>
      </c>
      <c r="G515" t="s">
        <v>74</v>
      </c>
      <c r="H515">
        <v>35</v>
      </c>
      <c r="I515" s="4">
        <f>IFERROR(Table1[[#This Row],[pledged]]/Table1[[#This Row],[backers_count]],0)</f>
        <v>93.142857142857139</v>
      </c>
      <c r="J515" t="s">
        <v>21</v>
      </c>
      <c r="K515" t="s">
        <v>22</v>
      </c>
      <c r="L515">
        <v>1284008400</v>
      </c>
      <c r="M515" s="9">
        <f>(((Table1[[#This Row],[launched_at]]/60)/60)/24)+DATE(1970,1,1)</f>
        <v>40430.208333333336</v>
      </c>
      <c r="N515">
        <v>1284181200</v>
      </c>
      <c r="O515" s="9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LEFT(Table1[[#This Row],[category &amp; sub-category]],SEARCH("/",Table1[[#This Row],[category &amp; sub-category]],1)-1)</f>
        <v>film &amp; video</v>
      </c>
      <c r="T515" t="str">
        <f>RIGHT(Table1[[#This Row],[category &amp; sub-category]],LEN(Table1[[#This Row],[category &amp; sub-category]])-SEARCH("/",Table1[[#This Row],[category &amp; sub-category]],1))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(Table1[[#This Row],[pledged]]/Table1[[#This Row],[goal]])*100</f>
        <v>22.439077144917089</v>
      </c>
      <c r="G516" t="s">
        <v>74</v>
      </c>
      <c r="H516">
        <v>528</v>
      </c>
      <c r="I516" s="4">
        <f>IFERROR(Table1[[#This Row],[pledged]]/Table1[[#This Row],[backers_count]],0)</f>
        <v>58.945075757575758</v>
      </c>
      <c r="J516" t="s">
        <v>98</v>
      </c>
      <c r="K516" t="s">
        <v>99</v>
      </c>
      <c r="L516">
        <v>1386309600</v>
      </c>
      <c r="M516" s="9">
        <f>(((Table1[[#This Row],[launched_at]]/60)/60)/24)+DATE(1970,1,1)</f>
        <v>41614.25</v>
      </c>
      <c r="N516">
        <v>1386741600</v>
      </c>
      <c r="O516" s="9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LEFT(Table1[[#This Row],[category &amp; sub-category]],SEARCH("/",Table1[[#This Row],[category &amp; sub-category]],1)-1)</f>
        <v>music</v>
      </c>
      <c r="T516" t="str">
        <f>RIGHT(Table1[[#This Row],[category &amp; sub-category]],LEN(Table1[[#This Row],[category &amp; sub-category]])-SEARCH("/",Table1[[#This Row],[category &amp; sub-category]],1))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(Table1[[#This Row],[pledged]]/Table1[[#This Row],[goal]])*100</f>
        <v>55.779069767441861</v>
      </c>
      <c r="G517" t="s">
        <v>14</v>
      </c>
      <c r="H517">
        <v>133</v>
      </c>
      <c r="I517" s="4">
        <f>IFERROR(Table1[[#This Row],[pledged]]/Table1[[#This Row],[backers_count]],0)</f>
        <v>36.067669172932334</v>
      </c>
      <c r="J517" t="s">
        <v>15</v>
      </c>
      <c r="K517" t="s">
        <v>16</v>
      </c>
      <c r="L517">
        <v>1324620000</v>
      </c>
      <c r="M517" s="9">
        <f>(((Table1[[#This Row],[launched_at]]/60)/60)/24)+DATE(1970,1,1)</f>
        <v>40900.25</v>
      </c>
      <c r="N517">
        <v>1324792800</v>
      </c>
      <c r="O517" s="9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LEFT(Table1[[#This Row],[category &amp; sub-category]],SEARCH("/",Table1[[#This Row],[category &amp; sub-category]],1)-1)</f>
        <v>theater</v>
      </c>
      <c r="T517" t="str">
        <f>RIGHT(Table1[[#This Row],[category &amp; sub-category]],LEN(Table1[[#This Row],[category &amp; sub-category]])-SEARCH("/",Table1[[#This Row],[category &amp; sub-category]],1))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(Table1[[#This Row],[pledged]]/Table1[[#This Row],[goal]])*100</f>
        <v>42.523125996810208</v>
      </c>
      <c r="G518" t="s">
        <v>14</v>
      </c>
      <c r="H518">
        <v>846</v>
      </c>
      <c r="I518" s="4">
        <f>IFERROR(Table1[[#This Row],[pledged]]/Table1[[#This Row],[backers_count]],0)</f>
        <v>63.030732860520096</v>
      </c>
      <c r="J518" t="s">
        <v>21</v>
      </c>
      <c r="K518" t="s">
        <v>22</v>
      </c>
      <c r="L518">
        <v>1281070800</v>
      </c>
      <c r="M518" s="9">
        <f>(((Table1[[#This Row],[launched_at]]/60)/60)/24)+DATE(1970,1,1)</f>
        <v>40396.208333333336</v>
      </c>
      <c r="N518">
        <v>1284354000</v>
      </c>
      <c r="O518" s="9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LEFT(Table1[[#This Row],[category &amp; sub-category]],SEARCH("/",Table1[[#This Row],[category &amp; sub-category]],1)-1)</f>
        <v>publishing</v>
      </c>
      <c r="T518" t="str">
        <f>RIGHT(Table1[[#This Row],[category &amp; sub-category]],LEN(Table1[[#This Row],[category &amp; sub-category]])-SEARCH("/",Table1[[#This Row],[category &amp; sub-category]],1))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(Table1[[#This Row],[pledged]]/Table1[[#This Row],[goal]])*100</f>
        <v>112.00000000000001</v>
      </c>
      <c r="G519" t="s">
        <v>20</v>
      </c>
      <c r="H519">
        <v>78</v>
      </c>
      <c r="I519" s="4">
        <f>IFERROR(Table1[[#This Row],[pledged]]/Table1[[#This Row],[backers_count]],0)</f>
        <v>84.717948717948715</v>
      </c>
      <c r="J519" t="s">
        <v>21</v>
      </c>
      <c r="K519" t="s">
        <v>22</v>
      </c>
      <c r="L519">
        <v>1493960400</v>
      </c>
      <c r="M519" s="9">
        <f>(((Table1[[#This Row],[launched_at]]/60)/60)/24)+DATE(1970,1,1)</f>
        <v>42860.208333333328</v>
      </c>
      <c r="N519">
        <v>1494392400</v>
      </c>
      <c r="O519" s="9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LEFT(Table1[[#This Row],[category &amp; sub-category]],SEARCH("/",Table1[[#This Row],[category &amp; sub-category]],1)-1)</f>
        <v>food</v>
      </c>
      <c r="T519" t="str">
        <f>RIGHT(Table1[[#This Row],[category &amp; sub-category]],LEN(Table1[[#This Row],[category &amp; sub-category]])-SEARCH("/",Table1[[#This Row],[category &amp; sub-category]],1))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(Table1[[#This Row],[pledged]]/Table1[[#This Row],[goal]])*100</f>
        <v>7.0681818181818183</v>
      </c>
      <c r="G520" t="s">
        <v>14</v>
      </c>
      <c r="H520">
        <v>10</v>
      </c>
      <c r="I520" s="4">
        <f>IFERROR(Table1[[#This Row],[pledged]]/Table1[[#This Row],[backers_count]],0)</f>
        <v>62.2</v>
      </c>
      <c r="J520" t="s">
        <v>21</v>
      </c>
      <c r="K520" t="s">
        <v>22</v>
      </c>
      <c r="L520">
        <v>1519365600</v>
      </c>
      <c r="M520" s="9">
        <f>(((Table1[[#This Row],[launched_at]]/60)/60)/24)+DATE(1970,1,1)</f>
        <v>43154.25</v>
      </c>
      <c r="N520">
        <v>1519538400</v>
      </c>
      <c r="O520" s="9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LEFT(Table1[[#This Row],[category &amp; sub-category]],SEARCH("/",Table1[[#This Row],[category &amp; sub-category]],1)-1)</f>
        <v>film &amp; video</v>
      </c>
      <c r="T520" t="str">
        <f>RIGHT(Table1[[#This Row],[category &amp; sub-category]],LEN(Table1[[#This Row],[category &amp; sub-category]])-SEARCH("/",Table1[[#This Row],[category &amp; sub-category]],1))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(Table1[[#This Row],[pledged]]/Table1[[#This Row],[goal]])*100</f>
        <v>101.74563871693867</v>
      </c>
      <c r="G521" t="s">
        <v>20</v>
      </c>
      <c r="H521">
        <v>1773</v>
      </c>
      <c r="I521" s="4">
        <f>IFERROR(Table1[[#This Row],[pledged]]/Table1[[#This Row],[backers_count]],0)</f>
        <v>101.97518330513255</v>
      </c>
      <c r="J521" t="s">
        <v>21</v>
      </c>
      <c r="K521" t="s">
        <v>22</v>
      </c>
      <c r="L521">
        <v>1420696800</v>
      </c>
      <c r="M521" s="9">
        <f>(((Table1[[#This Row],[launched_at]]/60)/60)/24)+DATE(1970,1,1)</f>
        <v>42012.25</v>
      </c>
      <c r="N521">
        <v>1421906400</v>
      </c>
      <c r="O521" s="9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LEFT(Table1[[#This Row],[category &amp; sub-category]],SEARCH("/",Table1[[#This Row],[category &amp; sub-category]],1)-1)</f>
        <v>music</v>
      </c>
      <c r="T521" t="str">
        <f>RIGHT(Table1[[#This Row],[category &amp; sub-category]],LEN(Table1[[#This Row],[category &amp; sub-category]])-SEARCH("/",Table1[[#This Row],[category &amp; sub-category]],1))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(Table1[[#This Row],[pledged]]/Table1[[#This Row],[goal]])*100</f>
        <v>425.75</v>
      </c>
      <c r="G522" t="s">
        <v>20</v>
      </c>
      <c r="H522">
        <v>32</v>
      </c>
      <c r="I522" s="4">
        <f>IFERROR(Table1[[#This Row],[pledged]]/Table1[[#This Row],[backers_count]],0)</f>
        <v>106.4375</v>
      </c>
      <c r="J522" t="s">
        <v>21</v>
      </c>
      <c r="K522" t="s">
        <v>22</v>
      </c>
      <c r="L522">
        <v>1555650000</v>
      </c>
      <c r="M522" s="9">
        <f>(((Table1[[#This Row],[launched_at]]/60)/60)/24)+DATE(1970,1,1)</f>
        <v>43574.208333333328</v>
      </c>
      <c r="N522">
        <v>1555909200</v>
      </c>
      <c r="O522" s="9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LEFT(Table1[[#This Row],[category &amp; sub-category]],SEARCH("/",Table1[[#This Row],[category &amp; sub-category]],1)-1)</f>
        <v>theater</v>
      </c>
      <c r="T522" t="str">
        <f>RIGHT(Table1[[#This Row],[category &amp; sub-category]],LEN(Table1[[#This Row],[category &amp; sub-category]])-SEARCH("/",Table1[[#This Row],[category &amp; sub-category]],1))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(Table1[[#This Row],[pledged]]/Table1[[#This Row],[goal]])*100</f>
        <v>145.53947368421052</v>
      </c>
      <c r="G523" t="s">
        <v>20</v>
      </c>
      <c r="H523">
        <v>369</v>
      </c>
      <c r="I523" s="4">
        <f>IFERROR(Table1[[#This Row],[pledged]]/Table1[[#This Row],[backers_count]],0)</f>
        <v>29.975609756097562</v>
      </c>
      <c r="J523" t="s">
        <v>21</v>
      </c>
      <c r="K523" t="s">
        <v>22</v>
      </c>
      <c r="L523">
        <v>1471928400</v>
      </c>
      <c r="M523" s="9">
        <f>(((Table1[[#This Row],[launched_at]]/60)/60)/24)+DATE(1970,1,1)</f>
        <v>42605.208333333328</v>
      </c>
      <c r="N523">
        <v>1472446800</v>
      </c>
      <c r="O523" s="9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LEFT(Table1[[#This Row],[category &amp; sub-category]],SEARCH("/",Table1[[#This Row],[category &amp; sub-category]],1)-1)</f>
        <v>film &amp; video</v>
      </c>
      <c r="T523" t="str">
        <f>RIGHT(Table1[[#This Row],[category &amp; sub-category]],LEN(Table1[[#This Row],[category &amp; sub-category]])-SEARCH("/",Table1[[#This Row],[category &amp; sub-category]],1))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(Table1[[#This Row],[pledged]]/Table1[[#This Row],[goal]])*100</f>
        <v>32.453465346534657</v>
      </c>
      <c r="G524" t="s">
        <v>14</v>
      </c>
      <c r="H524">
        <v>191</v>
      </c>
      <c r="I524" s="4">
        <f>IFERROR(Table1[[#This Row],[pledged]]/Table1[[#This Row],[backers_count]],0)</f>
        <v>85.806282722513089</v>
      </c>
      <c r="J524" t="s">
        <v>21</v>
      </c>
      <c r="K524" t="s">
        <v>22</v>
      </c>
      <c r="L524">
        <v>1341291600</v>
      </c>
      <c r="M524" s="9">
        <f>(((Table1[[#This Row],[launched_at]]/60)/60)/24)+DATE(1970,1,1)</f>
        <v>41093.208333333336</v>
      </c>
      <c r="N524">
        <v>1342328400</v>
      </c>
      <c r="O524" s="9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LEFT(Table1[[#This Row],[category &amp; sub-category]],SEARCH("/",Table1[[#This Row],[category &amp; sub-category]],1)-1)</f>
        <v>film &amp; video</v>
      </c>
      <c r="T524" t="str">
        <f>RIGHT(Table1[[#This Row],[category &amp; sub-category]],LEN(Table1[[#This Row],[category &amp; sub-category]])-SEARCH("/",Table1[[#This Row],[category &amp; sub-category]],1))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(Table1[[#This Row],[pledged]]/Table1[[#This Row],[goal]])*100</f>
        <v>700.33333333333326</v>
      </c>
      <c r="G525" t="s">
        <v>20</v>
      </c>
      <c r="H525">
        <v>89</v>
      </c>
      <c r="I525" s="4">
        <f>IFERROR(Table1[[#This Row],[pledged]]/Table1[[#This Row],[backers_count]],0)</f>
        <v>70.82022471910112</v>
      </c>
      <c r="J525" t="s">
        <v>21</v>
      </c>
      <c r="K525" t="s">
        <v>22</v>
      </c>
      <c r="L525">
        <v>1267682400</v>
      </c>
      <c r="M525" s="9">
        <f>(((Table1[[#This Row],[launched_at]]/60)/60)/24)+DATE(1970,1,1)</f>
        <v>40241.25</v>
      </c>
      <c r="N525">
        <v>1268114400</v>
      </c>
      <c r="O525" s="9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LEFT(Table1[[#This Row],[category &amp; sub-category]],SEARCH("/",Table1[[#This Row],[category &amp; sub-category]],1)-1)</f>
        <v>film &amp; video</v>
      </c>
      <c r="T525" t="str">
        <f>RIGHT(Table1[[#This Row],[category &amp; sub-category]],LEN(Table1[[#This Row],[category &amp; sub-category]])-SEARCH("/",Table1[[#This Row],[category &amp; sub-category]],1))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(Table1[[#This Row],[pledged]]/Table1[[#This Row],[goal]])*100</f>
        <v>83.904860392967933</v>
      </c>
      <c r="G526" t="s">
        <v>14</v>
      </c>
      <c r="H526">
        <v>1979</v>
      </c>
      <c r="I526" s="4">
        <f>IFERROR(Table1[[#This Row],[pledged]]/Table1[[#This Row],[backers_count]],0)</f>
        <v>40.998484082870135</v>
      </c>
      <c r="J526" t="s">
        <v>21</v>
      </c>
      <c r="K526" t="s">
        <v>22</v>
      </c>
      <c r="L526">
        <v>1272258000</v>
      </c>
      <c r="M526" s="9">
        <f>(((Table1[[#This Row],[launched_at]]/60)/60)/24)+DATE(1970,1,1)</f>
        <v>40294.208333333336</v>
      </c>
      <c r="N526">
        <v>1273381200</v>
      </c>
      <c r="O526" s="9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LEFT(Table1[[#This Row],[category &amp; sub-category]],SEARCH("/",Table1[[#This Row],[category &amp; sub-category]],1)-1)</f>
        <v>theater</v>
      </c>
      <c r="T526" t="str">
        <f>RIGHT(Table1[[#This Row],[category &amp; sub-category]],LEN(Table1[[#This Row],[category &amp; sub-category]])-SEARCH("/",Table1[[#This Row],[category &amp; sub-category]],1))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(Table1[[#This Row],[pledged]]/Table1[[#This Row],[goal]])*100</f>
        <v>84.19047619047619</v>
      </c>
      <c r="G527" t="s">
        <v>14</v>
      </c>
      <c r="H527">
        <v>63</v>
      </c>
      <c r="I527" s="4">
        <f>IFERROR(Table1[[#This Row],[pledged]]/Table1[[#This Row],[backers_count]],0)</f>
        <v>28.063492063492063</v>
      </c>
      <c r="J527" t="s">
        <v>21</v>
      </c>
      <c r="K527" t="s">
        <v>22</v>
      </c>
      <c r="L527">
        <v>1290492000</v>
      </c>
      <c r="M527" s="9">
        <f>(((Table1[[#This Row],[launched_at]]/60)/60)/24)+DATE(1970,1,1)</f>
        <v>40505.25</v>
      </c>
      <c r="N527">
        <v>1290837600</v>
      </c>
      <c r="O527" s="9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LEFT(Table1[[#This Row],[category &amp; sub-category]],SEARCH("/",Table1[[#This Row],[category &amp; sub-category]],1)-1)</f>
        <v>technology</v>
      </c>
      <c r="T527" t="str">
        <f>RIGHT(Table1[[#This Row],[category &amp; sub-category]],LEN(Table1[[#This Row],[category &amp; sub-category]])-SEARCH("/",Table1[[#This Row],[category &amp; sub-category]],1))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(Table1[[#This Row],[pledged]]/Table1[[#This Row],[goal]])*100</f>
        <v>155.95180722891567</v>
      </c>
      <c r="G528" t="s">
        <v>20</v>
      </c>
      <c r="H528">
        <v>147</v>
      </c>
      <c r="I528" s="4">
        <f>IFERROR(Table1[[#This Row],[pledged]]/Table1[[#This Row],[backers_count]],0)</f>
        <v>88.054421768707485</v>
      </c>
      <c r="J528" t="s">
        <v>21</v>
      </c>
      <c r="K528" t="s">
        <v>22</v>
      </c>
      <c r="L528">
        <v>1451109600</v>
      </c>
      <c r="M528" s="9">
        <f>(((Table1[[#This Row],[launched_at]]/60)/60)/24)+DATE(1970,1,1)</f>
        <v>42364.25</v>
      </c>
      <c r="N528">
        <v>1454306400</v>
      </c>
      <c r="O528" s="9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LEFT(Table1[[#This Row],[category &amp; sub-category]],SEARCH("/",Table1[[#This Row],[category &amp; sub-category]],1)-1)</f>
        <v>theater</v>
      </c>
      <c r="T528" t="str">
        <f>RIGHT(Table1[[#This Row],[category &amp; sub-category]],LEN(Table1[[#This Row],[category &amp; sub-category]])-SEARCH("/",Table1[[#This Row],[category &amp; sub-category]],1))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(Table1[[#This Row],[pledged]]/Table1[[#This Row],[goal]])*100</f>
        <v>99.619450317124731</v>
      </c>
      <c r="G529" t="s">
        <v>14</v>
      </c>
      <c r="H529">
        <v>6080</v>
      </c>
      <c r="I529" s="4">
        <f>IFERROR(Table1[[#This Row],[pledged]]/Table1[[#This Row],[backers_count]],0)</f>
        <v>31</v>
      </c>
      <c r="J529" t="s">
        <v>15</v>
      </c>
      <c r="K529" t="s">
        <v>16</v>
      </c>
      <c r="L529">
        <v>1454652000</v>
      </c>
      <c r="M529" s="9">
        <f>(((Table1[[#This Row],[launched_at]]/60)/60)/24)+DATE(1970,1,1)</f>
        <v>42405.25</v>
      </c>
      <c r="N529">
        <v>1457762400</v>
      </c>
      <c r="O529" s="9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LEFT(Table1[[#This Row],[category &amp; sub-category]],SEARCH("/",Table1[[#This Row],[category &amp; sub-category]],1)-1)</f>
        <v>film &amp; video</v>
      </c>
      <c r="T529" t="str">
        <f>RIGHT(Table1[[#This Row],[category &amp; sub-category]],LEN(Table1[[#This Row],[category &amp; sub-category]])-SEARCH("/",Table1[[#This Row],[category &amp; sub-category]],1))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(Table1[[#This Row],[pledged]]/Table1[[#This Row],[goal]])*100</f>
        <v>80.300000000000011</v>
      </c>
      <c r="G530" t="s">
        <v>14</v>
      </c>
      <c r="H530">
        <v>80</v>
      </c>
      <c r="I530" s="4">
        <f>IFERROR(Table1[[#This Row],[pledged]]/Table1[[#This Row],[backers_count]],0)</f>
        <v>90.337500000000006</v>
      </c>
      <c r="J530" t="s">
        <v>40</v>
      </c>
      <c r="K530" t="s">
        <v>41</v>
      </c>
      <c r="L530">
        <v>1385186400</v>
      </c>
      <c r="M530" s="9">
        <f>(((Table1[[#This Row],[launched_at]]/60)/60)/24)+DATE(1970,1,1)</f>
        <v>41601.25</v>
      </c>
      <c r="N530">
        <v>1389074400</v>
      </c>
      <c r="O530" s="9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LEFT(Table1[[#This Row],[category &amp; sub-category]],SEARCH("/",Table1[[#This Row],[category &amp; sub-category]],1)-1)</f>
        <v>music</v>
      </c>
      <c r="T530" t="str">
        <f>RIGHT(Table1[[#This Row],[category &amp; sub-category]],LEN(Table1[[#This Row],[category &amp; sub-category]])-SEARCH("/",Table1[[#This Row],[category &amp; sub-category]],1))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(Table1[[#This Row],[pledged]]/Table1[[#This Row],[goal]])*100</f>
        <v>11.254901960784313</v>
      </c>
      <c r="G531" t="s">
        <v>14</v>
      </c>
      <c r="H531">
        <v>9</v>
      </c>
      <c r="I531" s="4">
        <f>IFERROR(Table1[[#This Row],[pledged]]/Table1[[#This Row],[backers_count]],0)</f>
        <v>63.777777777777779</v>
      </c>
      <c r="J531" t="s">
        <v>21</v>
      </c>
      <c r="K531" t="s">
        <v>22</v>
      </c>
      <c r="L531">
        <v>1399698000</v>
      </c>
      <c r="M531" s="9">
        <f>(((Table1[[#This Row],[launched_at]]/60)/60)/24)+DATE(1970,1,1)</f>
        <v>41769.208333333336</v>
      </c>
      <c r="N531">
        <v>1402117200</v>
      </c>
      <c r="O531" s="9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LEFT(Table1[[#This Row],[category &amp; sub-category]],SEARCH("/",Table1[[#This Row],[category &amp; sub-category]],1)-1)</f>
        <v>games</v>
      </c>
      <c r="T531" t="str">
        <f>RIGHT(Table1[[#This Row],[category &amp; sub-category]],LEN(Table1[[#This Row],[category &amp; sub-category]])-SEARCH("/",Table1[[#This Row],[category &amp; sub-category]],1))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(Table1[[#This Row],[pledged]]/Table1[[#This Row],[goal]])*100</f>
        <v>91.740952380952379</v>
      </c>
      <c r="G532" t="s">
        <v>14</v>
      </c>
      <c r="H532">
        <v>1784</v>
      </c>
      <c r="I532" s="4">
        <f>IFERROR(Table1[[#This Row],[pledged]]/Table1[[#This Row],[backers_count]],0)</f>
        <v>53.995515695067262</v>
      </c>
      <c r="J532" t="s">
        <v>21</v>
      </c>
      <c r="K532" t="s">
        <v>22</v>
      </c>
      <c r="L532">
        <v>1283230800</v>
      </c>
      <c r="M532" s="9">
        <f>(((Table1[[#This Row],[launched_at]]/60)/60)/24)+DATE(1970,1,1)</f>
        <v>40421.208333333336</v>
      </c>
      <c r="N532">
        <v>1284440400</v>
      </c>
      <c r="O532" s="9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LEFT(Table1[[#This Row],[category &amp; sub-category]],SEARCH("/",Table1[[#This Row],[category &amp; sub-category]],1)-1)</f>
        <v>publishing</v>
      </c>
      <c r="T532" t="str">
        <f>RIGHT(Table1[[#This Row],[category &amp; sub-category]],LEN(Table1[[#This Row],[category &amp; sub-category]])-SEARCH("/",Table1[[#This Row],[category &amp; sub-category]],1))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(Table1[[#This Row],[pledged]]/Table1[[#This Row],[goal]])*100</f>
        <v>95.521156936261391</v>
      </c>
      <c r="G533" t="s">
        <v>47</v>
      </c>
      <c r="H533">
        <v>3640</v>
      </c>
      <c r="I533" s="4">
        <f>IFERROR(Table1[[#This Row],[pledged]]/Table1[[#This Row],[backers_count]],0)</f>
        <v>48.993956043956047</v>
      </c>
      <c r="J533" t="s">
        <v>98</v>
      </c>
      <c r="K533" t="s">
        <v>99</v>
      </c>
      <c r="L533">
        <v>1384149600</v>
      </c>
      <c r="M533" s="9">
        <f>(((Table1[[#This Row],[launched_at]]/60)/60)/24)+DATE(1970,1,1)</f>
        <v>41589.25</v>
      </c>
      <c r="N533">
        <v>1388988000</v>
      </c>
      <c r="O533" s="9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LEFT(Table1[[#This Row],[category &amp; sub-category]],SEARCH("/",Table1[[#This Row],[category &amp; sub-category]],1)-1)</f>
        <v>games</v>
      </c>
      <c r="T533" t="str">
        <f>RIGHT(Table1[[#This Row],[category &amp; sub-category]],LEN(Table1[[#This Row],[category &amp; sub-category]])-SEARCH("/",Table1[[#This Row],[category &amp; sub-category]],1))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(Table1[[#This Row],[pledged]]/Table1[[#This Row],[goal]])*100</f>
        <v>502.87499999999994</v>
      </c>
      <c r="G534" t="s">
        <v>20</v>
      </c>
      <c r="H534">
        <v>126</v>
      </c>
      <c r="I534" s="4">
        <f>IFERROR(Table1[[#This Row],[pledged]]/Table1[[#This Row],[backers_count]],0)</f>
        <v>63.857142857142854</v>
      </c>
      <c r="J534" t="s">
        <v>15</v>
      </c>
      <c r="K534" t="s">
        <v>16</v>
      </c>
      <c r="L534">
        <v>1516860000</v>
      </c>
      <c r="M534" s="9">
        <f>(((Table1[[#This Row],[launched_at]]/60)/60)/24)+DATE(1970,1,1)</f>
        <v>43125.25</v>
      </c>
      <c r="N534">
        <v>1516946400</v>
      </c>
      <c r="O534" s="9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LEFT(Table1[[#This Row],[category &amp; sub-category]],SEARCH("/",Table1[[#This Row],[category &amp; sub-category]],1)-1)</f>
        <v>theater</v>
      </c>
      <c r="T534" t="str">
        <f>RIGHT(Table1[[#This Row],[category &amp; sub-category]],LEN(Table1[[#This Row],[category &amp; sub-category]])-SEARCH("/",Table1[[#This Row],[category &amp; sub-category]],1))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(Table1[[#This Row],[pledged]]/Table1[[#This Row],[goal]])*100</f>
        <v>159.24394463667818</v>
      </c>
      <c r="G535" t="s">
        <v>20</v>
      </c>
      <c r="H535">
        <v>2218</v>
      </c>
      <c r="I535" s="4">
        <f>IFERROR(Table1[[#This Row],[pledged]]/Table1[[#This Row],[backers_count]],0)</f>
        <v>82.996393146979258</v>
      </c>
      <c r="J535" t="s">
        <v>40</v>
      </c>
      <c r="K535" t="s">
        <v>41</v>
      </c>
      <c r="L535">
        <v>1374642000</v>
      </c>
      <c r="M535" s="9">
        <f>(((Table1[[#This Row],[launched_at]]/60)/60)/24)+DATE(1970,1,1)</f>
        <v>41479.208333333336</v>
      </c>
      <c r="N535">
        <v>1377752400</v>
      </c>
      <c r="O535" s="9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LEFT(Table1[[#This Row],[category &amp; sub-category]],SEARCH("/",Table1[[#This Row],[category &amp; sub-category]],1)-1)</f>
        <v>music</v>
      </c>
      <c r="T535" t="str">
        <f>RIGHT(Table1[[#This Row],[category &amp; sub-category]],LEN(Table1[[#This Row],[category &amp; sub-category]])-SEARCH("/",Table1[[#This Row],[category &amp; sub-category]],1))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(Table1[[#This Row],[pledged]]/Table1[[#This Row],[goal]])*100</f>
        <v>15.022446689113355</v>
      </c>
      <c r="G536" t="s">
        <v>14</v>
      </c>
      <c r="H536">
        <v>243</v>
      </c>
      <c r="I536" s="4">
        <f>IFERROR(Table1[[#This Row],[pledged]]/Table1[[#This Row],[backers_count]],0)</f>
        <v>55.08230452674897</v>
      </c>
      <c r="J536" t="s">
        <v>21</v>
      </c>
      <c r="K536" t="s">
        <v>22</v>
      </c>
      <c r="L536">
        <v>1534482000</v>
      </c>
      <c r="M536" s="9">
        <f>(((Table1[[#This Row],[launched_at]]/60)/60)/24)+DATE(1970,1,1)</f>
        <v>43329.208333333328</v>
      </c>
      <c r="N536">
        <v>1534568400</v>
      </c>
      <c r="O536" s="9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LEFT(Table1[[#This Row],[category &amp; sub-category]],SEARCH("/",Table1[[#This Row],[category &amp; sub-category]],1)-1)</f>
        <v>film &amp; video</v>
      </c>
      <c r="T536" t="str">
        <f>RIGHT(Table1[[#This Row],[category &amp; sub-category]],LEN(Table1[[#This Row],[category &amp; sub-category]])-SEARCH("/",Table1[[#This Row],[category &amp; sub-category]],1))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(Table1[[#This Row],[pledged]]/Table1[[#This Row],[goal]])*100</f>
        <v>482.03846153846149</v>
      </c>
      <c r="G537" t="s">
        <v>20</v>
      </c>
      <c r="H537">
        <v>202</v>
      </c>
      <c r="I537" s="4">
        <f>IFERROR(Table1[[#This Row],[pledged]]/Table1[[#This Row],[backers_count]],0)</f>
        <v>62.044554455445542</v>
      </c>
      <c r="J537" t="s">
        <v>107</v>
      </c>
      <c r="K537" t="s">
        <v>108</v>
      </c>
      <c r="L537">
        <v>1528434000</v>
      </c>
      <c r="M537" s="9">
        <f>(((Table1[[#This Row],[launched_at]]/60)/60)/24)+DATE(1970,1,1)</f>
        <v>43259.208333333328</v>
      </c>
      <c r="N537">
        <v>1528606800</v>
      </c>
      <c r="O537" s="9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LEFT(Table1[[#This Row],[category &amp; sub-category]],SEARCH("/",Table1[[#This Row],[category &amp; sub-category]],1)-1)</f>
        <v>theater</v>
      </c>
      <c r="T537" t="str">
        <f>RIGHT(Table1[[#This Row],[category &amp; sub-category]],LEN(Table1[[#This Row],[category &amp; sub-category]])-SEARCH("/",Table1[[#This Row],[category &amp; sub-category]],1))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(Table1[[#This Row],[pledged]]/Table1[[#This Row],[goal]])*100</f>
        <v>149.96938775510205</v>
      </c>
      <c r="G538" t="s">
        <v>20</v>
      </c>
      <c r="H538">
        <v>140</v>
      </c>
      <c r="I538" s="4">
        <f>IFERROR(Table1[[#This Row],[pledged]]/Table1[[#This Row],[backers_count]],0)</f>
        <v>104.97857142857143</v>
      </c>
      <c r="J538" t="s">
        <v>107</v>
      </c>
      <c r="K538" t="s">
        <v>108</v>
      </c>
      <c r="L538">
        <v>1282626000</v>
      </c>
      <c r="M538" s="9">
        <f>(((Table1[[#This Row],[launched_at]]/60)/60)/24)+DATE(1970,1,1)</f>
        <v>40414.208333333336</v>
      </c>
      <c r="N538">
        <v>1284872400</v>
      </c>
      <c r="O538" s="9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LEFT(Table1[[#This Row],[category &amp; sub-category]],SEARCH("/",Table1[[#This Row],[category &amp; sub-category]],1)-1)</f>
        <v>publishing</v>
      </c>
      <c r="T538" t="str">
        <f>RIGHT(Table1[[#This Row],[category &amp; sub-category]],LEN(Table1[[#This Row],[category &amp; sub-category]])-SEARCH("/",Table1[[#This Row],[category &amp; sub-category]],1))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(Table1[[#This Row],[pledged]]/Table1[[#This Row],[goal]])*100</f>
        <v>117.22156398104266</v>
      </c>
      <c r="G539" t="s">
        <v>20</v>
      </c>
      <c r="H539">
        <v>1052</v>
      </c>
      <c r="I539" s="4">
        <f>IFERROR(Table1[[#This Row],[pledged]]/Table1[[#This Row],[backers_count]],0)</f>
        <v>94.044676806083643</v>
      </c>
      <c r="J539" t="s">
        <v>36</v>
      </c>
      <c r="K539" t="s">
        <v>37</v>
      </c>
      <c r="L539">
        <v>1535605200</v>
      </c>
      <c r="M539" s="9">
        <f>(((Table1[[#This Row],[launched_at]]/60)/60)/24)+DATE(1970,1,1)</f>
        <v>43342.208333333328</v>
      </c>
      <c r="N539">
        <v>1537592400</v>
      </c>
      <c r="O539" s="9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LEFT(Table1[[#This Row],[category &amp; sub-category]],SEARCH("/",Table1[[#This Row],[category &amp; sub-category]],1)-1)</f>
        <v>film &amp; video</v>
      </c>
      <c r="T539" t="str">
        <f>RIGHT(Table1[[#This Row],[category &amp; sub-category]],LEN(Table1[[#This Row],[category &amp; sub-category]])-SEARCH("/",Table1[[#This Row],[category &amp; sub-category]],1))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(Table1[[#This Row],[pledged]]/Table1[[#This Row],[goal]])*100</f>
        <v>37.695968274950431</v>
      </c>
      <c r="G540" t="s">
        <v>14</v>
      </c>
      <c r="H540">
        <v>1296</v>
      </c>
      <c r="I540" s="4">
        <f>IFERROR(Table1[[#This Row],[pledged]]/Table1[[#This Row],[backers_count]],0)</f>
        <v>44.007716049382715</v>
      </c>
      <c r="J540" t="s">
        <v>21</v>
      </c>
      <c r="K540" t="s">
        <v>22</v>
      </c>
      <c r="L540">
        <v>1379826000</v>
      </c>
      <c r="M540" s="9">
        <f>(((Table1[[#This Row],[launched_at]]/60)/60)/24)+DATE(1970,1,1)</f>
        <v>41539.208333333336</v>
      </c>
      <c r="N540">
        <v>1381208400</v>
      </c>
      <c r="O540" s="9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LEFT(Table1[[#This Row],[category &amp; sub-category]],SEARCH("/",Table1[[#This Row],[category &amp; sub-category]],1)-1)</f>
        <v>games</v>
      </c>
      <c r="T540" t="str">
        <f>RIGHT(Table1[[#This Row],[category &amp; sub-category]],LEN(Table1[[#This Row],[category &amp; sub-category]])-SEARCH("/",Table1[[#This Row],[category &amp; sub-category]],1))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(Table1[[#This Row],[pledged]]/Table1[[#This Row],[goal]])*100</f>
        <v>72.653061224489804</v>
      </c>
      <c r="G541" t="s">
        <v>14</v>
      </c>
      <c r="H541">
        <v>77</v>
      </c>
      <c r="I541" s="4">
        <f>IFERROR(Table1[[#This Row],[pledged]]/Table1[[#This Row],[backers_count]],0)</f>
        <v>92.467532467532465</v>
      </c>
      <c r="J541" t="s">
        <v>21</v>
      </c>
      <c r="K541" t="s">
        <v>22</v>
      </c>
      <c r="L541">
        <v>1561957200</v>
      </c>
      <c r="M541" s="9">
        <f>(((Table1[[#This Row],[launched_at]]/60)/60)/24)+DATE(1970,1,1)</f>
        <v>43647.208333333328</v>
      </c>
      <c r="N541">
        <v>1562475600</v>
      </c>
      <c r="O541" s="9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LEFT(Table1[[#This Row],[category &amp; sub-category]],SEARCH("/",Table1[[#This Row],[category &amp; sub-category]],1)-1)</f>
        <v>food</v>
      </c>
      <c r="T541" t="str">
        <f>RIGHT(Table1[[#This Row],[category &amp; sub-category]],LEN(Table1[[#This Row],[category &amp; sub-category]])-SEARCH("/",Table1[[#This Row],[category &amp; sub-category]],1))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(Table1[[#This Row],[pledged]]/Table1[[#This Row],[goal]])*100</f>
        <v>265.98113207547169</v>
      </c>
      <c r="G542" t="s">
        <v>20</v>
      </c>
      <c r="H542">
        <v>247</v>
      </c>
      <c r="I542" s="4">
        <f>IFERROR(Table1[[#This Row],[pledged]]/Table1[[#This Row],[backers_count]],0)</f>
        <v>57.072874493927124</v>
      </c>
      <c r="J542" t="s">
        <v>21</v>
      </c>
      <c r="K542" t="s">
        <v>22</v>
      </c>
      <c r="L542">
        <v>1525496400</v>
      </c>
      <c r="M542" s="9">
        <f>(((Table1[[#This Row],[launched_at]]/60)/60)/24)+DATE(1970,1,1)</f>
        <v>43225.208333333328</v>
      </c>
      <c r="N542">
        <v>1527397200</v>
      </c>
      <c r="O542" s="9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LEFT(Table1[[#This Row],[category &amp; sub-category]],SEARCH("/",Table1[[#This Row],[category &amp; sub-category]],1)-1)</f>
        <v>photography</v>
      </c>
      <c r="T542" t="str">
        <f>RIGHT(Table1[[#This Row],[category &amp; sub-category]],LEN(Table1[[#This Row],[category &amp; sub-category]])-SEARCH("/",Table1[[#This Row],[category &amp; sub-category]],1))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(Table1[[#This Row],[pledged]]/Table1[[#This Row],[goal]])*100</f>
        <v>24.205617977528089</v>
      </c>
      <c r="G543" t="s">
        <v>14</v>
      </c>
      <c r="H543">
        <v>395</v>
      </c>
      <c r="I543" s="4">
        <f>IFERROR(Table1[[#This Row],[pledged]]/Table1[[#This Row],[backers_count]],0)</f>
        <v>109.07848101265823</v>
      </c>
      <c r="J543" t="s">
        <v>107</v>
      </c>
      <c r="K543" t="s">
        <v>108</v>
      </c>
      <c r="L543">
        <v>1433912400</v>
      </c>
      <c r="M543" s="9">
        <f>(((Table1[[#This Row],[launched_at]]/60)/60)/24)+DATE(1970,1,1)</f>
        <v>42165.208333333328</v>
      </c>
      <c r="N543">
        <v>1436158800</v>
      </c>
      <c r="O543" s="9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LEFT(Table1[[#This Row],[category &amp; sub-category]],SEARCH("/",Table1[[#This Row],[category &amp; sub-category]],1)-1)</f>
        <v>games</v>
      </c>
      <c r="T543" t="str">
        <f>RIGHT(Table1[[#This Row],[category &amp; sub-category]],LEN(Table1[[#This Row],[category &amp; sub-category]])-SEARCH("/",Table1[[#This Row],[category &amp; sub-category]],1))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(Table1[[#This Row],[pledged]]/Table1[[#This Row],[goal]])*100</f>
        <v>2.5064935064935066</v>
      </c>
      <c r="G544" t="s">
        <v>14</v>
      </c>
      <c r="H544">
        <v>49</v>
      </c>
      <c r="I544" s="4">
        <f>IFERROR(Table1[[#This Row],[pledged]]/Table1[[#This Row],[backers_count]],0)</f>
        <v>39.387755102040813</v>
      </c>
      <c r="J544" t="s">
        <v>40</v>
      </c>
      <c r="K544" t="s">
        <v>41</v>
      </c>
      <c r="L544">
        <v>1453442400</v>
      </c>
      <c r="M544" s="9">
        <f>(((Table1[[#This Row],[launched_at]]/60)/60)/24)+DATE(1970,1,1)</f>
        <v>42391.25</v>
      </c>
      <c r="N544">
        <v>1456034400</v>
      </c>
      <c r="O544" s="9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LEFT(Table1[[#This Row],[category &amp; sub-category]],SEARCH("/",Table1[[#This Row],[category &amp; sub-category]],1)-1)</f>
        <v>music</v>
      </c>
      <c r="T544" t="str">
        <f>RIGHT(Table1[[#This Row],[category &amp; sub-category]],LEN(Table1[[#This Row],[category &amp; sub-category]])-SEARCH("/",Table1[[#This Row],[category &amp; sub-category]],1))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(Table1[[#This Row],[pledged]]/Table1[[#This Row],[goal]])*100</f>
        <v>16.329799764428738</v>
      </c>
      <c r="G545" t="s">
        <v>14</v>
      </c>
      <c r="H545">
        <v>180</v>
      </c>
      <c r="I545" s="4">
        <f>IFERROR(Table1[[#This Row],[pledged]]/Table1[[#This Row],[backers_count]],0)</f>
        <v>77.022222222222226</v>
      </c>
      <c r="J545" t="s">
        <v>21</v>
      </c>
      <c r="K545" t="s">
        <v>22</v>
      </c>
      <c r="L545">
        <v>1378875600</v>
      </c>
      <c r="M545" s="9">
        <f>(((Table1[[#This Row],[launched_at]]/60)/60)/24)+DATE(1970,1,1)</f>
        <v>41528.208333333336</v>
      </c>
      <c r="N545">
        <v>1380171600</v>
      </c>
      <c r="O545" s="9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LEFT(Table1[[#This Row],[category &amp; sub-category]],SEARCH("/",Table1[[#This Row],[category &amp; sub-category]],1)-1)</f>
        <v>games</v>
      </c>
      <c r="T545" t="str">
        <f>RIGHT(Table1[[#This Row],[category &amp; sub-category]],LEN(Table1[[#This Row],[category &amp; sub-category]])-SEARCH("/",Table1[[#This Row],[category &amp; sub-category]],1))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(Table1[[#This Row],[pledged]]/Table1[[#This Row],[goal]])*100</f>
        <v>276.5</v>
      </c>
      <c r="G546" t="s">
        <v>20</v>
      </c>
      <c r="H546">
        <v>84</v>
      </c>
      <c r="I546" s="4">
        <f>IFERROR(Table1[[#This Row],[pledged]]/Table1[[#This Row],[backers_count]],0)</f>
        <v>92.166666666666671</v>
      </c>
      <c r="J546" t="s">
        <v>21</v>
      </c>
      <c r="K546" t="s">
        <v>22</v>
      </c>
      <c r="L546">
        <v>1452232800</v>
      </c>
      <c r="M546" s="9">
        <f>(((Table1[[#This Row],[launched_at]]/60)/60)/24)+DATE(1970,1,1)</f>
        <v>42377.25</v>
      </c>
      <c r="N546">
        <v>1453356000</v>
      </c>
      <c r="O546" s="9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LEFT(Table1[[#This Row],[category &amp; sub-category]],SEARCH("/",Table1[[#This Row],[category &amp; sub-category]],1)-1)</f>
        <v>music</v>
      </c>
      <c r="T546" t="str">
        <f>RIGHT(Table1[[#This Row],[category &amp; sub-category]],LEN(Table1[[#This Row],[category &amp; sub-category]])-SEARCH("/",Table1[[#This Row],[category &amp; sub-category]],1))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(Table1[[#This Row],[pledged]]/Table1[[#This Row],[goal]])*100</f>
        <v>88.803571428571431</v>
      </c>
      <c r="G547" t="s">
        <v>14</v>
      </c>
      <c r="H547">
        <v>2690</v>
      </c>
      <c r="I547" s="4">
        <f>IFERROR(Table1[[#This Row],[pledged]]/Table1[[#This Row],[backers_count]],0)</f>
        <v>61.007063197026021</v>
      </c>
      <c r="J547" t="s">
        <v>21</v>
      </c>
      <c r="K547" t="s">
        <v>22</v>
      </c>
      <c r="L547">
        <v>1577253600</v>
      </c>
      <c r="M547" s="9">
        <f>(((Table1[[#This Row],[launched_at]]/60)/60)/24)+DATE(1970,1,1)</f>
        <v>43824.25</v>
      </c>
      <c r="N547">
        <v>1578981600</v>
      </c>
      <c r="O547" s="9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LEFT(Table1[[#This Row],[category &amp; sub-category]],SEARCH("/",Table1[[#This Row],[category &amp; sub-category]],1)-1)</f>
        <v>theater</v>
      </c>
      <c r="T547" t="str">
        <f>RIGHT(Table1[[#This Row],[category &amp; sub-category]],LEN(Table1[[#This Row],[category &amp; sub-category]])-SEARCH("/",Table1[[#This Row],[category &amp; sub-category]],1))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(Table1[[#This Row],[pledged]]/Table1[[#This Row],[goal]])*100</f>
        <v>163.57142857142856</v>
      </c>
      <c r="G548" t="s">
        <v>20</v>
      </c>
      <c r="H548">
        <v>88</v>
      </c>
      <c r="I548" s="4">
        <f>IFERROR(Table1[[#This Row],[pledged]]/Table1[[#This Row],[backers_count]],0)</f>
        <v>78.068181818181813</v>
      </c>
      <c r="J548" t="s">
        <v>21</v>
      </c>
      <c r="K548" t="s">
        <v>22</v>
      </c>
      <c r="L548">
        <v>1537160400</v>
      </c>
      <c r="M548" s="9">
        <f>(((Table1[[#This Row],[launched_at]]/60)/60)/24)+DATE(1970,1,1)</f>
        <v>43360.208333333328</v>
      </c>
      <c r="N548">
        <v>1537419600</v>
      </c>
      <c r="O548" s="9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LEFT(Table1[[#This Row],[category &amp; sub-category]],SEARCH("/",Table1[[#This Row],[category &amp; sub-category]],1)-1)</f>
        <v>theater</v>
      </c>
      <c r="T548" t="str">
        <f>RIGHT(Table1[[#This Row],[category &amp; sub-category]],LEN(Table1[[#This Row],[category &amp; sub-category]])-SEARCH("/",Table1[[#This Row],[category &amp; sub-category]],1))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(Table1[[#This Row],[pledged]]/Table1[[#This Row],[goal]])*100</f>
        <v>969</v>
      </c>
      <c r="G549" t="s">
        <v>20</v>
      </c>
      <c r="H549">
        <v>156</v>
      </c>
      <c r="I549" s="4">
        <f>IFERROR(Table1[[#This Row],[pledged]]/Table1[[#This Row],[backers_count]],0)</f>
        <v>80.75</v>
      </c>
      <c r="J549" t="s">
        <v>21</v>
      </c>
      <c r="K549" t="s">
        <v>22</v>
      </c>
      <c r="L549">
        <v>1422165600</v>
      </c>
      <c r="M549" s="9">
        <f>(((Table1[[#This Row],[launched_at]]/60)/60)/24)+DATE(1970,1,1)</f>
        <v>42029.25</v>
      </c>
      <c r="N549">
        <v>1423202400</v>
      </c>
      <c r="O549" s="9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LEFT(Table1[[#This Row],[category &amp; sub-category]],SEARCH("/",Table1[[#This Row],[category &amp; sub-category]],1)-1)</f>
        <v>film &amp; video</v>
      </c>
      <c r="T549" t="str">
        <f>RIGHT(Table1[[#This Row],[category &amp; sub-category]],LEN(Table1[[#This Row],[category &amp; sub-category]])-SEARCH("/",Table1[[#This Row],[category &amp; sub-category]],1))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(Table1[[#This Row],[pledged]]/Table1[[#This Row],[goal]])*100</f>
        <v>270.91376701966715</v>
      </c>
      <c r="G550" t="s">
        <v>20</v>
      </c>
      <c r="H550">
        <v>2985</v>
      </c>
      <c r="I550" s="4">
        <f>IFERROR(Table1[[#This Row],[pledged]]/Table1[[#This Row],[backers_count]],0)</f>
        <v>59.991289782244557</v>
      </c>
      <c r="J550" t="s">
        <v>21</v>
      </c>
      <c r="K550" t="s">
        <v>22</v>
      </c>
      <c r="L550">
        <v>1459486800</v>
      </c>
      <c r="M550" s="9">
        <f>(((Table1[[#This Row],[launched_at]]/60)/60)/24)+DATE(1970,1,1)</f>
        <v>42461.208333333328</v>
      </c>
      <c r="N550">
        <v>1460610000</v>
      </c>
      <c r="O550" s="9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LEFT(Table1[[#This Row],[category &amp; sub-category]],SEARCH("/",Table1[[#This Row],[category &amp; sub-category]],1)-1)</f>
        <v>theater</v>
      </c>
      <c r="T550" t="str">
        <f>RIGHT(Table1[[#This Row],[category &amp; sub-category]],LEN(Table1[[#This Row],[category &amp; sub-category]])-SEARCH("/",Table1[[#This Row],[category &amp; sub-category]],1))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(Table1[[#This Row],[pledged]]/Table1[[#This Row],[goal]])*100</f>
        <v>284.21355932203392</v>
      </c>
      <c r="G551" t="s">
        <v>20</v>
      </c>
      <c r="H551">
        <v>762</v>
      </c>
      <c r="I551" s="4">
        <f>IFERROR(Table1[[#This Row],[pledged]]/Table1[[#This Row],[backers_count]],0)</f>
        <v>110.03018372703411</v>
      </c>
      <c r="J551" t="s">
        <v>21</v>
      </c>
      <c r="K551" t="s">
        <v>22</v>
      </c>
      <c r="L551">
        <v>1369717200</v>
      </c>
      <c r="M551" s="9">
        <f>(((Table1[[#This Row],[launched_at]]/60)/60)/24)+DATE(1970,1,1)</f>
        <v>41422.208333333336</v>
      </c>
      <c r="N551">
        <v>1370494800</v>
      </c>
      <c r="O551" s="9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LEFT(Table1[[#This Row],[category &amp; sub-category]],SEARCH("/",Table1[[#This Row],[category &amp; sub-category]],1)-1)</f>
        <v>technology</v>
      </c>
      <c r="T551" t="str">
        <f>RIGHT(Table1[[#This Row],[category &amp; sub-category]],LEN(Table1[[#This Row],[category &amp; sub-category]])-SEARCH("/",Table1[[#This Row],[category &amp; sub-category]],1))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(Table1[[#This Row],[pledged]]/Table1[[#This Row],[goal]])*100</f>
        <v>4</v>
      </c>
      <c r="G552" t="s">
        <v>74</v>
      </c>
      <c r="H552">
        <v>1</v>
      </c>
      <c r="I552" s="4">
        <f>IFERROR(Table1[[#This Row],[pledged]]/Table1[[#This Row],[backers_count]],0)</f>
        <v>4</v>
      </c>
      <c r="J552" t="s">
        <v>98</v>
      </c>
      <c r="K552" t="s">
        <v>99</v>
      </c>
      <c r="L552">
        <v>1330495200</v>
      </c>
      <c r="M552" s="9">
        <f>(((Table1[[#This Row],[launched_at]]/60)/60)/24)+DATE(1970,1,1)</f>
        <v>40968.25</v>
      </c>
      <c r="N552">
        <v>1332306000</v>
      </c>
      <c r="O552" s="9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LEFT(Table1[[#This Row],[category &amp; sub-category]],SEARCH("/",Table1[[#This Row],[category &amp; sub-category]],1)-1)</f>
        <v>music</v>
      </c>
      <c r="T552" t="str">
        <f>RIGHT(Table1[[#This Row],[category &amp; sub-category]],LEN(Table1[[#This Row],[category &amp; sub-category]])-SEARCH("/",Table1[[#This Row],[category &amp; sub-category]],1))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(Table1[[#This Row],[pledged]]/Table1[[#This Row],[goal]])*100</f>
        <v>58.6329816768462</v>
      </c>
      <c r="G553" t="s">
        <v>14</v>
      </c>
      <c r="H553">
        <v>2779</v>
      </c>
      <c r="I553" s="4">
        <f>IFERROR(Table1[[#This Row],[pledged]]/Table1[[#This Row],[backers_count]],0)</f>
        <v>37.99856063332134</v>
      </c>
      <c r="J553" t="s">
        <v>26</v>
      </c>
      <c r="K553" t="s">
        <v>27</v>
      </c>
      <c r="L553">
        <v>1419055200</v>
      </c>
      <c r="M553" s="9">
        <f>(((Table1[[#This Row],[launched_at]]/60)/60)/24)+DATE(1970,1,1)</f>
        <v>41993.25</v>
      </c>
      <c r="N553">
        <v>1422511200</v>
      </c>
      <c r="O553" s="9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LEFT(Table1[[#This Row],[category &amp; sub-category]],SEARCH("/",Table1[[#This Row],[category &amp; sub-category]],1)-1)</f>
        <v>technology</v>
      </c>
      <c r="T553" t="str">
        <f>RIGHT(Table1[[#This Row],[category &amp; sub-category]],LEN(Table1[[#This Row],[category &amp; sub-category]])-SEARCH("/",Table1[[#This Row],[category &amp; sub-category]],1))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(Table1[[#This Row],[pledged]]/Table1[[#This Row],[goal]])*100</f>
        <v>98.51111111111112</v>
      </c>
      <c r="G554" t="s">
        <v>14</v>
      </c>
      <c r="H554">
        <v>92</v>
      </c>
      <c r="I554" s="4">
        <f>IFERROR(Table1[[#This Row],[pledged]]/Table1[[#This Row],[backers_count]],0)</f>
        <v>96.369565217391298</v>
      </c>
      <c r="J554" t="s">
        <v>21</v>
      </c>
      <c r="K554" t="s">
        <v>22</v>
      </c>
      <c r="L554">
        <v>1480140000</v>
      </c>
      <c r="M554" s="9">
        <f>(((Table1[[#This Row],[launched_at]]/60)/60)/24)+DATE(1970,1,1)</f>
        <v>42700.25</v>
      </c>
      <c r="N554">
        <v>1480312800</v>
      </c>
      <c r="O554" s="9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LEFT(Table1[[#This Row],[category &amp; sub-category]],SEARCH("/",Table1[[#This Row],[category &amp; sub-category]],1)-1)</f>
        <v>theater</v>
      </c>
      <c r="T554" t="str">
        <f>RIGHT(Table1[[#This Row],[category &amp; sub-category]],LEN(Table1[[#This Row],[category &amp; sub-category]])-SEARCH("/",Table1[[#This Row],[category &amp; sub-category]],1))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(Table1[[#This Row],[pledged]]/Table1[[#This Row],[goal]])*100</f>
        <v>43.975381008206334</v>
      </c>
      <c r="G555" t="s">
        <v>14</v>
      </c>
      <c r="H555">
        <v>1028</v>
      </c>
      <c r="I555" s="4">
        <f>IFERROR(Table1[[#This Row],[pledged]]/Table1[[#This Row],[backers_count]],0)</f>
        <v>72.978599221789878</v>
      </c>
      <c r="J555" t="s">
        <v>21</v>
      </c>
      <c r="K555" t="s">
        <v>22</v>
      </c>
      <c r="L555">
        <v>1293948000</v>
      </c>
      <c r="M555" s="9">
        <f>(((Table1[[#This Row],[launched_at]]/60)/60)/24)+DATE(1970,1,1)</f>
        <v>40545.25</v>
      </c>
      <c r="N555">
        <v>1294034400</v>
      </c>
      <c r="O555" s="9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LEFT(Table1[[#This Row],[category &amp; sub-category]],SEARCH("/",Table1[[#This Row],[category &amp; sub-category]],1)-1)</f>
        <v>music</v>
      </c>
      <c r="T555" t="str">
        <f>RIGHT(Table1[[#This Row],[category &amp; sub-category]],LEN(Table1[[#This Row],[category &amp; sub-category]])-SEARCH("/",Table1[[#This Row],[category &amp; sub-category]],1))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(Table1[[#This Row],[pledged]]/Table1[[#This Row],[goal]])*100</f>
        <v>151.66315789473683</v>
      </c>
      <c r="G556" t="s">
        <v>20</v>
      </c>
      <c r="H556">
        <v>554</v>
      </c>
      <c r="I556" s="4">
        <f>IFERROR(Table1[[#This Row],[pledged]]/Table1[[#This Row],[backers_count]],0)</f>
        <v>26.007220216606498</v>
      </c>
      <c r="J556" t="s">
        <v>15</v>
      </c>
      <c r="K556" t="s">
        <v>16</v>
      </c>
      <c r="L556">
        <v>1482127200</v>
      </c>
      <c r="M556" s="9">
        <f>(((Table1[[#This Row],[launched_at]]/60)/60)/24)+DATE(1970,1,1)</f>
        <v>42723.25</v>
      </c>
      <c r="N556">
        <v>1482645600</v>
      </c>
      <c r="O556" s="9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LEFT(Table1[[#This Row],[category &amp; sub-category]],SEARCH("/",Table1[[#This Row],[category &amp; sub-category]],1)-1)</f>
        <v>music</v>
      </c>
      <c r="T556" t="str">
        <f>RIGHT(Table1[[#This Row],[category &amp; sub-category]],LEN(Table1[[#This Row],[category &amp; sub-category]])-SEARCH("/",Table1[[#This Row],[category &amp; sub-category]],1))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(Table1[[#This Row],[pledged]]/Table1[[#This Row],[goal]])*100</f>
        <v>223.63492063492063</v>
      </c>
      <c r="G557" t="s">
        <v>20</v>
      </c>
      <c r="H557">
        <v>135</v>
      </c>
      <c r="I557" s="4">
        <f>IFERROR(Table1[[#This Row],[pledged]]/Table1[[#This Row],[backers_count]],0)</f>
        <v>104.36296296296297</v>
      </c>
      <c r="J557" t="s">
        <v>36</v>
      </c>
      <c r="K557" t="s">
        <v>37</v>
      </c>
      <c r="L557">
        <v>1396414800</v>
      </c>
      <c r="M557" s="9">
        <f>(((Table1[[#This Row],[launched_at]]/60)/60)/24)+DATE(1970,1,1)</f>
        <v>41731.208333333336</v>
      </c>
      <c r="N557">
        <v>1399093200</v>
      </c>
      <c r="O557" s="9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LEFT(Table1[[#This Row],[category &amp; sub-category]],SEARCH("/",Table1[[#This Row],[category &amp; sub-category]],1)-1)</f>
        <v>music</v>
      </c>
      <c r="T557" t="str">
        <f>RIGHT(Table1[[#This Row],[category &amp; sub-category]],LEN(Table1[[#This Row],[category &amp; sub-category]])-SEARCH("/",Table1[[#This Row],[category &amp; sub-category]],1))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(Table1[[#This Row],[pledged]]/Table1[[#This Row],[goal]])*100</f>
        <v>239.75</v>
      </c>
      <c r="G558" t="s">
        <v>20</v>
      </c>
      <c r="H558">
        <v>122</v>
      </c>
      <c r="I558" s="4">
        <f>IFERROR(Table1[[#This Row],[pledged]]/Table1[[#This Row],[backers_count]],0)</f>
        <v>102.18852459016394</v>
      </c>
      <c r="J558" t="s">
        <v>21</v>
      </c>
      <c r="K558" t="s">
        <v>22</v>
      </c>
      <c r="L558">
        <v>1315285200</v>
      </c>
      <c r="M558" s="9">
        <f>(((Table1[[#This Row],[launched_at]]/60)/60)/24)+DATE(1970,1,1)</f>
        <v>40792.208333333336</v>
      </c>
      <c r="N558">
        <v>1315890000</v>
      </c>
      <c r="O558" s="9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LEFT(Table1[[#This Row],[category &amp; sub-category]],SEARCH("/",Table1[[#This Row],[category &amp; sub-category]],1)-1)</f>
        <v>publishing</v>
      </c>
      <c r="T558" t="str">
        <f>RIGHT(Table1[[#This Row],[category &amp; sub-category]],LEN(Table1[[#This Row],[category &amp; sub-category]])-SEARCH("/",Table1[[#This Row],[category &amp; sub-category]],1))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(Table1[[#This Row],[pledged]]/Table1[[#This Row],[goal]])*100</f>
        <v>199.33333333333334</v>
      </c>
      <c r="G559" t="s">
        <v>20</v>
      </c>
      <c r="H559">
        <v>221</v>
      </c>
      <c r="I559" s="4">
        <f>IFERROR(Table1[[#This Row],[pledged]]/Table1[[#This Row],[backers_count]],0)</f>
        <v>54.117647058823529</v>
      </c>
      <c r="J559" t="s">
        <v>21</v>
      </c>
      <c r="K559" t="s">
        <v>22</v>
      </c>
      <c r="L559">
        <v>1443762000</v>
      </c>
      <c r="M559" s="9">
        <f>(((Table1[[#This Row],[launched_at]]/60)/60)/24)+DATE(1970,1,1)</f>
        <v>42279.208333333328</v>
      </c>
      <c r="N559">
        <v>1444021200</v>
      </c>
      <c r="O559" s="9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LEFT(Table1[[#This Row],[category &amp; sub-category]],SEARCH("/",Table1[[#This Row],[category &amp; sub-category]],1)-1)</f>
        <v>film &amp; video</v>
      </c>
      <c r="T559" t="str">
        <f>RIGHT(Table1[[#This Row],[category &amp; sub-category]],LEN(Table1[[#This Row],[category &amp; sub-category]])-SEARCH("/",Table1[[#This Row],[category &amp; sub-category]],1))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(Table1[[#This Row],[pledged]]/Table1[[#This Row],[goal]])*100</f>
        <v>137.34482758620689</v>
      </c>
      <c r="G560" t="s">
        <v>20</v>
      </c>
      <c r="H560">
        <v>126</v>
      </c>
      <c r="I560" s="4">
        <f>IFERROR(Table1[[#This Row],[pledged]]/Table1[[#This Row],[backers_count]],0)</f>
        <v>63.222222222222221</v>
      </c>
      <c r="J560" t="s">
        <v>21</v>
      </c>
      <c r="K560" t="s">
        <v>22</v>
      </c>
      <c r="L560">
        <v>1456293600</v>
      </c>
      <c r="M560" s="9">
        <f>(((Table1[[#This Row],[launched_at]]/60)/60)/24)+DATE(1970,1,1)</f>
        <v>42424.25</v>
      </c>
      <c r="N560">
        <v>1460005200</v>
      </c>
      <c r="O560" s="9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LEFT(Table1[[#This Row],[category &amp; sub-category]],SEARCH("/",Table1[[#This Row],[category &amp; sub-category]],1)-1)</f>
        <v>theater</v>
      </c>
      <c r="T560" t="str">
        <f>RIGHT(Table1[[#This Row],[category &amp; sub-category]],LEN(Table1[[#This Row],[category &amp; sub-category]])-SEARCH("/",Table1[[#This Row],[category &amp; sub-category]],1))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(Table1[[#This Row],[pledged]]/Table1[[#This Row],[goal]])*100</f>
        <v>100.9696106362773</v>
      </c>
      <c r="G561" t="s">
        <v>20</v>
      </c>
      <c r="H561">
        <v>1022</v>
      </c>
      <c r="I561" s="4">
        <f>IFERROR(Table1[[#This Row],[pledged]]/Table1[[#This Row],[backers_count]],0)</f>
        <v>104.03228962818004</v>
      </c>
      <c r="J561" t="s">
        <v>21</v>
      </c>
      <c r="K561" t="s">
        <v>22</v>
      </c>
      <c r="L561">
        <v>1470114000</v>
      </c>
      <c r="M561" s="9">
        <f>(((Table1[[#This Row],[launched_at]]/60)/60)/24)+DATE(1970,1,1)</f>
        <v>42584.208333333328</v>
      </c>
      <c r="N561">
        <v>1470718800</v>
      </c>
      <c r="O561" s="9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LEFT(Table1[[#This Row],[category &amp; sub-category]],SEARCH("/",Table1[[#This Row],[category &amp; sub-category]],1)-1)</f>
        <v>theater</v>
      </c>
      <c r="T561" t="str">
        <f>RIGHT(Table1[[#This Row],[category &amp; sub-category]],LEN(Table1[[#This Row],[category &amp; sub-category]])-SEARCH("/",Table1[[#This Row],[category &amp; sub-category]],1))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(Table1[[#This Row],[pledged]]/Table1[[#This Row],[goal]])*100</f>
        <v>794.16</v>
      </c>
      <c r="G562" t="s">
        <v>20</v>
      </c>
      <c r="H562">
        <v>3177</v>
      </c>
      <c r="I562" s="4">
        <f>IFERROR(Table1[[#This Row],[pledged]]/Table1[[#This Row],[backers_count]],0)</f>
        <v>49.994334277620396</v>
      </c>
      <c r="J562" t="s">
        <v>21</v>
      </c>
      <c r="K562" t="s">
        <v>22</v>
      </c>
      <c r="L562">
        <v>1321596000</v>
      </c>
      <c r="M562" s="9">
        <f>(((Table1[[#This Row],[launched_at]]/60)/60)/24)+DATE(1970,1,1)</f>
        <v>40865.25</v>
      </c>
      <c r="N562">
        <v>1325052000</v>
      </c>
      <c r="O562" s="9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LEFT(Table1[[#This Row],[category &amp; sub-category]],SEARCH("/",Table1[[#This Row],[category &amp; sub-category]],1)-1)</f>
        <v>film &amp; video</v>
      </c>
      <c r="T562" t="str">
        <f>RIGHT(Table1[[#This Row],[category &amp; sub-category]],LEN(Table1[[#This Row],[category &amp; sub-category]])-SEARCH("/",Table1[[#This Row],[category &amp; sub-category]],1))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(Table1[[#This Row],[pledged]]/Table1[[#This Row],[goal]])*100</f>
        <v>369.7</v>
      </c>
      <c r="G563" t="s">
        <v>20</v>
      </c>
      <c r="H563">
        <v>198</v>
      </c>
      <c r="I563" s="4">
        <f>IFERROR(Table1[[#This Row],[pledged]]/Table1[[#This Row],[backers_count]],0)</f>
        <v>56.015151515151516</v>
      </c>
      <c r="J563" t="s">
        <v>98</v>
      </c>
      <c r="K563" t="s">
        <v>99</v>
      </c>
      <c r="L563">
        <v>1318827600</v>
      </c>
      <c r="M563" s="9">
        <f>(((Table1[[#This Row],[launched_at]]/60)/60)/24)+DATE(1970,1,1)</f>
        <v>40833.208333333336</v>
      </c>
      <c r="N563">
        <v>1319000400</v>
      </c>
      <c r="O563" s="9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LEFT(Table1[[#This Row],[category &amp; sub-category]],SEARCH("/",Table1[[#This Row],[category &amp; sub-category]],1)-1)</f>
        <v>theater</v>
      </c>
      <c r="T563" t="str">
        <f>RIGHT(Table1[[#This Row],[category &amp; sub-category]],LEN(Table1[[#This Row],[category &amp; sub-category]])-SEARCH("/",Table1[[#This Row],[category &amp; sub-category]],1))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(Table1[[#This Row],[pledged]]/Table1[[#This Row],[goal]])*100</f>
        <v>12.818181818181817</v>
      </c>
      <c r="G564" t="s">
        <v>14</v>
      </c>
      <c r="H564">
        <v>26</v>
      </c>
      <c r="I564" s="4">
        <f>IFERROR(Table1[[#This Row],[pledged]]/Table1[[#This Row],[backers_count]],0)</f>
        <v>48.807692307692307</v>
      </c>
      <c r="J564" t="s">
        <v>98</v>
      </c>
      <c r="K564" t="s">
        <v>99</v>
      </c>
      <c r="L564">
        <v>1552366800</v>
      </c>
      <c r="M564" s="9">
        <f>(((Table1[[#This Row],[launched_at]]/60)/60)/24)+DATE(1970,1,1)</f>
        <v>43536.208333333328</v>
      </c>
      <c r="N564">
        <v>1552539600</v>
      </c>
      <c r="O564" s="9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LEFT(Table1[[#This Row],[category &amp; sub-category]],SEARCH("/",Table1[[#This Row],[category &amp; sub-category]],1)-1)</f>
        <v>music</v>
      </c>
      <c r="T564" t="str">
        <f>RIGHT(Table1[[#This Row],[category &amp; sub-category]],LEN(Table1[[#This Row],[category &amp; sub-category]])-SEARCH("/",Table1[[#This Row],[category &amp; sub-category]],1))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(Table1[[#This Row],[pledged]]/Table1[[#This Row],[goal]])*100</f>
        <v>138.02702702702703</v>
      </c>
      <c r="G565" t="s">
        <v>20</v>
      </c>
      <c r="H565">
        <v>85</v>
      </c>
      <c r="I565" s="4">
        <f>IFERROR(Table1[[#This Row],[pledged]]/Table1[[#This Row],[backers_count]],0)</f>
        <v>60.082352941176474</v>
      </c>
      <c r="J565" t="s">
        <v>26</v>
      </c>
      <c r="K565" t="s">
        <v>27</v>
      </c>
      <c r="L565">
        <v>1542088800</v>
      </c>
      <c r="M565" s="9">
        <f>(((Table1[[#This Row],[launched_at]]/60)/60)/24)+DATE(1970,1,1)</f>
        <v>43417.25</v>
      </c>
      <c r="N565">
        <v>1543816800</v>
      </c>
      <c r="O565" s="9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LEFT(Table1[[#This Row],[category &amp; sub-category]],SEARCH("/",Table1[[#This Row],[category &amp; sub-category]],1)-1)</f>
        <v>film &amp; video</v>
      </c>
      <c r="T565" t="str">
        <f>RIGHT(Table1[[#This Row],[category &amp; sub-category]],LEN(Table1[[#This Row],[category &amp; sub-category]])-SEARCH("/",Table1[[#This Row],[category &amp; sub-category]],1))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(Table1[[#This Row],[pledged]]/Table1[[#This Row],[goal]])*100</f>
        <v>83.813278008298752</v>
      </c>
      <c r="G566" t="s">
        <v>14</v>
      </c>
      <c r="H566">
        <v>1790</v>
      </c>
      <c r="I566" s="4">
        <f>IFERROR(Table1[[#This Row],[pledged]]/Table1[[#This Row],[backers_count]],0)</f>
        <v>78.990502793296088</v>
      </c>
      <c r="J566" t="s">
        <v>21</v>
      </c>
      <c r="K566" t="s">
        <v>22</v>
      </c>
      <c r="L566">
        <v>1426395600</v>
      </c>
      <c r="M566" s="9">
        <f>(((Table1[[#This Row],[launched_at]]/60)/60)/24)+DATE(1970,1,1)</f>
        <v>42078.208333333328</v>
      </c>
      <c r="N566">
        <v>1427086800</v>
      </c>
      <c r="O566" s="9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LEFT(Table1[[#This Row],[category &amp; sub-category]],SEARCH("/",Table1[[#This Row],[category &amp; sub-category]],1)-1)</f>
        <v>theater</v>
      </c>
      <c r="T566" t="str">
        <f>RIGHT(Table1[[#This Row],[category &amp; sub-category]],LEN(Table1[[#This Row],[category &amp; sub-category]])-SEARCH("/",Table1[[#This Row],[category &amp; sub-category]],1))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(Table1[[#This Row],[pledged]]/Table1[[#This Row],[goal]])*100</f>
        <v>204.60063224446787</v>
      </c>
      <c r="G567" t="s">
        <v>20</v>
      </c>
      <c r="H567">
        <v>3596</v>
      </c>
      <c r="I567" s="4">
        <f>IFERROR(Table1[[#This Row],[pledged]]/Table1[[#This Row],[backers_count]],0)</f>
        <v>53.99499443826474</v>
      </c>
      <c r="J567" t="s">
        <v>21</v>
      </c>
      <c r="K567" t="s">
        <v>22</v>
      </c>
      <c r="L567">
        <v>1321336800</v>
      </c>
      <c r="M567" s="9">
        <f>(((Table1[[#This Row],[launched_at]]/60)/60)/24)+DATE(1970,1,1)</f>
        <v>40862.25</v>
      </c>
      <c r="N567">
        <v>1323064800</v>
      </c>
      <c r="O567" s="9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LEFT(Table1[[#This Row],[category &amp; sub-category]],SEARCH("/",Table1[[#This Row],[category &amp; sub-category]],1)-1)</f>
        <v>theater</v>
      </c>
      <c r="T567" t="str">
        <f>RIGHT(Table1[[#This Row],[category &amp; sub-category]],LEN(Table1[[#This Row],[category &amp; sub-category]])-SEARCH("/",Table1[[#This Row],[category &amp; sub-category]],1))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(Table1[[#This Row],[pledged]]/Table1[[#This Row],[goal]])*100</f>
        <v>44.344086021505376</v>
      </c>
      <c r="G568" t="s">
        <v>14</v>
      </c>
      <c r="H568">
        <v>37</v>
      </c>
      <c r="I568" s="4">
        <f>IFERROR(Table1[[#This Row],[pledged]]/Table1[[#This Row],[backers_count]],0)</f>
        <v>111.45945945945945</v>
      </c>
      <c r="J568" t="s">
        <v>21</v>
      </c>
      <c r="K568" t="s">
        <v>22</v>
      </c>
      <c r="L568">
        <v>1456293600</v>
      </c>
      <c r="M568" s="9">
        <f>(((Table1[[#This Row],[launched_at]]/60)/60)/24)+DATE(1970,1,1)</f>
        <v>42424.25</v>
      </c>
      <c r="N568">
        <v>1458277200</v>
      </c>
      <c r="O568" s="9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LEFT(Table1[[#This Row],[category &amp; sub-category]],SEARCH("/",Table1[[#This Row],[category &amp; sub-category]],1)-1)</f>
        <v>music</v>
      </c>
      <c r="T568" t="str">
        <f>RIGHT(Table1[[#This Row],[category &amp; sub-category]],LEN(Table1[[#This Row],[category &amp; sub-category]])-SEARCH("/",Table1[[#This Row],[category &amp; sub-category]],1))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(Table1[[#This Row],[pledged]]/Table1[[#This Row],[goal]])*100</f>
        <v>218.60294117647058</v>
      </c>
      <c r="G569" t="s">
        <v>20</v>
      </c>
      <c r="H569">
        <v>244</v>
      </c>
      <c r="I569" s="4">
        <f>IFERROR(Table1[[#This Row],[pledged]]/Table1[[#This Row],[backers_count]],0)</f>
        <v>60.922131147540981</v>
      </c>
      <c r="J569" t="s">
        <v>21</v>
      </c>
      <c r="K569" t="s">
        <v>22</v>
      </c>
      <c r="L569">
        <v>1404968400</v>
      </c>
      <c r="M569" s="9">
        <f>(((Table1[[#This Row],[launched_at]]/60)/60)/24)+DATE(1970,1,1)</f>
        <v>41830.208333333336</v>
      </c>
      <c r="N569">
        <v>1405141200</v>
      </c>
      <c r="O569" s="9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LEFT(Table1[[#This Row],[category &amp; sub-category]],SEARCH("/",Table1[[#This Row],[category &amp; sub-category]],1)-1)</f>
        <v>music</v>
      </c>
      <c r="T569" t="str">
        <f>RIGHT(Table1[[#This Row],[category &amp; sub-category]],LEN(Table1[[#This Row],[category &amp; sub-category]])-SEARCH("/",Table1[[#This Row],[category &amp; sub-category]],1))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(Table1[[#This Row],[pledged]]/Table1[[#This Row],[goal]])*100</f>
        <v>186.03314917127071</v>
      </c>
      <c r="G570" t="s">
        <v>20</v>
      </c>
      <c r="H570">
        <v>5180</v>
      </c>
      <c r="I570" s="4">
        <f>IFERROR(Table1[[#This Row],[pledged]]/Table1[[#This Row],[backers_count]],0)</f>
        <v>26.0015444015444</v>
      </c>
      <c r="J570" t="s">
        <v>21</v>
      </c>
      <c r="K570" t="s">
        <v>22</v>
      </c>
      <c r="L570">
        <v>1279170000</v>
      </c>
      <c r="M570" s="9">
        <f>(((Table1[[#This Row],[launched_at]]/60)/60)/24)+DATE(1970,1,1)</f>
        <v>40374.208333333336</v>
      </c>
      <c r="N570">
        <v>1283058000</v>
      </c>
      <c r="O570" s="9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LEFT(Table1[[#This Row],[category &amp; sub-category]],SEARCH("/",Table1[[#This Row],[category &amp; sub-category]],1)-1)</f>
        <v>theater</v>
      </c>
      <c r="T570" t="str">
        <f>RIGHT(Table1[[#This Row],[category &amp; sub-category]],LEN(Table1[[#This Row],[category &amp; sub-category]])-SEARCH("/",Table1[[#This Row],[category &amp; sub-category]],1))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(Table1[[#This Row],[pledged]]/Table1[[#This Row],[goal]])*100</f>
        <v>237.33830845771143</v>
      </c>
      <c r="G571" t="s">
        <v>20</v>
      </c>
      <c r="H571">
        <v>589</v>
      </c>
      <c r="I571" s="4">
        <f>IFERROR(Table1[[#This Row],[pledged]]/Table1[[#This Row],[backers_count]],0)</f>
        <v>80.993208828522924</v>
      </c>
      <c r="J571" t="s">
        <v>107</v>
      </c>
      <c r="K571" t="s">
        <v>108</v>
      </c>
      <c r="L571">
        <v>1294725600</v>
      </c>
      <c r="M571" s="9">
        <f>(((Table1[[#This Row],[launched_at]]/60)/60)/24)+DATE(1970,1,1)</f>
        <v>40554.25</v>
      </c>
      <c r="N571">
        <v>1295762400</v>
      </c>
      <c r="O571" s="9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LEFT(Table1[[#This Row],[category &amp; sub-category]],SEARCH("/",Table1[[#This Row],[category &amp; sub-category]],1)-1)</f>
        <v>film &amp; video</v>
      </c>
      <c r="T571" t="str">
        <f>RIGHT(Table1[[#This Row],[category &amp; sub-category]],LEN(Table1[[#This Row],[category &amp; sub-category]])-SEARCH("/",Table1[[#This Row],[category &amp; sub-category]],1))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(Table1[[#This Row],[pledged]]/Table1[[#This Row],[goal]])*100</f>
        <v>305.65384615384613</v>
      </c>
      <c r="G572" t="s">
        <v>20</v>
      </c>
      <c r="H572">
        <v>2725</v>
      </c>
      <c r="I572" s="4">
        <f>IFERROR(Table1[[#This Row],[pledged]]/Table1[[#This Row],[backers_count]],0)</f>
        <v>34.995963302752294</v>
      </c>
      <c r="J572" t="s">
        <v>21</v>
      </c>
      <c r="K572" t="s">
        <v>22</v>
      </c>
      <c r="L572">
        <v>1419055200</v>
      </c>
      <c r="M572" s="9">
        <f>(((Table1[[#This Row],[launched_at]]/60)/60)/24)+DATE(1970,1,1)</f>
        <v>41993.25</v>
      </c>
      <c r="N572">
        <v>1419573600</v>
      </c>
      <c r="O572" s="9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LEFT(Table1[[#This Row],[category &amp; sub-category]],SEARCH("/",Table1[[#This Row],[category &amp; sub-category]],1)-1)</f>
        <v>music</v>
      </c>
      <c r="T572" t="str">
        <f>RIGHT(Table1[[#This Row],[category &amp; sub-category]],LEN(Table1[[#This Row],[category &amp; sub-category]])-SEARCH("/",Table1[[#This Row],[category &amp; sub-category]],1))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(Table1[[#This Row],[pledged]]/Table1[[#This Row],[goal]])*100</f>
        <v>94.142857142857139</v>
      </c>
      <c r="G573" t="s">
        <v>14</v>
      </c>
      <c r="H573">
        <v>35</v>
      </c>
      <c r="I573" s="4">
        <f>IFERROR(Table1[[#This Row],[pledged]]/Table1[[#This Row],[backers_count]],0)</f>
        <v>94.142857142857139</v>
      </c>
      <c r="J573" t="s">
        <v>107</v>
      </c>
      <c r="K573" t="s">
        <v>108</v>
      </c>
      <c r="L573">
        <v>1434690000</v>
      </c>
      <c r="M573" s="9">
        <f>(((Table1[[#This Row],[launched_at]]/60)/60)/24)+DATE(1970,1,1)</f>
        <v>42174.208333333328</v>
      </c>
      <c r="N573">
        <v>1438750800</v>
      </c>
      <c r="O573" s="9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LEFT(Table1[[#This Row],[category &amp; sub-category]],SEARCH("/",Table1[[#This Row],[category &amp; sub-category]],1)-1)</f>
        <v>film &amp; video</v>
      </c>
      <c r="T573" t="str">
        <f>RIGHT(Table1[[#This Row],[category &amp; sub-category]],LEN(Table1[[#This Row],[category &amp; sub-category]])-SEARCH("/",Table1[[#This Row],[category &amp; sub-category]],1))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(Table1[[#This Row],[pledged]]/Table1[[#This Row],[goal]])*100</f>
        <v>54.400000000000006</v>
      </c>
      <c r="G574" t="s">
        <v>74</v>
      </c>
      <c r="H574">
        <v>94</v>
      </c>
      <c r="I574" s="4">
        <f>IFERROR(Table1[[#This Row],[pledged]]/Table1[[#This Row],[backers_count]],0)</f>
        <v>52.085106382978722</v>
      </c>
      <c r="J574" t="s">
        <v>21</v>
      </c>
      <c r="K574" t="s">
        <v>22</v>
      </c>
      <c r="L574">
        <v>1443416400</v>
      </c>
      <c r="M574" s="9">
        <f>(((Table1[[#This Row],[launched_at]]/60)/60)/24)+DATE(1970,1,1)</f>
        <v>42275.208333333328</v>
      </c>
      <c r="N574">
        <v>1444798800</v>
      </c>
      <c r="O574" s="9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LEFT(Table1[[#This Row],[category &amp; sub-category]],SEARCH("/",Table1[[#This Row],[category &amp; sub-category]],1)-1)</f>
        <v>music</v>
      </c>
      <c r="T574" t="str">
        <f>RIGHT(Table1[[#This Row],[category &amp; sub-category]],LEN(Table1[[#This Row],[category &amp; sub-category]])-SEARCH("/",Table1[[#This Row],[category &amp; sub-category]],1))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(Table1[[#This Row],[pledged]]/Table1[[#This Row],[goal]])*100</f>
        <v>111.88059701492537</v>
      </c>
      <c r="G575" t="s">
        <v>20</v>
      </c>
      <c r="H575">
        <v>300</v>
      </c>
      <c r="I575" s="4">
        <f>IFERROR(Table1[[#This Row],[pledged]]/Table1[[#This Row],[backers_count]],0)</f>
        <v>24.986666666666668</v>
      </c>
      <c r="J575" t="s">
        <v>21</v>
      </c>
      <c r="K575" t="s">
        <v>22</v>
      </c>
      <c r="L575">
        <v>1399006800</v>
      </c>
      <c r="M575" s="9">
        <f>(((Table1[[#This Row],[launched_at]]/60)/60)/24)+DATE(1970,1,1)</f>
        <v>41761.208333333336</v>
      </c>
      <c r="N575">
        <v>1399179600</v>
      </c>
      <c r="O575" s="9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LEFT(Table1[[#This Row],[category &amp; sub-category]],SEARCH("/",Table1[[#This Row],[category &amp; sub-category]],1)-1)</f>
        <v>journalism</v>
      </c>
      <c r="T575" t="str">
        <f>RIGHT(Table1[[#This Row],[category &amp; sub-category]],LEN(Table1[[#This Row],[category &amp; sub-category]])-SEARCH("/",Table1[[#This Row],[category &amp; sub-category]],1))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(Table1[[#This Row],[pledged]]/Table1[[#This Row],[goal]])*100</f>
        <v>369.14814814814815</v>
      </c>
      <c r="G576" t="s">
        <v>20</v>
      </c>
      <c r="H576">
        <v>144</v>
      </c>
      <c r="I576" s="4">
        <f>IFERROR(Table1[[#This Row],[pledged]]/Table1[[#This Row],[backers_count]],0)</f>
        <v>69.215277777777771</v>
      </c>
      <c r="J576" t="s">
        <v>21</v>
      </c>
      <c r="K576" t="s">
        <v>22</v>
      </c>
      <c r="L576">
        <v>1575698400</v>
      </c>
      <c r="M576" s="9">
        <f>(((Table1[[#This Row],[launched_at]]/60)/60)/24)+DATE(1970,1,1)</f>
        <v>43806.25</v>
      </c>
      <c r="N576">
        <v>1576562400</v>
      </c>
      <c r="O576" s="9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LEFT(Table1[[#This Row],[category &amp; sub-category]],SEARCH("/",Table1[[#This Row],[category &amp; sub-category]],1)-1)</f>
        <v>food</v>
      </c>
      <c r="T576" t="str">
        <f>RIGHT(Table1[[#This Row],[category &amp; sub-category]],LEN(Table1[[#This Row],[category &amp; sub-category]])-SEARCH("/",Table1[[#This Row],[category &amp; sub-category]],1))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(Table1[[#This Row],[pledged]]/Table1[[#This Row],[goal]])*100</f>
        <v>62.930372148859547</v>
      </c>
      <c r="G577" t="s">
        <v>14</v>
      </c>
      <c r="H577">
        <v>558</v>
      </c>
      <c r="I577" s="4">
        <f>IFERROR(Table1[[#This Row],[pledged]]/Table1[[#This Row],[backers_count]],0)</f>
        <v>93.944444444444443</v>
      </c>
      <c r="J577" t="s">
        <v>21</v>
      </c>
      <c r="K577" t="s">
        <v>22</v>
      </c>
      <c r="L577">
        <v>1400562000</v>
      </c>
      <c r="M577" s="9">
        <f>(((Table1[[#This Row],[launched_at]]/60)/60)/24)+DATE(1970,1,1)</f>
        <v>41779.208333333336</v>
      </c>
      <c r="N577">
        <v>1400821200</v>
      </c>
      <c r="O577" s="9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LEFT(Table1[[#This Row],[category &amp; sub-category]],SEARCH("/",Table1[[#This Row],[category &amp; sub-category]],1)-1)</f>
        <v>theater</v>
      </c>
      <c r="T577" t="str">
        <f>RIGHT(Table1[[#This Row],[category &amp; sub-category]],LEN(Table1[[#This Row],[category &amp; sub-category]])-SEARCH("/",Table1[[#This Row],[category &amp; sub-category]],1))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(Table1[[#This Row],[pledged]]/Table1[[#This Row],[goal]])*100</f>
        <v>64.927835051546396</v>
      </c>
      <c r="G578" t="s">
        <v>14</v>
      </c>
      <c r="H578">
        <v>64</v>
      </c>
      <c r="I578" s="4">
        <f>IFERROR(Table1[[#This Row],[pledged]]/Table1[[#This Row],[backers_count]],0)</f>
        <v>98.40625</v>
      </c>
      <c r="J578" t="s">
        <v>21</v>
      </c>
      <c r="K578" t="s">
        <v>22</v>
      </c>
      <c r="L578">
        <v>1509512400</v>
      </c>
      <c r="M578" s="9">
        <f>(((Table1[[#This Row],[launched_at]]/60)/60)/24)+DATE(1970,1,1)</f>
        <v>43040.208333333328</v>
      </c>
      <c r="N578">
        <v>1510984800</v>
      </c>
      <c r="O578" s="9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LEFT(Table1[[#This Row],[category &amp; sub-category]],SEARCH("/",Table1[[#This Row],[category &amp; sub-category]],1)-1)</f>
        <v>theater</v>
      </c>
      <c r="T578" t="str">
        <f>RIGHT(Table1[[#This Row],[category &amp; sub-category]],LEN(Table1[[#This Row],[category &amp; sub-category]])-SEARCH("/",Table1[[#This Row],[category &amp; sub-category]],1))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(Table1[[#This Row],[pledged]]/Table1[[#This Row],[goal]])*100</f>
        <v>18.853658536585368</v>
      </c>
      <c r="G579" t="s">
        <v>74</v>
      </c>
      <c r="H579">
        <v>37</v>
      </c>
      <c r="I579" s="4">
        <f>IFERROR(Table1[[#This Row],[pledged]]/Table1[[#This Row],[backers_count]],0)</f>
        <v>41.783783783783782</v>
      </c>
      <c r="J579" t="s">
        <v>21</v>
      </c>
      <c r="K579" t="s">
        <v>22</v>
      </c>
      <c r="L579">
        <v>1299823200</v>
      </c>
      <c r="M579" s="9">
        <f>(((Table1[[#This Row],[launched_at]]/60)/60)/24)+DATE(1970,1,1)</f>
        <v>40613.25</v>
      </c>
      <c r="N579">
        <v>1302066000</v>
      </c>
      <c r="O579" s="9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LEFT(Table1[[#This Row],[category &amp; sub-category]],SEARCH("/",Table1[[#This Row],[category &amp; sub-category]],1)-1)</f>
        <v>music</v>
      </c>
      <c r="T579" t="str">
        <f>RIGHT(Table1[[#This Row],[category &amp; sub-category]],LEN(Table1[[#This Row],[category &amp; sub-category]])-SEARCH("/",Table1[[#This Row],[category &amp; sub-category]],1))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(Table1[[#This Row],[pledged]]/Table1[[#This Row],[goal]])*100</f>
        <v>16.754404145077721</v>
      </c>
      <c r="G580" t="s">
        <v>14</v>
      </c>
      <c r="H580">
        <v>245</v>
      </c>
      <c r="I580" s="4">
        <f>IFERROR(Table1[[#This Row],[pledged]]/Table1[[#This Row],[backers_count]],0)</f>
        <v>65.991836734693877</v>
      </c>
      <c r="J580" t="s">
        <v>21</v>
      </c>
      <c r="K580" t="s">
        <v>22</v>
      </c>
      <c r="L580">
        <v>1322719200</v>
      </c>
      <c r="M580" s="9">
        <f>(((Table1[[#This Row],[launched_at]]/60)/60)/24)+DATE(1970,1,1)</f>
        <v>40878.25</v>
      </c>
      <c r="N580">
        <v>1322978400</v>
      </c>
      <c r="O580" s="9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LEFT(Table1[[#This Row],[category &amp; sub-category]],SEARCH("/",Table1[[#This Row],[category &amp; sub-category]],1)-1)</f>
        <v>film &amp; video</v>
      </c>
      <c r="T580" t="str">
        <f>RIGHT(Table1[[#This Row],[category &amp; sub-category]],LEN(Table1[[#This Row],[category &amp; sub-category]])-SEARCH("/",Table1[[#This Row],[category &amp; sub-category]],1))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(Table1[[#This Row],[pledged]]/Table1[[#This Row],[goal]])*100</f>
        <v>101.11290322580646</v>
      </c>
      <c r="G581" t="s">
        <v>20</v>
      </c>
      <c r="H581">
        <v>87</v>
      </c>
      <c r="I581" s="4">
        <f>IFERROR(Table1[[#This Row],[pledged]]/Table1[[#This Row],[backers_count]],0)</f>
        <v>72.05747126436782</v>
      </c>
      <c r="J581" t="s">
        <v>21</v>
      </c>
      <c r="K581" t="s">
        <v>22</v>
      </c>
      <c r="L581">
        <v>1312693200</v>
      </c>
      <c r="M581" s="9">
        <f>(((Table1[[#This Row],[launched_at]]/60)/60)/24)+DATE(1970,1,1)</f>
        <v>40762.208333333336</v>
      </c>
      <c r="N581">
        <v>1313730000</v>
      </c>
      <c r="O581" s="9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LEFT(Table1[[#This Row],[category &amp; sub-category]],SEARCH("/",Table1[[#This Row],[category &amp; sub-category]],1)-1)</f>
        <v>music</v>
      </c>
      <c r="T581" t="str">
        <f>RIGHT(Table1[[#This Row],[category &amp; sub-category]],LEN(Table1[[#This Row],[category &amp; sub-category]])-SEARCH("/",Table1[[#This Row],[category &amp; sub-category]],1))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(Table1[[#This Row],[pledged]]/Table1[[#This Row],[goal]])*100</f>
        <v>341.5022831050228</v>
      </c>
      <c r="G582" t="s">
        <v>20</v>
      </c>
      <c r="H582">
        <v>3116</v>
      </c>
      <c r="I582" s="4">
        <f>IFERROR(Table1[[#This Row],[pledged]]/Table1[[#This Row],[backers_count]],0)</f>
        <v>48.003209242618745</v>
      </c>
      <c r="J582" t="s">
        <v>21</v>
      </c>
      <c r="K582" t="s">
        <v>22</v>
      </c>
      <c r="L582">
        <v>1393394400</v>
      </c>
      <c r="M582" s="9">
        <f>(((Table1[[#This Row],[launched_at]]/60)/60)/24)+DATE(1970,1,1)</f>
        <v>41696.25</v>
      </c>
      <c r="N582">
        <v>1394085600</v>
      </c>
      <c r="O582" s="9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LEFT(Table1[[#This Row],[category &amp; sub-category]],SEARCH("/",Table1[[#This Row],[category &amp; sub-category]],1)-1)</f>
        <v>theater</v>
      </c>
      <c r="T582" t="str">
        <f>RIGHT(Table1[[#This Row],[category &amp; sub-category]],LEN(Table1[[#This Row],[category &amp; sub-category]])-SEARCH("/",Table1[[#This Row],[category &amp; sub-category]],1))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(Table1[[#This Row],[pledged]]/Table1[[#This Row],[goal]])*100</f>
        <v>64.016666666666666</v>
      </c>
      <c r="G583" t="s">
        <v>14</v>
      </c>
      <c r="H583">
        <v>71</v>
      </c>
      <c r="I583" s="4">
        <f>IFERROR(Table1[[#This Row],[pledged]]/Table1[[#This Row],[backers_count]],0)</f>
        <v>54.098591549295776</v>
      </c>
      <c r="J583" t="s">
        <v>21</v>
      </c>
      <c r="K583" t="s">
        <v>22</v>
      </c>
      <c r="L583">
        <v>1304053200</v>
      </c>
      <c r="M583" s="9">
        <f>(((Table1[[#This Row],[launched_at]]/60)/60)/24)+DATE(1970,1,1)</f>
        <v>40662.208333333336</v>
      </c>
      <c r="N583">
        <v>1305349200</v>
      </c>
      <c r="O583" s="9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LEFT(Table1[[#This Row],[category &amp; sub-category]],SEARCH("/",Table1[[#This Row],[category &amp; sub-category]],1)-1)</f>
        <v>technology</v>
      </c>
      <c r="T583" t="str">
        <f>RIGHT(Table1[[#This Row],[category &amp; sub-category]],LEN(Table1[[#This Row],[category &amp; sub-category]])-SEARCH("/",Table1[[#This Row],[category &amp; sub-category]],1))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(Table1[[#This Row],[pledged]]/Table1[[#This Row],[goal]])*100</f>
        <v>52.080459770114942</v>
      </c>
      <c r="G584" t="s">
        <v>14</v>
      </c>
      <c r="H584">
        <v>42</v>
      </c>
      <c r="I584" s="4">
        <f>IFERROR(Table1[[#This Row],[pledged]]/Table1[[#This Row],[backers_count]],0)</f>
        <v>107.88095238095238</v>
      </c>
      <c r="J584" t="s">
        <v>21</v>
      </c>
      <c r="K584" t="s">
        <v>22</v>
      </c>
      <c r="L584">
        <v>1433912400</v>
      </c>
      <c r="M584" s="9">
        <f>(((Table1[[#This Row],[launched_at]]/60)/60)/24)+DATE(1970,1,1)</f>
        <v>42165.208333333328</v>
      </c>
      <c r="N584">
        <v>1434344400</v>
      </c>
      <c r="O584" s="9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LEFT(Table1[[#This Row],[category &amp; sub-category]],SEARCH("/",Table1[[#This Row],[category &amp; sub-category]],1)-1)</f>
        <v>games</v>
      </c>
      <c r="T584" t="str">
        <f>RIGHT(Table1[[#This Row],[category &amp; sub-category]],LEN(Table1[[#This Row],[category &amp; sub-category]])-SEARCH("/",Table1[[#This Row],[category &amp; sub-category]],1))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(Table1[[#This Row],[pledged]]/Table1[[#This Row],[goal]])*100</f>
        <v>322.40211640211641</v>
      </c>
      <c r="G585" t="s">
        <v>20</v>
      </c>
      <c r="H585">
        <v>909</v>
      </c>
      <c r="I585" s="4">
        <f>IFERROR(Table1[[#This Row],[pledged]]/Table1[[#This Row],[backers_count]],0)</f>
        <v>67.034103410341032</v>
      </c>
      <c r="J585" t="s">
        <v>21</v>
      </c>
      <c r="K585" t="s">
        <v>22</v>
      </c>
      <c r="L585">
        <v>1329717600</v>
      </c>
      <c r="M585" s="9">
        <f>(((Table1[[#This Row],[launched_at]]/60)/60)/24)+DATE(1970,1,1)</f>
        <v>40959.25</v>
      </c>
      <c r="N585">
        <v>1331186400</v>
      </c>
      <c r="O585" s="9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LEFT(Table1[[#This Row],[category &amp; sub-category]],SEARCH("/",Table1[[#This Row],[category &amp; sub-category]],1)-1)</f>
        <v>film &amp; video</v>
      </c>
      <c r="T585" t="str">
        <f>RIGHT(Table1[[#This Row],[category &amp; sub-category]],LEN(Table1[[#This Row],[category &amp; sub-category]])-SEARCH("/",Table1[[#This Row],[category &amp; sub-category]],1))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(Table1[[#This Row],[pledged]]/Table1[[#This Row],[goal]])*100</f>
        <v>119.50810185185186</v>
      </c>
      <c r="G586" t="s">
        <v>20</v>
      </c>
      <c r="H586">
        <v>1613</v>
      </c>
      <c r="I586" s="4">
        <f>IFERROR(Table1[[#This Row],[pledged]]/Table1[[#This Row],[backers_count]],0)</f>
        <v>64.01425914445133</v>
      </c>
      <c r="J586" t="s">
        <v>21</v>
      </c>
      <c r="K586" t="s">
        <v>22</v>
      </c>
      <c r="L586">
        <v>1335330000</v>
      </c>
      <c r="M586" s="9">
        <f>(((Table1[[#This Row],[launched_at]]/60)/60)/24)+DATE(1970,1,1)</f>
        <v>41024.208333333336</v>
      </c>
      <c r="N586">
        <v>1336539600</v>
      </c>
      <c r="O586" s="9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LEFT(Table1[[#This Row],[category &amp; sub-category]],SEARCH("/",Table1[[#This Row],[category &amp; sub-category]],1)-1)</f>
        <v>technology</v>
      </c>
      <c r="T586" t="str">
        <f>RIGHT(Table1[[#This Row],[category &amp; sub-category]],LEN(Table1[[#This Row],[category &amp; sub-category]])-SEARCH("/",Table1[[#This Row],[category &amp; sub-category]],1))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(Table1[[#This Row],[pledged]]/Table1[[#This Row],[goal]])*100</f>
        <v>146.79775280898878</v>
      </c>
      <c r="G587" t="s">
        <v>20</v>
      </c>
      <c r="H587">
        <v>136</v>
      </c>
      <c r="I587" s="4">
        <f>IFERROR(Table1[[#This Row],[pledged]]/Table1[[#This Row],[backers_count]],0)</f>
        <v>96.066176470588232</v>
      </c>
      <c r="J587" t="s">
        <v>21</v>
      </c>
      <c r="K587" t="s">
        <v>22</v>
      </c>
      <c r="L587">
        <v>1268888400</v>
      </c>
      <c r="M587" s="9">
        <f>(((Table1[[#This Row],[launched_at]]/60)/60)/24)+DATE(1970,1,1)</f>
        <v>40255.208333333336</v>
      </c>
      <c r="N587">
        <v>1269752400</v>
      </c>
      <c r="O587" s="9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LEFT(Table1[[#This Row],[category &amp; sub-category]],SEARCH("/",Table1[[#This Row],[category &amp; sub-category]],1)-1)</f>
        <v>publishing</v>
      </c>
      <c r="T587" t="str">
        <f>RIGHT(Table1[[#This Row],[category &amp; sub-category]],LEN(Table1[[#This Row],[category &amp; sub-category]])-SEARCH("/",Table1[[#This Row],[category &amp; sub-category]],1))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(Table1[[#This Row],[pledged]]/Table1[[#This Row],[goal]])*100</f>
        <v>950.57142857142856</v>
      </c>
      <c r="G588" t="s">
        <v>20</v>
      </c>
      <c r="H588">
        <v>130</v>
      </c>
      <c r="I588" s="4">
        <f>IFERROR(Table1[[#This Row],[pledged]]/Table1[[#This Row],[backers_count]],0)</f>
        <v>51.184615384615384</v>
      </c>
      <c r="J588" t="s">
        <v>21</v>
      </c>
      <c r="K588" t="s">
        <v>22</v>
      </c>
      <c r="L588">
        <v>1289973600</v>
      </c>
      <c r="M588" s="9">
        <f>(((Table1[[#This Row],[launched_at]]/60)/60)/24)+DATE(1970,1,1)</f>
        <v>40499.25</v>
      </c>
      <c r="N588">
        <v>1291615200</v>
      </c>
      <c r="O588" s="9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LEFT(Table1[[#This Row],[category &amp; sub-category]],SEARCH("/",Table1[[#This Row],[category &amp; sub-category]],1)-1)</f>
        <v>music</v>
      </c>
      <c r="T588" t="str">
        <f>RIGHT(Table1[[#This Row],[category &amp; sub-category]],LEN(Table1[[#This Row],[category &amp; sub-category]])-SEARCH("/",Table1[[#This Row],[category &amp; sub-category]],1))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(Table1[[#This Row],[pledged]]/Table1[[#This Row],[goal]])*100</f>
        <v>72.893617021276597</v>
      </c>
      <c r="G589" t="s">
        <v>14</v>
      </c>
      <c r="H589">
        <v>156</v>
      </c>
      <c r="I589" s="4">
        <f>IFERROR(Table1[[#This Row],[pledged]]/Table1[[#This Row],[backers_count]],0)</f>
        <v>43.92307692307692</v>
      </c>
      <c r="J589" t="s">
        <v>15</v>
      </c>
      <c r="K589" t="s">
        <v>16</v>
      </c>
      <c r="L589">
        <v>1547877600</v>
      </c>
      <c r="M589" s="9">
        <f>(((Table1[[#This Row],[launched_at]]/60)/60)/24)+DATE(1970,1,1)</f>
        <v>43484.25</v>
      </c>
      <c r="N589">
        <v>1552366800</v>
      </c>
      <c r="O589" s="9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LEFT(Table1[[#This Row],[category &amp; sub-category]],SEARCH("/",Table1[[#This Row],[category &amp; sub-category]],1)-1)</f>
        <v>food</v>
      </c>
      <c r="T589" t="str">
        <f>RIGHT(Table1[[#This Row],[category &amp; sub-category]],LEN(Table1[[#This Row],[category &amp; sub-category]])-SEARCH("/",Table1[[#This Row],[category &amp; sub-category]],1))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(Table1[[#This Row],[pledged]]/Table1[[#This Row],[goal]])*100</f>
        <v>79.008248730964468</v>
      </c>
      <c r="G590" t="s">
        <v>14</v>
      </c>
      <c r="H590">
        <v>1368</v>
      </c>
      <c r="I590" s="4">
        <f>IFERROR(Table1[[#This Row],[pledged]]/Table1[[#This Row],[backers_count]],0)</f>
        <v>91.021198830409361</v>
      </c>
      <c r="J590" t="s">
        <v>40</v>
      </c>
      <c r="K590" t="s">
        <v>41</v>
      </c>
      <c r="L590">
        <v>1269493200</v>
      </c>
      <c r="M590" s="9">
        <f>(((Table1[[#This Row],[launched_at]]/60)/60)/24)+DATE(1970,1,1)</f>
        <v>40262.208333333336</v>
      </c>
      <c r="N590">
        <v>1272171600</v>
      </c>
      <c r="O590" s="9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LEFT(Table1[[#This Row],[category &amp; sub-category]],SEARCH("/",Table1[[#This Row],[category &amp; sub-category]],1)-1)</f>
        <v>theater</v>
      </c>
      <c r="T590" t="str">
        <f>RIGHT(Table1[[#This Row],[category &amp; sub-category]],LEN(Table1[[#This Row],[category &amp; sub-category]])-SEARCH("/",Table1[[#This Row],[category &amp; sub-category]],1))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(Table1[[#This Row],[pledged]]/Table1[[#This Row],[goal]])*100</f>
        <v>64.721518987341781</v>
      </c>
      <c r="G591" t="s">
        <v>14</v>
      </c>
      <c r="H591">
        <v>102</v>
      </c>
      <c r="I591" s="4">
        <f>IFERROR(Table1[[#This Row],[pledged]]/Table1[[#This Row],[backers_count]],0)</f>
        <v>50.127450980392155</v>
      </c>
      <c r="J591" t="s">
        <v>21</v>
      </c>
      <c r="K591" t="s">
        <v>22</v>
      </c>
      <c r="L591">
        <v>1436072400</v>
      </c>
      <c r="M591" s="9">
        <f>(((Table1[[#This Row],[launched_at]]/60)/60)/24)+DATE(1970,1,1)</f>
        <v>42190.208333333328</v>
      </c>
      <c r="N591">
        <v>1436677200</v>
      </c>
      <c r="O591" s="9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LEFT(Table1[[#This Row],[category &amp; sub-category]],SEARCH("/",Table1[[#This Row],[category &amp; sub-category]],1)-1)</f>
        <v>film &amp; video</v>
      </c>
      <c r="T591" t="str">
        <f>RIGHT(Table1[[#This Row],[category &amp; sub-category]],LEN(Table1[[#This Row],[category &amp; sub-category]])-SEARCH("/",Table1[[#This Row],[category &amp; sub-category]],1))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(Table1[[#This Row],[pledged]]/Table1[[#This Row],[goal]])*100</f>
        <v>82.028169014084511</v>
      </c>
      <c r="G592" t="s">
        <v>14</v>
      </c>
      <c r="H592">
        <v>86</v>
      </c>
      <c r="I592" s="4">
        <f>IFERROR(Table1[[#This Row],[pledged]]/Table1[[#This Row],[backers_count]],0)</f>
        <v>67.720930232558146</v>
      </c>
      <c r="J592" t="s">
        <v>26</v>
      </c>
      <c r="K592" t="s">
        <v>27</v>
      </c>
      <c r="L592">
        <v>1419141600</v>
      </c>
      <c r="M592" s="9">
        <f>(((Table1[[#This Row],[launched_at]]/60)/60)/24)+DATE(1970,1,1)</f>
        <v>41994.25</v>
      </c>
      <c r="N592">
        <v>1420092000</v>
      </c>
      <c r="O592" s="9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LEFT(Table1[[#This Row],[category &amp; sub-category]],SEARCH("/",Table1[[#This Row],[category &amp; sub-category]],1)-1)</f>
        <v>publishing</v>
      </c>
      <c r="T592" t="str">
        <f>RIGHT(Table1[[#This Row],[category &amp; sub-category]],LEN(Table1[[#This Row],[category &amp; sub-category]])-SEARCH("/",Table1[[#This Row],[category &amp; sub-category]],1))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(Table1[[#This Row],[pledged]]/Table1[[#This Row],[goal]])*100</f>
        <v>1037.6666666666667</v>
      </c>
      <c r="G593" t="s">
        <v>20</v>
      </c>
      <c r="H593">
        <v>102</v>
      </c>
      <c r="I593" s="4">
        <f>IFERROR(Table1[[#This Row],[pledged]]/Table1[[#This Row],[backers_count]],0)</f>
        <v>61.03921568627451</v>
      </c>
      <c r="J593" t="s">
        <v>21</v>
      </c>
      <c r="K593" t="s">
        <v>22</v>
      </c>
      <c r="L593">
        <v>1279083600</v>
      </c>
      <c r="M593" s="9">
        <f>(((Table1[[#This Row],[launched_at]]/60)/60)/24)+DATE(1970,1,1)</f>
        <v>40373.208333333336</v>
      </c>
      <c r="N593">
        <v>1279947600</v>
      </c>
      <c r="O593" s="9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LEFT(Table1[[#This Row],[category &amp; sub-category]],SEARCH("/",Table1[[#This Row],[category &amp; sub-category]],1)-1)</f>
        <v>games</v>
      </c>
      <c r="T593" t="str">
        <f>RIGHT(Table1[[#This Row],[category &amp; sub-category]],LEN(Table1[[#This Row],[category &amp; sub-category]])-SEARCH("/",Table1[[#This Row],[category &amp; sub-category]],1))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(Table1[[#This Row],[pledged]]/Table1[[#This Row],[goal]])*100</f>
        <v>12.910076530612244</v>
      </c>
      <c r="G594" t="s">
        <v>14</v>
      </c>
      <c r="H594">
        <v>253</v>
      </c>
      <c r="I594" s="4">
        <f>IFERROR(Table1[[#This Row],[pledged]]/Table1[[#This Row],[backers_count]],0)</f>
        <v>80.011857707509876</v>
      </c>
      <c r="J594" t="s">
        <v>21</v>
      </c>
      <c r="K594" t="s">
        <v>22</v>
      </c>
      <c r="L594">
        <v>1401426000</v>
      </c>
      <c r="M594" s="9">
        <f>(((Table1[[#This Row],[launched_at]]/60)/60)/24)+DATE(1970,1,1)</f>
        <v>41789.208333333336</v>
      </c>
      <c r="N594">
        <v>1402203600</v>
      </c>
      <c r="O594" s="9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LEFT(Table1[[#This Row],[category &amp; sub-category]],SEARCH("/",Table1[[#This Row],[category &amp; sub-category]],1)-1)</f>
        <v>theater</v>
      </c>
      <c r="T594" t="str">
        <f>RIGHT(Table1[[#This Row],[category &amp; sub-category]],LEN(Table1[[#This Row],[category &amp; sub-category]])-SEARCH("/",Table1[[#This Row],[category &amp; sub-category]],1))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(Table1[[#This Row],[pledged]]/Table1[[#This Row],[goal]])*100</f>
        <v>154.84210526315789</v>
      </c>
      <c r="G595" t="s">
        <v>20</v>
      </c>
      <c r="H595">
        <v>4006</v>
      </c>
      <c r="I595" s="4">
        <f>IFERROR(Table1[[#This Row],[pledged]]/Table1[[#This Row],[backers_count]],0)</f>
        <v>47.001497753369947</v>
      </c>
      <c r="J595" t="s">
        <v>21</v>
      </c>
      <c r="K595" t="s">
        <v>22</v>
      </c>
      <c r="L595">
        <v>1395810000</v>
      </c>
      <c r="M595" s="9">
        <f>(((Table1[[#This Row],[launched_at]]/60)/60)/24)+DATE(1970,1,1)</f>
        <v>41724.208333333336</v>
      </c>
      <c r="N595">
        <v>1396933200</v>
      </c>
      <c r="O595" s="9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LEFT(Table1[[#This Row],[category &amp; sub-category]],SEARCH("/",Table1[[#This Row],[category &amp; sub-category]],1)-1)</f>
        <v>film &amp; video</v>
      </c>
      <c r="T595" t="str">
        <f>RIGHT(Table1[[#This Row],[category &amp; sub-category]],LEN(Table1[[#This Row],[category &amp; sub-category]])-SEARCH("/",Table1[[#This Row],[category &amp; sub-category]],1))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(Table1[[#This Row],[pledged]]/Table1[[#This Row],[goal]])*100</f>
        <v>7.0991735537190088</v>
      </c>
      <c r="G596" t="s">
        <v>14</v>
      </c>
      <c r="H596">
        <v>157</v>
      </c>
      <c r="I596" s="4">
        <f>IFERROR(Table1[[#This Row],[pledged]]/Table1[[#This Row],[backers_count]],0)</f>
        <v>71.127388535031841</v>
      </c>
      <c r="J596" t="s">
        <v>21</v>
      </c>
      <c r="K596" t="s">
        <v>22</v>
      </c>
      <c r="L596">
        <v>1467003600</v>
      </c>
      <c r="M596" s="9">
        <f>(((Table1[[#This Row],[launched_at]]/60)/60)/24)+DATE(1970,1,1)</f>
        <v>42548.208333333328</v>
      </c>
      <c r="N596">
        <v>1467262800</v>
      </c>
      <c r="O596" s="9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LEFT(Table1[[#This Row],[category &amp; sub-category]],SEARCH("/",Table1[[#This Row],[category &amp; sub-category]],1)-1)</f>
        <v>theater</v>
      </c>
      <c r="T596" t="str">
        <f>RIGHT(Table1[[#This Row],[category &amp; sub-category]],LEN(Table1[[#This Row],[category &amp; sub-category]])-SEARCH("/",Table1[[#This Row],[category &amp; sub-category]],1))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(Table1[[#This Row],[pledged]]/Table1[[#This Row],[goal]])*100</f>
        <v>208.52773826458036</v>
      </c>
      <c r="G597" t="s">
        <v>20</v>
      </c>
      <c r="H597">
        <v>1629</v>
      </c>
      <c r="I597" s="4">
        <f>IFERROR(Table1[[#This Row],[pledged]]/Table1[[#This Row],[backers_count]],0)</f>
        <v>89.99079189686924</v>
      </c>
      <c r="J597" t="s">
        <v>21</v>
      </c>
      <c r="K597" t="s">
        <v>22</v>
      </c>
      <c r="L597">
        <v>1268715600</v>
      </c>
      <c r="M597" s="9">
        <f>(((Table1[[#This Row],[launched_at]]/60)/60)/24)+DATE(1970,1,1)</f>
        <v>40253.208333333336</v>
      </c>
      <c r="N597">
        <v>1270530000</v>
      </c>
      <c r="O597" s="9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LEFT(Table1[[#This Row],[category &amp; sub-category]],SEARCH("/",Table1[[#This Row],[category &amp; sub-category]],1)-1)</f>
        <v>theater</v>
      </c>
      <c r="T597" t="str">
        <f>RIGHT(Table1[[#This Row],[category &amp; sub-category]],LEN(Table1[[#This Row],[category &amp; sub-category]])-SEARCH("/",Table1[[#This Row],[category &amp; sub-category]],1))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(Table1[[#This Row],[pledged]]/Table1[[#This Row],[goal]])*100</f>
        <v>99.683544303797461</v>
      </c>
      <c r="G598" t="s">
        <v>14</v>
      </c>
      <c r="H598">
        <v>183</v>
      </c>
      <c r="I598" s="4">
        <f>IFERROR(Table1[[#This Row],[pledged]]/Table1[[#This Row],[backers_count]],0)</f>
        <v>43.032786885245905</v>
      </c>
      <c r="J598" t="s">
        <v>21</v>
      </c>
      <c r="K598" t="s">
        <v>22</v>
      </c>
      <c r="L598">
        <v>1457157600</v>
      </c>
      <c r="M598" s="9">
        <f>(((Table1[[#This Row],[launched_at]]/60)/60)/24)+DATE(1970,1,1)</f>
        <v>42434.25</v>
      </c>
      <c r="N598">
        <v>1457762400</v>
      </c>
      <c r="O598" s="9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LEFT(Table1[[#This Row],[category &amp; sub-category]],SEARCH("/",Table1[[#This Row],[category &amp; sub-category]],1)-1)</f>
        <v>film &amp; video</v>
      </c>
      <c r="T598" t="str">
        <f>RIGHT(Table1[[#This Row],[category &amp; sub-category]],LEN(Table1[[#This Row],[category &amp; sub-category]])-SEARCH("/",Table1[[#This Row],[category &amp; sub-category]],1))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(Table1[[#This Row],[pledged]]/Table1[[#This Row],[goal]])*100</f>
        <v>201.59756097560978</v>
      </c>
      <c r="G599" t="s">
        <v>20</v>
      </c>
      <c r="H599">
        <v>2188</v>
      </c>
      <c r="I599" s="4">
        <f>IFERROR(Table1[[#This Row],[pledged]]/Table1[[#This Row],[backers_count]],0)</f>
        <v>67.997714808043881</v>
      </c>
      <c r="J599" t="s">
        <v>21</v>
      </c>
      <c r="K599" t="s">
        <v>22</v>
      </c>
      <c r="L599">
        <v>1573970400</v>
      </c>
      <c r="M599" s="9">
        <f>(((Table1[[#This Row],[launched_at]]/60)/60)/24)+DATE(1970,1,1)</f>
        <v>43786.25</v>
      </c>
      <c r="N599">
        <v>1575525600</v>
      </c>
      <c r="O599" s="9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LEFT(Table1[[#This Row],[category &amp; sub-category]],SEARCH("/",Table1[[#This Row],[category &amp; sub-category]],1)-1)</f>
        <v>theater</v>
      </c>
      <c r="T599" t="str">
        <f>RIGHT(Table1[[#This Row],[category &amp; sub-category]],LEN(Table1[[#This Row],[category &amp; sub-category]])-SEARCH("/",Table1[[#This Row],[category &amp; sub-category]],1))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(Table1[[#This Row],[pledged]]/Table1[[#This Row],[goal]])*100</f>
        <v>162.09032258064516</v>
      </c>
      <c r="G600" t="s">
        <v>20</v>
      </c>
      <c r="H600">
        <v>2409</v>
      </c>
      <c r="I600" s="4">
        <f>IFERROR(Table1[[#This Row],[pledged]]/Table1[[#This Row],[backers_count]],0)</f>
        <v>73.004566210045667</v>
      </c>
      <c r="J600" t="s">
        <v>107</v>
      </c>
      <c r="K600" t="s">
        <v>108</v>
      </c>
      <c r="L600">
        <v>1276578000</v>
      </c>
      <c r="M600" s="9">
        <f>(((Table1[[#This Row],[launched_at]]/60)/60)/24)+DATE(1970,1,1)</f>
        <v>40344.208333333336</v>
      </c>
      <c r="N600">
        <v>1279083600</v>
      </c>
      <c r="O600" s="9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LEFT(Table1[[#This Row],[category &amp; sub-category]],SEARCH("/",Table1[[#This Row],[category &amp; sub-category]],1)-1)</f>
        <v>music</v>
      </c>
      <c r="T600" t="str">
        <f>RIGHT(Table1[[#This Row],[category &amp; sub-category]],LEN(Table1[[#This Row],[category &amp; sub-category]])-SEARCH("/",Table1[[#This Row],[category &amp; sub-category]],1))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(Table1[[#This Row],[pledged]]/Table1[[#This Row],[goal]])*100</f>
        <v>3.6436208125445471</v>
      </c>
      <c r="G601" t="s">
        <v>14</v>
      </c>
      <c r="H601">
        <v>82</v>
      </c>
      <c r="I601" s="4">
        <f>IFERROR(Table1[[#This Row],[pledged]]/Table1[[#This Row],[backers_count]],0)</f>
        <v>62.341463414634148</v>
      </c>
      <c r="J601" t="s">
        <v>36</v>
      </c>
      <c r="K601" t="s">
        <v>37</v>
      </c>
      <c r="L601">
        <v>1423720800</v>
      </c>
      <c r="M601" s="9">
        <f>(((Table1[[#This Row],[launched_at]]/60)/60)/24)+DATE(1970,1,1)</f>
        <v>42047.25</v>
      </c>
      <c r="N601">
        <v>1424412000</v>
      </c>
      <c r="O601" s="9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LEFT(Table1[[#This Row],[category &amp; sub-category]],SEARCH("/",Table1[[#This Row],[category &amp; sub-category]],1)-1)</f>
        <v>film &amp; video</v>
      </c>
      <c r="T601" t="str">
        <f>RIGHT(Table1[[#This Row],[category &amp; sub-category]],LEN(Table1[[#This Row],[category &amp; sub-category]])-SEARCH("/",Table1[[#This Row],[category &amp; sub-category]],1))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(Table1[[#This Row],[pledged]]/Table1[[#This Row],[goal]])*100</f>
        <v>5</v>
      </c>
      <c r="G602" t="s">
        <v>14</v>
      </c>
      <c r="H602">
        <v>1</v>
      </c>
      <c r="I602" s="4">
        <f>IFERROR(Table1[[#This Row],[pledged]]/Table1[[#This Row],[backers_count]],0)</f>
        <v>5</v>
      </c>
      <c r="J602" t="s">
        <v>40</v>
      </c>
      <c r="K602" t="s">
        <v>41</v>
      </c>
      <c r="L602">
        <v>1375160400</v>
      </c>
      <c r="M602" s="9">
        <f>(((Table1[[#This Row],[launched_at]]/60)/60)/24)+DATE(1970,1,1)</f>
        <v>41485.208333333336</v>
      </c>
      <c r="N602">
        <v>1376197200</v>
      </c>
      <c r="O602" s="9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LEFT(Table1[[#This Row],[category &amp; sub-category]],SEARCH("/",Table1[[#This Row],[category &amp; sub-category]],1)-1)</f>
        <v>food</v>
      </c>
      <c r="T602" t="str">
        <f>RIGHT(Table1[[#This Row],[category &amp; sub-category]],LEN(Table1[[#This Row],[category &amp; sub-category]])-SEARCH("/",Table1[[#This Row],[category &amp; sub-category]],1))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(Table1[[#This Row],[pledged]]/Table1[[#This Row],[goal]])*100</f>
        <v>206.63492063492063</v>
      </c>
      <c r="G603" t="s">
        <v>20</v>
      </c>
      <c r="H603">
        <v>194</v>
      </c>
      <c r="I603" s="4">
        <f>IFERROR(Table1[[#This Row],[pledged]]/Table1[[#This Row],[backers_count]],0)</f>
        <v>67.103092783505161</v>
      </c>
      <c r="J603" t="s">
        <v>21</v>
      </c>
      <c r="K603" t="s">
        <v>22</v>
      </c>
      <c r="L603">
        <v>1401426000</v>
      </c>
      <c r="M603" s="9">
        <f>(((Table1[[#This Row],[launched_at]]/60)/60)/24)+DATE(1970,1,1)</f>
        <v>41789.208333333336</v>
      </c>
      <c r="N603">
        <v>1402894800</v>
      </c>
      <c r="O603" s="9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LEFT(Table1[[#This Row],[category &amp; sub-category]],SEARCH("/",Table1[[#This Row],[category &amp; sub-category]],1)-1)</f>
        <v>technology</v>
      </c>
      <c r="T603" t="str">
        <f>RIGHT(Table1[[#This Row],[category &amp; sub-category]],LEN(Table1[[#This Row],[category &amp; sub-category]])-SEARCH("/",Table1[[#This Row],[category &amp; sub-category]],1))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(Table1[[#This Row],[pledged]]/Table1[[#This Row],[goal]])*100</f>
        <v>128.23628691983123</v>
      </c>
      <c r="G604" t="s">
        <v>20</v>
      </c>
      <c r="H604">
        <v>1140</v>
      </c>
      <c r="I604" s="4">
        <f>IFERROR(Table1[[#This Row],[pledged]]/Table1[[#This Row],[backers_count]],0)</f>
        <v>79.978947368421046</v>
      </c>
      <c r="J604" t="s">
        <v>21</v>
      </c>
      <c r="K604" t="s">
        <v>22</v>
      </c>
      <c r="L604">
        <v>1433480400</v>
      </c>
      <c r="M604" s="9">
        <f>(((Table1[[#This Row],[launched_at]]/60)/60)/24)+DATE(1970,1,1)</f>
        <v>42160.208333333328</v>
      </c>
      <c r="N604">
        <v>1434430800</v>
      </c>
      <c r="O604" s="9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LEFT(Table1[[#This Row],[category &amp; sub-category]],SEARCH("/",Table1[[#This Row],[category &amp; sub-category]],1)-1)</f>
        <v>theater</v>
      </c>
      <c r="T604" t="str">
        <f>RIGHT(Table1[[#This Row],[category &amp; sub-category]],LEN(Table1[[#This Row],[category &amp; sub-category]])-SEARCH("/",Table1[[#This Row],[category &amp; sub-category]],1))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(Table1[[#This Row],[pledged]]/Table1[[#This Row],[goal]])*100</f>
        <v>119.66037735849055</v>
      </c>
      <c r="G605" t="s">
        <v>20</v>
      </c>
      <c r="H605">
        <v>102</v>
      </c>
      <c r="I605" s="4">
        <f>IFERROR(Table1[[#This Row],[pledged]]/Table1[[#This Row],[backers_count]],0)</f>
        <v>62.176470588235297</v>
      </c>
      <c r="J605" t="s">
        <v>21</v>
      </c>
      <c r="K605" t="s">
        <v>22</v>
      </c>
      <c r="L605">
        <v>1555563600</v>
      </c>
      <c r="M605" s="9">
        <f>(((Table1[[#This Row],[launched_at]]/60)/60)/24)+DATE(1970,1,1)</f>
        <v>43573.208333333328</v>
      </c>
      <c r="N605">
        <v>1557896400</v>
      </c>
      <c r="O605" s="9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LEFT(Table1[[#This Row],[category &amp; sub-category]],SEARCH("/",Table1[[#This Row],[category &amp; sub-category]],1)-1)</f>
        <v>theater</v>
      </c>
      <c r="T605" t="str">
        <f>RIGHT(Table1[[#This Row],[category &amp; sub-category]],LEN(Table1[[#This Row],[category &amp; sub-category]])-SEARCH("/",Table1[[#This Row],[category &amp; sub-category]],1))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(Table1[[#This Row],[pledged]]/Table1[[#This Row],[goal]])*100</f>
        <v>170.73055242390078</v>
      </c>
      <c r="G606" t="s">
        <v>20</v>
      </c>
      <c r="H606">
        <v>2857</v>
      </c>
      <c r="I606" s="4">
        <f>IFERROR(Table1[[#This Row],[pledged]]/Table1[[#This Row],[backers_count]],0)</f>
        <v>53.005950297514879</v>
      </c>
      <c r="J606" t="s">
        <v>21</v>
      </c>
      <c r="K606" t="s">
        <v>22</v>
      </c>
      <c r="L606">
        <v>1295676000</v>
      </c>
      <c r="M606" s="9">
        <f>(((Table1[[#This Row],[launched_at]]/60)/60)/24)+DATE(1970,1,1)</f>
        <v>40565.25</v>
      </c>
      <c r="N606">
        <v>1297490400</v>
      </c>
      <c r="O606" s="9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LEFT(Table1[[#This Row],[category &amp; sub-category]],SEARCH("/",Table1[[#This Row],[category &amp; sub-category]],1)-1)</f>
        <v>theater</v>
      </c>
      <c r="T606" t="str">
        <f>RIGHT(Table1[[#This Row],[category &amp; sub-category]],LEN(Table1[[#This Row],[category &amp; sub-category]])-SEARCH("/",Table1[[#This Row],[category &amp; sub-category]],1))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(Table1[[#This Row],[pledged]]/Table1[[#This Row],[goal]])*100</f>
        <v>187.21212121212122</v>
      </c>
      <c r="G607" t="s">
        <v>20</v>
      </c>
      <c r="H607">
        <v>107</v>
      </c>
      <c r="I607" s="4">
        <f>IFERROR(Table1[[#This Row],[pledged]]/Table1[[#This Row],[backers_count]],0)</f>
        <v>57.738317757009348</v>
      </c>
      <c r="J607" t="s">
        <v>21</v>
      </c>
      <c r="K607" t="s">
        <v>22</v>
      </c>
      <c r="L607">
        <v>1443848400</v>
      </c>
      <c r="M607" s="9">
        <f>(((Table1[[#This Row],[launched_at]]/60)/60)/24)+DATE(1970,1,1)</f>
        <v>42280.208333333328</v>
      </c>
      <c r="N607">
        <v>1447394400</v>
      </c>
      <c r="O607" s="9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LEFT(Table1[[#This Row],[category &amp; sub-category]],SEARCH("/",Table1[[#This Row],[category &amp; sub-category]],1)-1)</f>
        <v>publishing</v>
      </c>
      <c r="T607" t="str">
        <f>RIGHT(Table1[[#This Row],[category &amp; sub-category]],LEN(Table1[[#This Row],[category &amp; sub-category]])-SEARCH("/",Table1[[#This Row],[category &amp; sub-category]],1))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(Table1[[#This Row],[pledged]]/Table1[[#This Row],[goal]])*100</f>
        <v>188.38235294117646</v>
      </c>
      <c r="G608" t="s">
        <v>20</v>
      </c>
      <c r="H608">
        <v>160</v>
      </c>
      <c r="I608" s="4">
        <f>IFERROR(Table1[[#This Row],[pledged]]/Table1[[#This Row],[backers_count]],0)</f>
        <v>40.03125</v>
      </c>
      <c r="J608" t="s">
        <v>40</v>
      </c>
      <c r="K608" t="s">
        <v>41</v>
      </c>
      <c r="L608">
        <v>1457330400</v>
      </c>
      <c r="M608" s="9">
        <f>(((Table1[[#This Row],[launched_at]]/60)/60)/24)+DATE(1970,1,1)</f>
        <v>42436.25</v>
      </c>
      <c r="N608">
        <v>1458277200</v>
      </c>
      <c r="O608" s="9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LEFT(Table1[[#This Row],[category &amp; sub-category]],SEARCH("/",Table1[[#This Row],[category &amp; sub-category]],1)-1)</f>
        <v>music</v>
      </c>
      <c r="T608" t="str">
        <f>RIGHT(Table1[[#This Row],[category &amp; sub-category]],LEN(Table1[[#This Row],[category &amp; sub-category]])-SEARCH("/",Table1[[#This Row],[category &amp; sub-category]],1))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(Table1[[#This Row],[pledged]]/Table1[[#This Row],[goal]])*100</f>
        <v>131.29869186046511</v>
      </c>
      <c r="G609" t="s">
        <v>20</v>
      </c>
      <c r="H609">
        <v>2230</v>
      </c>
      <c r="I609" s="4">
        <f>IFERROR(Table1[[#This Row],[pledged]]/Table1[[#This Row],[backers_count]],0)</f>
        <v>81.016591928251117</v>
      </c>
      <c r="J609" t="s">
        <v>21</v>
      </c>
      <c r="K609" t="s">
        <v>22</v>
      </c>
      <c r="L609">
        <v>1395550800</v>
      </c>
      <c r="M609" s="9">
        <f>(((Table1[[#This Row],[launched_at]]/60)/60)/24)+DATE(1970,1,1)</f>
        <v>41721.208333333336</v>
      </c>
      <c r="N609">
        <v>1395723600</v>
      </c>
      <c r="O609" s="9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LEFT(Table1[[#This Row],[category &amp; sub-category]],SEARCH("/",Table1[[#This Row],[category &amp; sub-category]],1)-1)</f>
        <v>food</v>
      </c>
      <c r="T609" t="str">
        <f>RIGHT(Table1[[#This Row],[category &amp; sub-category]],LEN(Table1[[#This Row],[category &amp; sub-category]])-SEARCH("/",Table1[[#This Row],[category &amp; sub-category]],1))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(Table1[[#This Row],[pledged]]/Table1[[#This Row],[goal]])*100</f>
        <v>283.97435897435901</v>
      </c>
      <c r="G610" t="s">
        <v>20</v>
      </c>
      <c r="H610">
        <v>316</v>
      </c>
      <c r="I610" s="4">
        <f>IFERROR(Table1[[#This Row],[pledged]]/Table1[[#This Row],[backers_count]],0)</f>
        <v>35.047468354430379</v>
      </c>
      <c r="J610" t="s">
        <v>21</v>
      </c>
      <c r="K610" t="s">
        <v>22</v>
      </c>
      <c r="L610">
        <v>1551852000</v>
      </c>
      <c r="M610" s="9">
        <f>(((Table1[[#This Row],[launched_at]]/60)/60)/24)+DATE(1970,1,1)</f>
        <v>43530.25</v>
      </c>
      <c r="N610">
        <v>1552197600</v>
      </c>
      <c r="O610" s="9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LEFT(Table1[[#This Row],[category &amp; sub-category]],SEARCH("/",Table1[[#This Row],[category &amp; sub-category]],1)-1)</f>
        <v>music</v>
      </c>
      <c r="T610" t="str">
        <f>RIGHT(Table1[[#This Row],[category &amp; sub-category]],LEN(Table1[[#This Row],[category &amp; sub-category]])-SEARCH("/",Table1[[#This Row],[category &amp; sub-category]],1))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(Table1[[#This Row],[pledged]]/Table1[[#This Row],[goal]])*100</f>
        <v>120.41999999999999</v>
      </c>
      <c r="G611" t="s">
        <v>20</v>
      </c>
      <c r="H611">
        <v>117</v>
      </c>
      <c r="I611" s="4">
        <f>IFERROR(Table1[[#This Row],[pledged]]/Table1[[#This Row],[backers_count]],0)</f>
        <v>102.92307692307692</v>
      </c>
      <c r="J611" t="s">
        <v>21</v>
      </c>
      <c r="K611" t="s">
        <v>22</v>
      </c>
      <c r="L611">
        <v>1547618400</v>
      </c>
      <c r="M611" s="9">
        <f>(((Table1[[#This Row],[launched_at]]/60)/60)/24)+DATE(1970,1,1)</f>
        <v>43481.25</v>
      </c>
      <c r="N611">
        <v>1549087200</v>
      </c>
      <c r="O611" s="9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LEFT(Table1[[#This Row],[category &amp; sub-category]],SEARCH("/",Table1[[#This Row],[category &amp; sub-category]],1)-1)</f>
        <v>film &amp; video</v>
      </c>
      <c r="T611" t="str">
        <f>RIGHT(Table1[[#This Row],[category &amp; sub-category]],LEN(Table1[[#This Row],[category &amp; sub-category]])-SEARCH("/",Table1[[#This Row],[category &amp; sub-category]],1))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(Table1[[#This Row],[pledged]]/Table1[[#This Row],[goal]])*100</f>
        <v>419.0560747663551</v>
      </c>
      <c r="G612" t="s">
        <v>20</v>
      </c>
      <c r="H612">
        <v>6406</v>
      </c>
      <c r="I612" s="4">
        <f>IFERROR(Table1[[#This Row],[pledged]]/Table1[[#This Row],[backers_count]],0)</f>
        <v>27.998126756166094</v>
      </c>
      <c r="J612" t="s">
        <v>21</v>
      </c>
      <c r="K612" t="s">
        <v>22</v>
      </c>
      <c r="L612">
        <v>1355637600</v>
      </c>
      <c r="M612" s="9">
        <f>(((Table1[[#This Row],[launched_at]]/60)/60)/24)+DATE(1970,1,1)</f>
        <v>41259.25</v>
      </c>
      <c r="N612">
        <v>1356847200</v>
      </c>
      <c r="O612" s="9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LEFT(Table1[[#This Row],[category &amp; sub-category]],SEARCH("/",Table1[[#This Row],[category &amp; sub-category]],1)-1)</f>
        <v>theater</v>
      </c>
      <c r="T612" t="str">
        <f>RIGHT(Table1[[#This Row],[category &amp; sub-category]],LEN(Table1[[#This Row],[category &amp; sub-category]])-SEARCH("/",Table1[[#This Row],[category &amp; sub-category]],1))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(Table1[[#This Row],[pledged]]/Table1[[#This Row],[goal]])*100</f>
        <v>13.853658536585368</v>
      </c>
      <c r="G613" t="s">
        <v>74</v>
      </c>
      <c r="H613">
        <v>15</v>
      </c>
      <c r="I613" s="4">
        <f>IFERROR(Table1[[#This Row],[pledged]]/Table1[[#This Row],[backers_count]],0)</f>
        <v>75.733333333333334</v>
      </c>
      <c r="J613" t="s">
        <v>21</v>
      </c>
      <c r="K613" t="s">
        <v>22</v>
      </c>
      <c r="L613">
        <v>1374728400</v>
      </c>
      <c r="M613" s="9">
        <f>(((Table1[[#This Row],[launched_at]]/60)/60)/24)+DATE(1970,1,1)</f>
        <v>41480.208333333336</v>
      </c>
      <c r="N613">
        <v>1375765200</v>
      </c>
      <c r="O613" s="9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LEFT(Table1[[#This Row],[category &amp; sub-category]],SEARCH("/",Table1[[#This Row],[category &amp; sub-category]],1)-1)</f>
        <v>theater</v>
      </c>
      <c r="T613" t="str">
        <f>RIGHT(Table1[[#This Row],[category &amp; sub-category]],LEN(Table1[[#This Row],[category &amp; sub-category]])-SEARCH("/",Table1[[#This Row],[category &amp; sub-category]],1))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(Table1[[#This Row],[pledged]]/Table1[[#This Row],[goal]])*100</f>
        <v>139.43548387096774</v>
      </c>
      <c r="G614" t="s">
        <v>20</v>
      </c>
      <c r="H614">
        <v>192</v>
      </c>
      <c r="I614" s="4">
        <f>IFERROR(Table1[[#This Row],[pledged]]/Table1[[#This Row],[backers_count]],0)</f>
        <v>45.026041666666664</v>
      </c>
      <c r="J614" t="s">
        <v>21</v>
      </c>
      <c r="K614" t="s">
        <v>22</v>
      </c>
      <c r="L614">
        <v>1287810000</v>
      </c>
      <c r="M614" s="9">
        <f>(((Table1[[#This Row],[launched_at]]/60)/60)/24)+DATE(1970,1,1)</f>
        <v>40474.208333333336</v>
      </c>
      <c r="N614">
        <v>1289800800</v>
      </c>
      <c r="O614" s="9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LEFT(Table1[[#This Row],[category &amp; sub-category]],SEARCH("/",Table1[[#This Row],[category &amp; sub-category]],1)-1)</f>
        <v>music</v>
      </c>
      <c r="T614" t="str">
        <f>RIGHT(Table1[[#This Row],[category &amp; sub-category]],LEN(Table1[[#This Row],[category &amp; sub-category]])-SEARCH("/",Table1[[#This Row],[category &amp; sub-category]],1))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(Table1[[#This Row],[pledged]]/Table1[[#This Row],[goal]])*100</f>
        <v>174</v>
      </c>
      <c r="G615" t="s">
        <v>20</v>
      </c>
      <c r="H615">
        <v>26</v>
      </c>
      <c r="I615" s="4">
        <f>IFERROR(Table1[[#This Row],[pledged]]/Table1[[#This Row],[backers_count]],0)</f>
        <v>73.615384615384613</v>
      </c>
      <c r="J615" t="s">
        <v>15</v>
      </c>
      <c r="K615" t="s">
        <v>16</v>
      </c>
      <c r="L615">
        <v>1503723600</v>
      </c>
      <c r="M615" s="9">
        <f>(((Table1[[#This Row],[launched_at]]/60)/60)/24)+DATE(1970,1,1)</f>
        <v>42973.208333333328</v>
      </c>
      <c r="N615">
        <v>1504501200</v>
      </c>
      <c r="O615" s="9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LEFT(Table1[[#This Row],[category &amp; sub-category]],SEARCH("/",Table1[[#This Row],[category &amp; sub-category]],1)-1)</f>
        <v>theater</v>
      </c>
      <c r="T615" t="str">
        <f>RIGHT(Table1[[#This Row],[category &amp; sub-category]],LEN(Table1[[#This Row],[category &amp; sub-category]])-SEARCH("/",Table1[[#This Row],[category &amp; sub-category]],1))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(Table1[[#This Row],[pledged]]/Table1[[#This Row],[goal]])*100</f>
        <v>155.49056603773585</v>
      </c>
      <c r="G616" t="s">
        <v>20</v>
      </c>
      <c r="H616">
        <v>723</v>
      </c>
      <c r="I616" s="4">
        <f>IFERROR(Table1[[#This Row],[pledged]]/Table1[[#This Row],[backers_count]],0)</f>
        <v>56.991701244813278</v>
      </c>
      <c r="J616" t="s">
        <v>21</v>
      </c>
      <c r="K616" t="s">
        <v>22</v>
      </c>
      <c r="L616">
        <v>1484114400</v>
      </c>
      <c r="M616" s="9">
        <f>(((Table1[[#This Row],[launched_at]]/60)/60)/24)+DATE(1970,1,1)</f>
        <v>42746.25</v>
      </c>
      <c r="N616">
        <v>1485669600</v>
      </c>
      <c r="O616" s="9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LEFT(Table1[[#This Row],[category &amp; sub-category]],SEARCH("/",Table1[[#This Row],[category &amp; sub-category]],1)-1)</f>
        <v>theater</v>
      </c>
      <c r="T616" t="str">
        <f>RIGHT(Table1[[#This Row],[category &amp; sub-category]],LEN(Table1[[#This Row],[category &amp; sub-category]])-SEARCH("/",Table1[[#This Row],[category &amp; sub-category]],1))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(Table1[[#This Row],[pledged]]/Table1[[#This Row],[goal]])*100</f>
        <v>170.44705882352943</v>
      </c>
      <c r="G617" t="s">
        <v>20</v>
      </c>
      <c r="H617">
        <v>170</v>
      </c>
      <c r="I617" s="4">
        <f>IFERROR(Table1[[#This Row],[pledged]]/Table1[[#This Row],[backers_count]],0)</f>
        <v>85.223529411764702</v>
      </c>
      <c r="J617" t="s">
        <v>107</v>
      </c>
      <c r="K617" t="s">
        <v>108</v>
      </c>
      <c r="L617">
        <v>1461906000</v>
      </c>
      <c r="M617" s="9">
        <f>(((Table1[[#This Row],[launched_at]]/60)/60)/24)+DATE(1970,1,1)</f>
        <v>42489.208333333328</v>
      </c>
      <c r="N617">
        <v>1462770000</v>
      </c>
      <c r="O617" s="9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LEFT(Table1[[#This Row],[category &amp; sub-category]],SEARCH("/",Table1[[#This Row],[category &amp; sub-category]],1)-1)</f>
        <v>theater</v>
      </c>
      <c r="T617" t="str">
        <f>RIGHT(Table1[[#This Row],[category &amp; sub-category]],LEN(Table1[[#This Row],[category &amp; sub-category]])-SEARCH("/",Table1[[#This Row],[category &amp; sub-category]],1))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(Table1[[#This Row],[pledged]]/Table1[[#This Row],[goal]])*100</f>
        <v>189.515625</v>
      </c>
      <c r="G618" t="s">
        <v>20</v>
      </c>
      <c r="H618">
        <v>238</v>
      </c>
      <c r="I618" s="4">
        <f>IFERROR(Table1[[#This Row],[pledged]]/Table1[[#This Row],[backers_count]],0)</f>
        <v>50.962184873949582</v>
      </c>
      <c r="J618" t="s">
        <v>40</v>
      </c>
      <c r="K618" t="s">
        <v>41</v>
      </c>
      <c r="L618">
        <v>1379653200</v>
      </c>
      <c r="M618" s="9">
        <f>(((Table1[[#This Row],[launched_at]]/60)/60)/24)+DATE(1970,1,1)</f>
        <v>41537.208333333336</v>
      </c>
      <c r="N618">
        <v>1379739600</v>
      </c>
      <c r="O618" s="9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LEFT(Table1[[#This Row],[category &amp; sub-category]],SEARCH("/",Table1[[#This Row],[category &amp; sub-category]],1)-1)</f>
        <v>music</v>
      </c>
      <c r="T618" t="str">
        <f>RIGHT(Table1[[#This Row],[category &amp; sub-category]],LEN(Table1[[#This Row],[category &amp; sub-category]])-SEARCH("/",Table1[[#This Row],[category &amp; sub-category]],1))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(Table1[[#This Row],[pledged]]/Table1[[#This Row],[goal]])*100</f>
        <v>249.71428571428572</v>
      </c>
      <c r="G619" t="s">
        <v>20</v>
      </c>
      <c r="H619">
        <v>55</v>
      </c>
      <c r="I619" s="4">
        <f>IFERROR(Table1[[#This Row],[pledged]]/Table1[[#This Row],[backers_count]],0)</f>
        <v>63.563636363636363</v>
      </c>
      <c r="J619" t="s">
        <v>21</v>
      </c>
      <c r="K619" t="s">
        <v>22</v>
      </c>
      <c r="L619">
        <v>1401858000</v>
      </c>
      <c r="M619" s="9">
        <f>(((Table1[[#This Row],[launched_at]]/60)/60)/24)+DATE(1970,1,1)</f>
        <v>41794.208333333336</v>
      </c>
      <c r="N619">
        <v>1402722000</v>
      </c>
      <c r="O619" s="9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LEFT(Table1[[#This Row],[category &amp; sub-category]],SEARCH("/",Table1[[#This Row],[category &amp; sub-category]],1)-1)</f>
        <v>theater</v>
      </c>
      <c r="T619" t="str">
        <f>RIGHT(Table1[[#This Row],[category &amp; sub-category]],LEN(Table1[[#This Row],[category &amp; sub-category]])-SEARCH("/",Table1[[#This Row],[category &amp; sub-category]],1))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(Table1[[#This Row],[pledged]]/Table1[[#This Row],[goal]])*100</f>
        <v>48.860523665659613</v>
      </c>
      <c r="G620" t="s">
        <v>14</v>
      </c>
      <c r="H620">
        <v>1198</v>
      </c>
      <c r="I620" s="4">
        <f>IFERROR(Table1[[#This Row],[pledged]]/Table1[[#This Row],[backers_count]],0)</f>
        <v>80.999165275459092</v>
      </c>
      <c r="J620" t="s">
        <v>21</v>
      </c>
      <c r="K620" t="s">
        <v>22</v>
      </c>
      <c r="L620">
        <v>1367470800</v>
      </c>
      <c r="M620" s="9">
        <f>(((Table1[[#This Row],[launched_at]]/60)/60)/24)+DATE(1970,1,1)</f>
        <v>41396.208333333336</v>
      </c>
      <c r="N620">
        <v>1369285200</v>
      </c>
      <c r="O620" s="9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LEFT(Table1[[#This Row],[category &amp; sub-category]],SEARCH("/",Table1[[#This Row],[category &amp; sub-category]],1)-1)</f>
        <v>publishing</v>
      </c>
      <c r="T620" t="str">
        <f>RIGHT(Table1[[#This Row],[category &amp; sub-category]],LEN(Table1[[#This Row],[category &amp; sub-category]])-SEARCH("/",Table1[[#This Row],[category &amp; sub-category]],1))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(Table1[[#This Row],[pledged]]/Table1[[#This Row],[goal]])*100</f>
        <v>28.461970393057683</v>
      </c>
      <c r="G621" t="s">
        <v>14</v>
      </c>
      <c r="H621">
        <v>648</v>
      </c>
      <c r="I621" s="4">
        <f>IFERROR(Table1[[#This Row],[pledged]]/Table1[[#This Row],[backers_count]],0)</f>
        <v>86.044753086419746</v>
      </c>
      <c r="J621" t="s">
        <v>21</v>
      </c>
      <c r="K621" t="s">
        <v>22</v>
      </c>
      <c r="L621">
        <v>1304658000</v>
      </c>
      <c r="M621" s="9">
        <f>(((Table1[[#This Row],[launched_at]]/60)/60)/24)+DATE(1970,1,1)</f>
        <v>40669.208333333336</v>
      </c>
      <c r="N621">
        <v>1304744400</v>
      </c>
      <c r="O621" s="9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LEFT(Table1[[#This Row],[category &amp; sub-category]],SEARCH("/",Table1[[#This Row],[category &amp; sub-category]],1)-1)</f>
        <v>theater</v>
      </c>
      <c r="T621" t="str">
        <f>RIGHT(Table1[[#This Row],[category &amp; sub-category]],LEN(Table1[[#This Row],[category &amp; sub-category]])-SEARCH("/",Table1[[#This Row],[category &amp; sub-category]],1))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(Table1[[#This Row],[pledged]]/Table1[[#This Row],[goal]])*100</f>
        <v>268.02325581395348</v>
      </c>
      <c r="G622" t="s">
        <v>20</v>
      </c>
      <c r="H622">
        <v>128</v>
      </c>
      <c r="I622" s="4">
        <f>IFERROR(Table1[[#This Row],[pledged]]/Table1[[#This Row],[backers_count]],0)</f>
        <v>90.0390625</v>
      </c>
      <c r="J622" t="s">
        <v>26</v>
      </c>
      <c r="K622" t="s">
        <v>27</v>
      </c>
      <c r="L622">
        <v>1467954000</v>
      </c>
      <c r="M622" s="9">
        <f>(((Table1[[#This Row],[launched_at]]/60)/60)/24)+DATE(1970,1,1)</f>
        <v>42559.208333333328</v>
      </c>
      <c r="N622">
        <v>1468299600</v>
      </c>
      <c r="O622" s="9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LEFT(Table1[[#This Row],[category &amp; sub-category]],SEARCH("/",Table1[[#This Row],[category &amp; sub-category]],1)-1)</f>
        <v>photography</v>
      </c>
      <c r="T622" t="str">
        <f>RIGHT(Table1[[#This Row],[category &amp; sub-category]],LEN(Table1[[#This Row],[category &amp; sub-category]])-SEARCH("/",Table1[[#This Row],[category &amp; sub-category]],1))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(Table1[[#This Row],[pledged]]/Table1[[#This Row],[goal]])*100</f>
        <v>619.80078125</v>
      </c>
      <c r="G623" t="s">
        <v>20</v>
      </c>
      <c r="H623">
        <v>2144</v>
      </c>
      <c r="I623" s="4">
        <f>IFERROR(Table1[[#This Row],[pledged]]/Table1[[#This Row],[backers_count]],0)</f>
        <v>74.006063432835816</v>
      </c>
      <c r="J623" t="s">
        <v>21</v>
      </c>
      <c r="K623" t="s">
        <v>22</v>
      </c>
      <c r="L623">
        <v>1473742800</v>
      </c>
      <c r="M623" s="9">
        <f>(((Table1[[#This Row],[launched_at]]/60)/60)/24)+DATE(1970,1,1)</f>
        <v>42626.208333333328</v>
      </c>
      <c r="N623">
        <v>1474174800</v>
      </c>
      <c r="O623" s="9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LEFT(Table1[[#This Row],[category &amp; sub-category]],SEARCH("/",Table1[[#This Row],[category &amp; sub-category]],1)-1)</f>
        <v>theater</v>
      </c>
      <c r="T623" t="str">
        <f>RIGHT(Table1[[#This Row],[category &amp; sub-category]],LEN(Table1[[#This Row],[category &amp; sub-category]])-SEARCH("/",Table1[[#This Row],[category &amp; sub-category]],1))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(Table1[[#This Row],[pledged]]/Table1[[#This Row],[goal]])*100</f>
        <v>3.1301587301587301</v>
      </c>
      <c r="G624" t="s">
        <v>14</v>
      </c>
      <c r="H624">
        <v>64</v>
      </c>
      <c r="I624" s="4">
        <f>IFERROR(Table1[[#This Row],[pledged]]/Table1[[#This Row],[backers_count]],0)</f>
        <v>92.4375</v>
      </c>
      <c r="J624" t="s">
        <v>21</v>
      </c>
      <c r="K624" t="s">
        <v>22</v>
      </c>
      <c r="L624">
        <v>1523768400</v>
      </c>
      <c r="M624" s="9">
        <f>(((Table1[[#This Row],[launched_at]]/60)/60)/24)+DATE(1970,1,1)</f>
        <v>43205.208333333328</v>
      </c>
      <c r="N624">
        <v>1526014800</v>
      </c>
      <c r="O624" s="9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LEFT(Table1[[#This Row],[category &amp; sub-category]],SEARCH("/",Table1[[#This Row],[category &amp; sub-category]],1)-1)</f>
        <v>music</v>
      </c>
      <c r="T624" t="str">
        <f>RIGHT(Table1[[#This Row],[category &amp; sub-category]],LEN(Table1[[#This Row],[category &amp; sub-category]])-SEARCH("/",Table1[[#This Row],[category &amp; sub-category]],1))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(Table1[[#This Row],[pledged]]/Table1[[#This Row],[goal]])*100</f>
        <v>159.92152704135739</v>
      </c>
      <c r="G625" t="s">
        <v>20</v>
      </c>
      <c r="H625">
        <v>2693</v>
      </c>
      <c r="I625" s="4">
        <f>IFERROR(Table1[[#This Row],[pledged]]/Table1[[#This Row],[backers_count]],0)</f>
        <v>55.999257333828446</v>
      </c>
      <c r="J625" t="s">
        <v>40</v>
      </c>
      <c r="K625" t="s">
        <v>41</v>
      </c>
      <c r="L625">
        <v>1437022800</v>
      </c>
      <c r="M625" s="9">
        <f>(((Table1[[#This Row],[launched_at]]/60)/60)/24)+DATE(1970,1,1)</f>
        <v>42201.208333333328</v>
      </c>
      <c r="N625">
        <v>1437454800</v>
      </c>
      <c r="O625" s="9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LEFT(Table1[[#This Row],[category &amp; sub-category]],SEARCH("/",Table1[[#This Row],[category &amp; sub-category]],1)-1)</f>
        <v>theater</v>
      </c>
      <c r="T625" t="str">
        <f>RIGHT(Table1[[#This Row],[category &amp; sub-category]],LEN(Table1[[#This Row],[category &amp; sub-category]])-SEARCH("/",Table1[[#This Row],[category &amp; sub-category]],1))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(Table1[[#This Row],[pledged]]/Table1[[#This Row],[goal]])*100</f>
        <v>279.39215686274508</v>
      </c>
      <c r="G626" t="s">
        <v>20</v>
      </c>
      <c r="H626">
        <v>432</v>
      </c>
      <c r="I626" s="4">
        <f>IFERROR(Table1[[#This Row],[pledged]]/Table1[[#This Row],[backers_count]],0)</f>
        <v>32.983796296296298</v>
      </c>
      <c r="J626" t="s">
        <v>21</v>
      </c>
      <c r="K626" t="s">
        <v>22</v>
      </c>
      <c r="L626">
        <v>1422165600</v>
      </c>
      <c r="M626" s="9">
        <f>(((Table1[[#This Row],[launched_at]]/60)/60)/24)+DATE(1970,1,1)</f>
        <v>42029.25</v>
      </c>
      <c r="N626">
        <v>1422684000</v>
      </c>
      <c r="O626" s="9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LEFT(Table1[[#This Row],[category &amp; sub-category]],SEARCH("/",Table1[[#This Row],[category &amp; sub-category]],1)-1)</f>
        <v>photography</v>
      </c>
      <c r="T626" t="str">
        <f>RIGHT(Table1[[#This Row],[category &amp; sub-category]],LEN(Table1[[#This Row],[category &amp; sub-category]])-SEARCH("/",Table1[[#This Row],[category &amp; sub-category]],1))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(Table1[[#This Row],[pledged]]/Table1[[#This Row],[goal]])*100</f>
        <v>77.373333333333335</v>
      </c>
      <c r="G627" t="s">
        <v>14</v>
      </c>
      <c r="H627">
        <v>62</v>
      </c>
      <c r="I627" s="4">
        <f>IFERROR(Table1[[#This Row],[pledged]]/Table1[[#This Row],[backers_count]],0)</f>
        <v>93.596774193548384</v>
      </c>
      <c r="J627" t="s">
        <v>21</v>
      </c>
      <c r="K627" t="s">
        <v>22</v>
      </c>
      <c r="L627">
        <v>1580104800</v>
      </c>
      <c r="M627" s="9">
        <f>(((Table1[[#This Row],[launched_at]]/60)/60)/24)+DATE(1970,1,1)</f>
        <v>43857.25</v>
      </c>
      <c r="N627">
        <v>1581314400</v>
      </c>
      <c r="O627" s="9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LEFT(Table1[[#This Row],[category &amp; sub-category]],SEARCH("/",Table1[[#This Row],[category &amp; sub-category]],1)-1)</f>
        <v>theater</v>
      </c>
      <c r="T627" t="str">
        <f>RIGHT(Table1[[#This Row],[category &amp; sub-category]],LEN(Table1[[#This Row],[category &amp; sub-category]])-SEARCH("/",Table1[[#This Row],[category &amp; sub-category]],1))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(Table1[[#This Row],[pledged]]/Table1[[#This Row],[goal]])*100</f>
        <v>206.32812500000003</v>
      </c>
      <c r="G628" t="s">
        <v>20</v>
      </c>
      <c r="H628">
        <v>189</v>
      </c>
      <c r="I628" s="4">
        <f>IFERROR(Table1[[#This Row],[pledged]]/Table1[[#This Row],[backers_count]],0)</f>
        <v>69.867724867724874</v>
      </c>
      <c r="J628" t="s">
        <v>21</v>
      </c>
      <c r="K628" t="s">
        <v>22</v>
      </c>
      <c r="L628">
        <v>1285650000</v>
      </c>
      <c r="M628" s="9">
        <f>(((Table1[[#This Row],[launched_at]]/60)/60)/24)+DATE(1970,1,1)</f>
        <v>40449.208333333336</v>
      </c>
      <c r="N628">
        <v>1286427600</v>
      </c>
      <c r="O628" s="9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LEFT(Table1[[#This Row],[category &amp; sub-category]],SEARCH("/",Table1[[#This Row],[category &amp; sub-category]],1)-1)</f>
        <v>theater</v>
      </c>
      <c r="T628" t="str">
        <f>RIGHT(Table1[[#This Row],[category &amp; sub-category]],LEN(Table1[[#This Row],[category &amp; sub-category]])-SEARCH("/",Table1[[#This Row],[category &amp; sub-category]],1))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(Table1[[#This Row],[pledged]]/Table1[[#This Row],[goal]])*100</f>
        <v>694.25</v>
      </c>
      <c r="G629" t="s">
        <v>20</v>
      </c>
      <c r="H629">
        <v>154</v>
      </c>
      <c r="I629" s="4">
        <f>IFERROR(Table1[[#This Row],[pledged]]/Table1[[#This Row],[backers_count]],0)</f>
        <v>72.129870129870127</v>
      </c>
      <c r="J629" t="s">
        <v>40</v>
      </c>
      <c r="K629" t="s">
        <v>41</v>
      </c>
      <c r="L629">
        <v>1276664400</v>
      </c>
      <c r="M629" s="9">
        <f>(((Table1[[#This Row],[launched_at]]/60)/60)/24)+DATE(1970,1,1)</f>
        <v>40345.208333333336</v>
      </c>
      <c r="N629">
        <v>1278738000</v>
      </c>
      <c r="O629" s="9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LEFT(Table1[[#This Row],[category &amp; sub-category]],SEARCH("/",Table1[[#This Row],[category &amp; sub-category]],1)-1)</f>
        <v>food</v>
      </c>
      <c r="T629" t="str">
        <f>RIGHT(Table1[[#This Row],[category &amp; sub-category]],LEN(Table1[[#This Row],[category &amp; sub-category]])-SEARCH("/",Table1[[#This Row],[category &amp; sub-category]],1))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(Table1[[#This Row],[pledged]]/Table1[[#This Row],[goal]])*100</f>
        <v>151.78947368421052</v>
      </c>
      <c r="G630" t="s">
        <v>20</v>
      </c>
      <c r="H630">
        <v>96</v>
      </c>
      <c r="I630" s="4">
        <f>IFERROR(Table1[[#This Row],[pledged]]/Table1[[#This Row],[backers_count]],0)</f>
        <v>30.041666666666668</v>
      </c>
      <c r="J630" t="s">
        <v>21</v>
      </c>
      <c r="K630" t="s">
        <v>22</v>
      </c>
      <c r="L630">
        <v>1286168400</v>
      </c>
      <c r="M630" s="9">
        <f>(((Table1[[#This Row],[launched_at]]/60)/60)/24)+DATE(1970,1,1)</f>
        <v>40455.208333333336</v>
      </c>
      <c r="N630">
        <v>1286427600</v>
      </c>
      <c r="O630" s="9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LEFT(Table1[[#This Row],[category &amp; sub-category]],SEARCH("/",Table1[[#This Row],[category &amp; sub-category]],1)-1)</f>
        <v>music</v>
      </c>
      <c r="T630" t="str">
        <f>RIGHT(Table1[[#This Row],[category &amp; sub-category]],LEN(Table1[[#This Row],[category &amp; sub-category]])-SEARCH("/",Table1[[#This Row],[category &amp; sub-category]],1))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(Table1[[#This Row],[pledged]]/Table1[[#This Row],[goal]])*100</f>
        <v>64.58207217694995</v>
      </c>
      <c r="G631" t="s">
        <v>14</v>
      </c>
      <c r="H631">
        <v>750</v>
      </c>
      <c r="I631" s="4">
        <f>IFERROR(Table1[[#This Row],[pledged]]/Table1[[#This Row],[backers_count]],0)</f>
        <v>73.968000000000004</v>
      </c>
      <c r="J631" t="s">
        <v>21</v>
      </c>
      <c r="K631" t="s">
        <v>22</v>
      </c>
      <c r="L631">
        <v>1467781200</v>
      </c>
      <c r="M631" s="9">
        <f>(((Table1[[#This Row],[launched_at]]/60)/60)/24)+DATE(1970,1,1)</f>
        <v>42557.208333333328</v>
      </c>
      <c r="N631">
        <v>1467954000</v>
      </c>
      <c r="O631" s="9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LEFT(Table1[[#This Row],[category &amp; sub-category]],SEARCH("/",Table1[[#This Row],[category &amp; sub-category]],1)-1)</f>
        <v>theater</v>
      </c>
      <c r="T631" t="str">
        <f>RIGHT(Table1[[#This Row],[category &amp; sub-category]],LEN(Table1[[#This Row],[category &amp; sub-category]])-SEARCH("/",Table1[[#This Row],[category &amp; sub-category]],1))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(Table1[[#This Row],[pledged]]/Table1[[#This Row],[goal]])*100</f>
        <v>62.873684210526314</v>
      </c>
      <c r="G632" t="s">
        <v>74</v>
      </c>
      <c r="H632">
        <v>87</v>
      </c>
      <c r="I632" s="4">
        <f>IFERROR(Table1[[#This Row],[pledged]]/Table1[[#This Row],[backers_count]],0)</f>
        <v>68.65517241379311</v>
      </c>
      <c r="J632" t="s">
        <v>21</v>
      </c>
      <c r="K632" t="s">
        <v>22</v>
      </c>
      <c r="L632">
        <v>1556686800</v>
      </c>
      <c r="M632" s="9">
        <f>(((Table1[[#This Row],[launched_at]]/60)/60)/24)+DATE(1970,1,1)</f>
        <v>43586.208333333328</v>
      </c>
      <c r="N632">
        <v>1557637200</v>
      </c>
      <c r="O632" s="9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LEFT(Table1[[#This Row],[category &amp; sub-category]],SEARCH("/",Table1[[#This Row],[category &amp; sub-category]],1)-1)</f>
        <v>theater</v>
      </c>
      <c r="T632" t="str">
        <f>RIGHT(Table1[[#This Row],[category &amp; sub-category]],LEN(Table1[[#This Row],[category &amp; sub-category]])-SEARCH("/",Table1[[#This Row],[category &amp; sub-category]],1))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(Table1[[#This Row],[pledged]]/Table1[[#This Row],[goal]])*100</f>
        <v>310.39864864864865</v>
      </c>
      <c r="G633" t="s">
        <v>20</v>
      </c>
      <c r="H633">
        <v>3063</v>
      </c>
      <c r="I633" s="4">
        <f>IFERROR(Table1[[#This Row],[pledged]]/Table1[[#This Row],[backers_count]],0)</f>
        <v>59.992164544564154</v>
      </c>
      <c r="J633" t="s">
        <v>21</v>
      </c>
      <c r="K633" t="s">
        <v>22</v>
      </c>
      <c r="L633">
        <v>1553576400</v>
      </c>
      <c r="M633" s="9">
        <f>(((Table1[[#This Row],[launched_at]]/60)/60)/24)+DATE(1970,1,1)</f>
        <v>43550.208333333328</v>
      </c>
      <c r="N633">
        <v>1553922000</v>
      </c>
      <c r="O633" s="9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LEFT(Table1[[#This Row],[category &amp; sub-category]],SEARCH("/",Table1[[#This Row],[category &amp; sub-category]],1)-1)</f>
        <v>theater</v>
      </c>
      <c r="T633" t="str">
        <f>RIGHT(Table1[[#This Row],[category &amp; sub-category]],LEN(Table1[[#This Row],[category &amp; sub-category]])-SEARCH("/",Table1[[#This Row],[category &amp; sub-category]],1))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(Table1[[#This Row],[pledged]]/Table1[[#This Row],[goal]])*100</f>
        <v>42.859916782246884</v>
      </c>
      <c r="G634" t="s">
        <v>47</v>
      </c>
      <c r="H634">
        <v>278</v>
      </c>
      <c r="I634" s="4">
        <f>IFERROR(Table1[[#This Row],[pledged]]/Table1[[#This Row],[backers_count]],0)</f>
        <v>111.15827338129496</v>
      </c>
      <c r="J634" t="s">
        <v>21</v>
      </c>
      <c r="K634" t="s">
        <v>22</v>
      </c>
      <c r="L634">
        <v>1414904400</v>
      </c>
      <c r="M634" s="9">
        <f>(((Table1[[#This Row],[launched_at]]/60)/60)/24)+DATE(1970,1,1)</f>
        <v>41945.208333333336</v>
      </c>
      <c r="N634">
        <v>1416463200</v>
      </c>
      <c r="O634" s="9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LEFT(Table1[[#This Row],[category &amp; sub-category]],SEARCH("/",Table1[[#This Row],[category &amp; sub-category]],1)-1)</f>
        <v>theater</v>
      </c>
      <c r="T634" t="str">
        <f>RIGHT(Table1[[#This Row],[category &amp; sub-category]],LEN(Table1[[#This Row],[category &amp; sub-category]])-SEARCH("/",Table1[[#This Row],[category &amp; sub-category]],1))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(Table1[[#This Row],[pledged]]/Table1[[#This Row],[goal]])*100</f>
        <v>83.119402985074629</v>
      </c>
      <c r="G635" t="s">
        <v>14</v>
      </c>
      <c r="H635">
        <v>105</v>
      </c>
      <c r="I635" s="4">
        <f>IFERROR(Table1[[#This Row],[pledged]]/Table1[[#This Row],[backers_count]],0)</f>
        <v>53.038095238095238</v>
      </c>
      <c r="J635" t="s">
        <v>21</v>
      </c>
      <c r="K635" t="s">
        <v>22</v>
      </c>
      <c r="L635">
        <v>1446876000</v>
      </c>
      <c r="M635" s="9">
        <f>(((Table1[[#This Row],[launched_at]]/60)/60)/24)+DATE(1970,1,1)</f>
        <v>42315.25</v>
      </c>
      <c r="N635">
        <v>1447221600</v>
      </c>
      <c r="O635" s="9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LEFT(Table1[[#This Row],[category &amp; sub-category]],SEARCH("/",Table1[[#This Row],[category &amp; sub-category]],1)-1)</f>
        <v>film &amp; video</v>
      </c>
      <c r="T635" t="str">
        <f>RIGHT(Table1[[#This Row],[category &amp; sub-category]],LEN(Table1[[#This Row],[category &amp; sub-category]])-SEARCH("/",Table1[[#This Row],[category &amp; sub-category]],1))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(Table1[[#This Row],[pledged]]/Table1[[#This Row],[goal]])*100</f>
        <v>78.531302876480552</v>
      </c>
      <c r="G636" t="s">
        <v>74</v>
      </c>
      <c r="H636">
        <v>1658</v>
      </c>
      <c r="I636" s="4">
        <f>IFERROR(Table1[[#This Row],[pledged]]/Table1[[#This Row],[backers_count]],0)</f>
        <v>55.985524728588658</v>
      </c>
      <c r="J636" t="s">
        <v>21</v>
      </c>
      <c r="K636" t="s">
        <v>22</v>
      </c>
      <c r="L636">
        <v>1490418000</v>
      </c>
      <c r="M636" s="9">
        <f>(((Table1[[#This Row],[launched_at]]/60)/60)/24)+DATE(1970,1,1)</f>
        <v>42819.208333333328</v>
      </c>
      <c r="N636">
        <v>1491627600</v>
      </c>
      <c r="O636" s="9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LEFT(Table1[[#This Row],[category &amp; sub-category]],SEARCH("/",Table1[[#This Row],[category &amp; sub-category]],1)-1)</f>
        <v>film &amp; video</v>
      </c>
      <c r="T636" t="str">
        <f>RIGHT(Table1[[#This Row],[category &amp; sub-category]],LEN(Table1[[#This Row],[category &amp; sub-category]])-SEARCH("/",Table1[[#This Row],[category &amp; sub-category]],1))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(Table1[[#This Row],[pledged]]/Table1[[#This Row],[goal]])*100</f>
        <v>114.09352517985612</v>
      </c>
      <c r="G637" t="s">
        <v>20</v>
      </c>
      <c r="H637">
        <v>2266</v>
      </c>
      <c r="I637" s="4">
        <f>IFERROR(Table1[[#This Row],[pledged]]/Table1[[#This Row],[backers_count]],0)</f>
        <v>69.986760812003524</v>
      </c>
      <c r="J637" t="s">
        <v>21</v>
      </c>
      <c r="K637" t="s">
        <v>22</v>
      </c>
      <c r="L637">
        <v>1360389600</v>
      </c>
      <c r="M637" s="9">
        <f>(((Table1[[#This Row],[launched_at]]/60)/60)/24)+DATE(1970,1,1)</f>
        <v>41314.25</v>
      </c>
      <c r="N637">
        <v>1363150800</v>
      </c>
      <c r="O637" s="9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LEFT(Table1[[#This Row],[category &amp; sub-category]],SEARCH("/",Table1[[#This Row],[category &amp; sub-category]],1)-1)</f>
        <v>film &amp; video</v>
      </c>
      <c r="T637" t="str">
        <f>RIGHT(Table1[[#This Row],[category &amp; sub-category]],LEN(Table1[[#This Row],[category &amp; sub-category]])-SEARCH("/",Table1[[#This Row],[category &amp; sub-category]],1))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(Table1[[#This Row],[pledged]]/Table1[[#This Row],[goal]])*100</f>
        <v>64.537683358624179</v>
      </c>
      <c r="G638" t="s">
        <v>14</v>
      </c>
      <c r="H638">
        <v>2604</v>
      </c>
      <c r="I638" s="4">
        <f>IFERROR(Table1[[#This Row],[pledged]]/Table1[[#This Row],[backers_count]],0)</f>
        <v>48.998079877112133</v>
      </c>
      <c r="J638" t="s">
        <v>36</v>
      </c>
      <c r="K638" t="s">
        <v>37</v>
      </c>
      <c r="L638">
        <v>1326866400</v>
      </c>
      <c r="M638" s="9">
        <f>(((Table1[[#This Row],[launched_at]]/60)/60)/24)+DATE(1970,1,1)</f>
        <v>40926.25</v>
      </c>
      <c r="N638">
        <v>1330754400</v>
      </c>
      <c r="O638" s="9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LEFT(Table1[[#This Row],[category &amp; sub-category]],SEARCH("/",Table1[[#This Row],[category &amp; sub-category]],1)-1)</f>
        <v>film &amp; video</v>
      </c>
      <c r="T638" t="str">
        <f>RIGHT(Table1[[#This Row],[category &amp; sub-category]],LEN(Table1[[#This Row],[category &amp; sub-category]])-SEARCH("/",Table1[[#This Row],[category &amp; sub-category]],1))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(Table1[[#This Row],[pledged]]/Table1[[#This Row],[goal]])*100</f>
        <v>79.411764705882348</v>
      </c>
      <c r="G639" t="s">
        <v>14</v>
      </c>
      <c r="H639">
        <v>65</v>
      </c>
      <c r="I639" s="4">
        <f>IFERROR(Table1[[#This Row],[pledged]]/Table1[[#This Row],[backers_count]],0)</f>
        <v>103.84615384615384</v>
      </c>
      <c r="J639" t="s">
        <v>21</v>
      </c>
      <c r="K639" t="s">
        <v>22</v>
      </c>
      <c r="L639">
        <v>1479103200</v>
      </c>
      <c r="M639" s="9">
        <f>(((Table1[[#This Row],[launched_at]]/60)/60)/24)+DATE(1970,1,1)</f>
        <v>42688.25</v>
      </c>
      <c r="N639">
        <v>1479794400</v>
      </c>
      <c r="O639" s="9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LEFT(Table1[[#This Row],[category &amp; sub-category]],SEARCH("/",Table1[[#This Row],[category &amp; sub-category]],1)-1)</f>
        <v>theater</v>
      </c>
      <c r="T639" t="str">
        <f>RIGHT(Table1[[#This Row],[category &amp; sub-category]],LEN(Table1[[#This Row],[category &amp; sub-category]])-SEARCH("/",Table1[[#This Row],[category &amp; sub-category]],1))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(Table1[[#This Row],[pledged]]/Table1[[#This Row],[goal]])*100</f>
        <v>11.419117647058824</v>
      </c>
      <c r="G640" t="s">
        <v>14</v>
      </c>
      <c r="H640">
        <v>94</v>
      </c>
      <c r="I640" s="4">
        <f>IFERROR(Table1[[#This Row],[pledged]]/Table1[[#This Row],[backers_count]],0)</f>
        <v>99.127659574468083</v>
      </c>
      <c r="J640" t="s">
        <v>21</v>
      </c>
      <c r="K640" t="s">
        <v>22</v>
      </c>
      <c r="L640">
        <v>1280206800</v>
      </c>
      <c r="M640" s="9">
        <f>(((Table1[[#This Row],[launched_at]]/60)/60)/24)+DATE(1970,1,1)</f>
        <v>40386.208333333336</v>
      </c>
      <c r="N640">
        <v>1281243600</v>
      </c>
      <c r="O640" s="9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LEFT(Table1[[#This Row],[category &amp; sub-category]],SEARCH("/",Table1[[#This Row],[category &amp; sub-category]],1)-1)</f>
        <v>theater</v>
      </c>
      <c r="T640" t="str">
        <f>RIGHT(Table1[[#This Row],[category &amp; sub-category]],LEN(Table1[[#This Row],[category &amp; sub-category]])-SEARCH("/",Table1[[#This Row],[category &amp; sub-category]],1))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(Table1[[#This Row],[pledged]]/Table1[[#This Row],[goal]])*100</f>
        <v>56.186046511627907</v>
      </c>
      <c r="G641" t="s">
        <v>47</v>
      </c>
      <c r="H641">
        <v>45</v>
      </c>
      <c r="I641" s="4">
        <f>IFERROR(Table1[[#This Row],[pledged]]/Table1[[#This Row],[backers_count]],0)</f>
        <v>107.37777777777778</v>
      </c>
      <c r="J641" t="s">
        <v>21</v>
      </c>
      <c r="K641" t="s">
        <v>22</v>
      </c>
      <c r="L641">
        <v>1532754000</v>
      </c>
      <c r="M641" s="9">
        <f>(((Table1[[#This Row],[launched_at]]/60)/60)/24)+DATE(1970,1,1)</f>
        <v>43309.208333333328</v>
      </c>
      <c r="N641">
        <v>1532754000</v>
      </c>
      <c r="O641" s="9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LEFT(Table1[[#This Row],[category &amp; sub-category]],SEARCH("/",Table1[[#This Row],[category &amp; sub-category]],1)-1)</f>
        <v>film &amp; video</v>
      </c>
      <c r="T641" t="str">
        <f>RIGHT(Table1[[#This Row],[category &amp; sub-category]],LEN(Table1[[#This Row],[category &amp; sub-category]])-SEARCH("/",Table1[[#This Row],[category &amp; sub-category]],1))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(Table1[[#This Row],[pledged]]/Table1[[#This Row],[goal]])*100</f>
        <v>16.501669449081803</v>
      </c>
      <c r="G642" t="s">
        <v>14</v>
      </c>
      <c r="H642">
        <v>257</v>
      </c>
      <c r="I642" s="4">
        <f>IFERROR(Table1[[#This Row],[pledged]]/Table1[[#This Row],[backers_count]],0)</f>
        <v>76.922178988326849</v>
      </c>
      <c r="J642" t="s">
        <v>21</v>
      </c>
      <c r="K642" t="s">
        <v>22</v>
      </c>
      <c r="L642">
        <v>1453096800</v>
      </c>
      <c r="M642" s="9">
        <f>(((Table1[[#This Row],[launched_at]]/60)/60)/24)+DATE(1970,1,1)</f>
        <v>42387.25</v>
      </c>
      <c r="N642">
        <v>1453356000</v>
      </c>
      <c r="O642" s="9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LEFT(Table1[[#This Row],[category &amp; sub-category]],SEARCH("/",Table1[[#This Row],[category &amp; sub-category]],1)-1)</f>
        <v>theater</v>
      </c>
      <c r="T642" t="str">
        <f>RIGHT(Table1[[#This Row],[category &amp; sub-category]],LEN(Table1[[#This Row],[category &amp; sub-category]])-SEARCH("/",Table1[[#This Row],[category &amp; sub-category]],1))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(Table1[[#This Row],[pledged]]/Table1[[#This Row],[goal]])*100</f>
        <v>119.96808510638297</v>
      </c>
      <c r="G643" t="s">
        <v>20</v>
      </c>
      <c r="H643">
        <v>194</v>
      </c>
      <c r="I643" s="4">
        <f>IFERROR(Table1[[#This Row],[pledged]]/Table1[[#This Row],[backers_count]],0)</f>
        <v>58.128865979381445</v>
      </c>
      <c r="J643" t="s">
        <v>98</v>
      </c>
      <c r="K643" t="s">
        <v>99</v>
      </c>
      <c r="L643">
        <v>1487570400</v>
      </c>
      <c r="M643" s="9">
        <f>(((Table1[[#This Row],[launched_at]]/60)/60)/24)+DATE(1970,1,1)</f>
        <v>42786.25</v>
      </c>
      <c r="N643">
        <v>1489986000</v>
      </c>
      <c r="O643" s="9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LEFT(Table1[[#This Row],[category &amp; sub-category]],SEARCH("/",Table1[[#This Row],[category &amp; sub-category]],1)-1)</f>
        <v>theater</v>
      </c>
      <c r="T643" t="str">
        <f>RIGHT(Table1[[#This Row],[category &amp; sub-category]],LEN(Table1[[#This Row],[category &amp; sub-category]])-SEARCH("/",Table1[[#This Row],[category &amp; sub-category]],1))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(Table1[[#This Row],[pledged]]/Table1[[#This Row],[goal]])*100</f>
        <v>145.45652173913044</v>
      </c>
      <c r="G644" t="s">
        <v>20</v>
      </c>
      <c r="H644">
        <v>129</v>
      </c>
      <c r="I644" s="4">
        <f>IFERROR(Table1[[#This Row],[pledged]]/Table1[[#This Row],[backers_count]],0)</f>
        <v>103.73643410852713</v>
      </c>
      <c r="J644" t="s">
        <v>15</v>
      </c>
      <c r="K644" t="s">
        <v>16</v>
      </c>
      <c r="L644">
        <v>1545026400</v>
      </c>
      <c r="M644" s="9">
        <f>(((Table1[[#This Row],[launched_at]]/60)/60)/24)+DATE(1970,1,1)</f>
        <v>43451.25</v>
      </c>
      <c r="N644">
        <v>1545804000</v>
      </c>
      <c r="O644" s="9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LEFT(Table1[[#This Row],[category &amp; sub-category]],SEARCH("/",Table1[[#This Row],[category &amp; sub-category]],1)-1)</f>
        <v>technology</v>
      </c>
      <c r="T644" t="str">
        <f>RIGHT(Table1[[#This Row],[category &amp; sub-category]],LEN(Table1[[#This Row],[category &amp; sub-category]])-SEARCH("/",Table1[[#This Row],[category &amp; sub-category]],1))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(Table1[[#This Row],[pledged]]/Table1[[#This Row],[goal]])*100</f>
        <v>221.38255033557047</v>
      </c>
      <c r="G645" t="s">
        <v>20</v>
      </c>
      <c r="H645">
        <v>375</v>
      </c>
      <c r="I645" s="4">
        <f>IFERROR(Table1[[#This Row],[pledged]]/Table1[[#This Row],[backers_count]],0)</f>
        <v>87.962666666666664</v>
      </c>
      <c r="J645" t="s">
        <v>21</v>
      </c>
      <c r="K645" t="s">
        <v>22</v>
      </c>
      <c r="L645">
        <v>1488348000</v>
      </c>
      <c r="M645" s="9">
        <f>(((Table1[[#This Row],[launched_at]]/60)/60)/24)+DATE(1970,1,1)</f>
        <v>42795.25</v>
      </c>
      <c r="N645">
        <v>1489899600</v>
      </c>
      <c r="O645" s="9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LEFT(Table1[[#This Row],[category &amp; sub-category]],SEARCH("/",Table1[[#This Row],[category &amp; sub-category]],1)-1)</f>
        <v>theater</v>
      </c>
      <c r="T645" t="str">
        <f>RIGHT(Table1[[#This Row],[category &amp; sub-category]],LEN(Table1[[#This Row],[category &amp; sub-category]])-SEARCH("/",Table1[[#This Row],[category &amp; sub-category]],1))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(Table1[[#This Row],[pledged]]/Table1[[#This Row],[goal]])*100</f>
        <v>48.396694214876035</v>
      </c>
      <c r="G646" t="s">
        <v>14</v>
      </c>
      <c r="H646">
        <v>2928</v>
      </c>
      <c r="I646" s="4">
        <f>IFERROR(Table1[[#This Row],[pledged]]/Table1[[#This Row],[backers_count]],0)</f>
        <v>28</v>
      </c>
      <c r="J646" t="s">
        <v>15</v>
      </c>
      <c r="K646" t="s">
        <v>16</v>
      </c>
      <c r="L646">
        <v>1545112800</v>
      </c>
      <c r="M646" s="9">
        <f>(((Table1[[#This Row],[launched_at]]/60)/60)/24)+DATE(1970,1,1)</f>
        <v>43452.25</v>
      </c>
      <c r="N646">
        <v>1546495200</v>
      </c>
      <c r="O646" s="9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LEFT(Table1[[#This Row],[category &amp; sub-category]],SEARCH("/",Table1[[#This Row],[category &amp; sub-category]],1)-1)</f>
        <v>theater</v>
      </c>
      <c r="T646" t="str">
        <f>RIGHT(Table1[[#This Row],[category &amp; sub-category]],LEN(Table1[[#This Row],[category &amp; sub-category]])-SEARCH("/",Table1[[#This Row],[category &amp; sub-category]],1))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(Table1[[#This Row],[pledged]]/Table1[[#This Row],[goal]])*100</f>
        <v>92.911504424778755</v>
      </c>
      <c r="G647" t="s">
        <v>14</v>
      </c>
      <c r="H647">
        <v>4697</v>
      </c>
      <c r="I647" s="4">
        <f>IFERROR(Table1[[#This Row],[pledged]]/Table1[[#This Row],[backers_count]],0)</f>
        <v>37.999361294443261</v>
      </c>
      <c r="J647" t="s">
        <v>21</v>
      </c>
      <c r="K647" t="s">
        <v>22</v>
      </c>
      <c r="L647">
        <v>1537938000</v>
      </c>
      <c r="M647" s="9">
        <f>(((Table1[[#This Row],[launched_at]]/60)/60)/24)+DATE(1970,1,1)</f>
        <v>43369.208333333328</v>
      </c>
      <c r="N647">
        <v>1539752400</v>
      </c>
      <c r="O647" s="9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LEFT(Table1[[#This Row],[category &amp; sub-category]],SEARCH("/",Table1[[#This Row],[category &amp; sub-category]],1)-1)</f>
        <v>music</v>
      </c>
      <c r="T647" t="str">
        <f>RIGHT(Table1[[#This Row],[category &amp; sub-category]],LEN(Table1[[#This Row],[category &amp; sub-category]])-SEARCH("/",Table1[[#This Row],[category &amp; sub-category]],1))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(Table1[[#This Row],[pledged]]/Table1[[#This Row],[goal]])*100</f>
        <v>88.599797365754824</v>
      </c>
      <c r="G648" t="s">
        <v>14</v>
      </c>
      <c r="H648">
        <v>2915</v>
      </c>
      <c r="I648" s="4">
        <f>IFERROR(Table1[[#This Row],[pledged]]/Table1[[#This Row],[backers_count]],0)</f>
        <v>29.999313893653515</v>
      </c>
      <c r="J648" t="s">
        <v>21</v>
      </c>
      <c r="K648" t="s">
        <v>22</v>
      </c>
      <c r="L648">
        <v>1363150800</v>
      </c>
      <c r="M648" s="9">
        <f>(((Table1[[#This Row],[launched_at]]/60)/60)/24)+DATE(1970,1,1)</f>
        <v>41346.208333333336</v>
      </c>
      <c r="N648">
        <v>1364101200</v>
      </c>
      <c r="O648" s="9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LEFT(Table1[[#This Row],[category &amp; sub-category]],SEARCH("/",Table1[[#This Row],[category &amp; sub-category]],1)-1)</f>
        <v>games</v>
      </c>
      <c r="T648" t="str">
        <f>RIGHT(Table1[[#This Row],[category &amp; sub-category]],LEN(Table1[[#This Row],[category &amp; sub-category]])-SEARCH("/",Table1[[#This Row],[category &amp; sub-category]],1))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(Table1[[#This Row],[pledged]]/Table1[[#This Row],[goal]])*100</f>
        <v>41.4</v>
      </c>
      <c r="G649" t="s">
        <v>14</v>
      </c>
      <c r="H649">
        <v>18</v>
      </c>
      <c r="I649" s="4">
        <f>IFERROR(Table1[[#This Row],[pledged]]/Table1[[#This Row],[backers_count]],0)</f>
        <v>103.5</v>
      </c>
      <c r="J649" t="s">
        <v>21</v>
      </c>
      <c r="K649" t="s">
        <v>22</v>
      </c>
      <c r="L649">
        <v>1523250000</v>
      </c>
      <c r="M649" s="9">
        <f>(((Table1[[#This Row],[launched_at]]/60)/60)/24)+DATE(1970,1,1)</f>
        <v>43199.208333333328</v>
      </c>
      <c r="N649">
        <v>1525323600</v>
      </c>
      <c r="O649" s="9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LEFT(Table1[[#This Row],[category &amp; sub-category]],SEARCH("/",Table1[[#This Row],[category &amp; sub-category]],1)-1)</f>
        <v>publishing</v>
      </c>
      <c r="T649" t="str">
        <f>RIGHT(Table1[[#This Row],[category &amp; sub-category]],LEN(Table1[[#This Row],[category &amp; sub-category]])-SEARCH("/",Table1[[#This Row],[category &amp; sub-category]],1))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(Table1[[#This Row],[pledged]]/Table1[[#This Row],[goal]])*100</f>
        <v>63.056795131845846</v>
      </c>
      <c r="G650" t="s">
        <v>74</v>
      </c>
      <c r="H650">
        <v>723</v>
      </c>
      <c r="I650" s="4">
        <f>IFERROR(Table1[[#This Row],[pledged]]/Table1[[#This Row],[backers_count]],0)</f>
        <v>85.994467496542185</v>
      </c>
      <c r="J650" t="s">
        <v>21</v>
      </c>
      <c r="K650" t="s">
        <v>22</v>
      </c>
      <c r="L650">
        <v>1499317200</v>
      </c>
      <c r="M650" s="9">
        <f>(((Table1[[#This Row],[launched_at]]/60)/60)/24)+DATE(1970,1,1)</f>
        <v>42922.208333333328</v>
      </c>
      <c r="N650">
        <v>1500872400</v>
      </c>
      <c r="O650" s="9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LEFT(Table1[[#This Row],[category &amp; sub-category]],SEARCH("/",Table1[[#This Row],[category &amp; sub-category]],1)-1)</f>
        <v>food</v>
      </c>
      <c r="T650" t="str">
        <f>RIGHT(Table1[[#This Row],[category &amp; sub-category]],LEN(Table1[[#This Row],[category &amp; sub-category]])-SEARCH("/",Table1[[#This Row],[category &amp; sub-category]],1))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(Table1[[#This Row],[pledged]]/Table1[[#This Row],[goal]])*100</f>
        <v>48.482333607230892</v>
      </c>
      <c r="G651" t="s">
        <v>14</v>
      </c>
      <c r="H651">
        <v>602</v>
      </c>
      <c r="I651" s="4">
        <f>IFERROR(Table1[[#This Row],[pledged]]/Table1[[#This Row],[backers_count]],0)</f>
        <v>98.011627906976742</v>
      </c>
      <c r="J651" t="s">
        <v>98</v>
      </c>
      <c r="K651" t="s">
        <v>99</v>
      </c>
      <c r="L651">
        <v>1287550800</v>
      </c>
      <c r="M651" s="9">
        <f>(((Table1[[#This Row],[launched_at]]/60)/60)/24)+DATE(1970,1,1)</f>
        <v>40471.208333333336</v>
      </c>
      <c r="N651">
        <v>1288501200</v>
      </c>
      <c r="O651" s="9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LEFT(Table1[[#This Row],[category &amp; sub-category]],SEARCH("/",Table1[[#This Row],[category &amp; sub-category]],1)-1)</f>
        <v>theater</v>
      </c>
      <c r="T651" t="str">
        <f>RIGHT(Table1[[#This Row],[category &amp; sub-category]],LEN(Table1[[#This Row],[category &amp; sub-category]])-SEARCH("/",Table1[[#This Row],[category &amp; sub-category]],1))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(Table1[[#This Row],[pledged]]/Table1[[#This Row],[goal]])*100</f>
        <v>2</v>
      </c>
      <c r="G652" t="s">
        <v>14</v>
      </c>
      <c r="H652">
        <v>1</v>
      </c>
      <c r="I652" s="4">
        <f>IFERROR(Table1[[#This Row],[pledged]]/Table1[[#This Row],[backers_count]],0)</f>
        <v>2</v>
      </c>
      <c r="J652" t="s">
        <v>21</v>
      </c>
      <c r="K652" t="s">
        <v>22</v>
      </c>
      <c r="L652">
        <v>1404795600</v>
      </c>
      <c r="M652" s="9">
        <f>(((Table1[[#This Row],[launched_at]]/60)/60)/24)+DATE(1970,1,1)</f>
        <v>41828.208333333336</v>
      </c>
      <c r="N652">
        <v>1407128400</v>
      </c>
      <c r="O652" s="9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LEFT(Table1[[#This Row],[category &amp; sub-category]],SEARCH("/",Table1[[#This Row],[category &amp; sub-category]],1)-1)</f>
        <v>music</v>
      </c>
      <c r="T652" t="str">
        <f>RIGHT(Table1[[#This Row],[category &amp; sub-category]],LEN(Table1[[#This Row],[category &amp; sub-category]])-SEARCH("/",Table1[[#This Row],[category &amp; sub-category]],1))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(Table1[[#This Row],[pledged]]/Table1[[#This Row],[goal]])*100</f>
        <v>88.47941026944585</v>
      </c>
      <c r="G653" t="s">
        <v>14</v>
      </c>
      <c r="H653">
        <v>3868</v>
      </c>
      <c r="I653" s="4">
        <f>IFERROR(Table1[[#This Row],[pledged]]/Table1[[#This Row],[backers_count]],0)</f>
        <v>44.994570837642193</v>
      </c>
      <c r="J653" t="s">
        <v>107</v>
      </c>
      <c r="K653" t="s">
        <v>108</v>
      </c>
      <c r="L653">
        <v>1393048800</v>
      </c>
      <c r="M653" s="9">
        <f>(((Table1[[#This Row],[launched_at]]/60)/60)/24)+DATE(1970,1,1)</f>
        <v>41692.25</v>
      </c>
      <c r="N653">
        <v>1394344800</v>
      </c>
      <c r="O653" s="9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LEFT(Table1[[#This Row],[category &amp; sub-category]],SEARCH("/",Table1[[#This Row],[category &amp; sub-category]],1)-1)</f>
        <v>film &amp; video</v>
      </c>
      <c r="T653" t="str">
        <f>RIGHT(Table1[[#This Row],[category &amp; sub-category]],LEN(Table1[[#This Row],[category &amp; sub-category]])-SEARCH("/",Table1[[#This Row],[category &amp; sub-category]],1))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(Table1[[#This Row],[pledged]]/Table1[[#This Row],[goal]])*100</f>
        <v>126.84</v>
      </c>
      <c r="G654" t="s">
        <v>20</v>
      </c>
      <c r="H654">
        <v>409</v>
      </c>
      <c r="I654" s="4">
        <f>IFERROR(Table1[[#This Row],[pledged]]/Table1[[#This Row],[backers_count]],0)</f>
        <v>31.012224938875306</v>
      </c>
      <c r="J654" t="s">
        <v>21</v>
      </c>
      <c r="K654" t="s">
        <v>22</v>
      </c>
      <c r="L654">
        <v>1470373200</v>
      </c>
      <c r="M654" s="9">
        <f>(((Table1[[#This Row],[launched_at]]/60)/60)/24)+DATE(1970,1,1)</f>
        <v>42587.208333333328</v>
      </c>
      <c r="N654">
        <v>1474088400</v>
      </c>
      <c r="O654" s="9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LEFT(Table1[[#This Row],[category &amp; sub-category]],SEARCH("/",Table1[[#This Row],[category &amp; sub-category]],1)-1)</f>
        <v>technology</v>
      </c>
      <c r="T654" t="str">
        <f>RIGHT(Table1[[#This Row],[category &amp; sub-category]],LEN(Table1[[#This Row],[category &amp; sub-category]])-SEARCH("/",Table1[[#This Row],[category &amp; sub-category]],1))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(Table1[[#This Row],[pledged]]/Table1[[#This Row],[goal]])*100</f>
        <v>2338.833333333333</v>
      </c>
      <c r="G655" t="s">
        <v>20</v>
      </c>
      <c r="H655">
        <v>234</v>
      </c>
      <c r="I655" s="4">
        <f>IFERROR(Table1[[#This Row],[pledged]]/Table1[[#This Row],[backers_count]],0)</f>
        <v>59.970085470085472</v>
      </c>
      <c r="J655" t="s">
        <v>21</v>
      </c>
      <c r="K655" t="s">
        <v>22</v>
      </c>
      <c r="L655">
        <v>1460091600</v>
      </c>
      <c r="M655" s="9">
        <f>(((Table1[[#This Row],[launched_at]]/60)/60)/24)+DATE(1970,1,1)</f>
        <v>42468.208333333328</v>
      </c>
      <c r="N655">
        <v>1460264400</v>
      </c>
      <c r="O655" s="9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LEFT(Table1[[#This Row],[category &amp; sub-category]],SEARCH("/",Table1[[#This Row],[category &amp; sub-category]],1)-1)</f>
        <v>technology</v>
      </c>
      <c r="T655" t="str">
        <f>RIGHT(Table1[[#This Row],[category &amp; sub-category]],LEN(Table1[[#This Row],[category &amp; sub-category]])-SEARCH("/",Table1[[#This Row],[category &amp; sub-category]],1))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(Table1[[#This Row],[pledged]]/Table1[[#This Row],[goal]])*100</f>
        <v>508.38857142857148</v>
      </c>
      <c r="G656" t="s">
        <v>20</v>
      </c>
      <c r="H656">
        <v>3016</v>
      </c>
      <c r="I656" s="4">
        <f>IFERROR(Table1[[#This Row],[pledged]]/Table1[[#This Row],[backers_count]],0)</f>
        <v>58.9973474801061</v>
      </c>
      <c r="J656" t="s">
        <v>21</v>
      </c>
      <c r="K656" t="s">
        <v>22</v>
      </c>
      <c r="L656">
        <v>1440392400</v>
      </c>
      <c r="M656" s="9">
        <f>(((Table1[[#This Row],[launched_at]]/60)/60)/24)+DATE(1970,1,1)</f>
        <v>42240.208333333328</v>
      </c>
      <c r="N656">
        <v>1440824400</v>
      </c>
      <c r="O656" s="9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LEFT(Table1[[#This Row],[category &amp; sub-category]],SEARCH("/",Table1[[#This Row],[category &amp; sub-category]],1)-1)</f>
        <v>music</v>
      </c>
      <c r="T656" t="str">
        <f>RIGHT(Table1[[#This Row],[category &amp; sub-category]],LEN(Table1[[#This Row],[category &amp; sub-category]])-SEARCH("/",Table1[[#This Row],[category &amp; sub-category]],1))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(Table1[[#This Row],[pledged]]/Table1[[#This Row],[goal]])*100</f>
        <v>191.47826086956522</v>
      </c>
      <c r="G657" t="s">
        <v>20</v>
      </c>
      <c r="H657">
        <v>264</v>
      </c>
      <c r="I657" s="4">
        <f>IFERROR(Table1[[#This Row],[pledged]]/Table1[[#This Row],[backers_count]],0)</f>
        <v>50.045454545454547</v>
      </c>
      <c r="J657" t="s">
        <v>21</v>
      </c>
      <c r="K657" t="s">
        <v>22</v>
      </c>
      <c r="L657">
        <v>1488434400</v>
      </c>
      <c r="M657" s="9">
        <f>(((Table1[[#This Row],[launched_at]]/60)/60)/24)+DATE(1970,1,1)</f>
        <v>42796.25</v>
      </c>
      <c r="N657">
        <v>1489554000</v>
      </c>
      <c r="O657" s="9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LEFT(Table1[[#This Row],[category &amp; sub-category]],SEARCH("/",Table1[[#This Row],[category &amp; sub-category]],1)-1)</f>
        <v>photography</v>
      </c>
      <c r="T657" t="str">
        <f>RIGHT(Table1[[#This Row],[category &amp; sub-category]],LEN(Table1[[#This Row],[category &amp; sub-category]])-SEARCH("/",Table1[[#This Row],[category &amp; sub-category]],1))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(Table1[[#This Row],[pledged]]/Table1[[#This Row],[goal]])*100</f>
        <v>42.127533783783782</v>
      </c>
      <c r="G658" t="s">
        <v>14</v>
      </c>
      <c r="H658">
        <v>504</v>
      </c>
      <c r="I658" s="4">
        <f>IFERROR(Table1[[#This Row],[pledged]]/Table1[[#This Row],[backers_count]],0)</f>
        <v>98.966269841269835</v>
      </c>
      <c r="J658" t="s">
        <v>26</v>
      </c>
      <c r="K658" t="s">
        <v>27</v>
      </c>
      <c r="L658">
        <v>1514440800</v>
      </c>
      <c r="M658" s="9">
        <f>(((Table1[[#This Row],[launched_at]]/60)/60)/24)+DATE(1970,1,1)</f>
        <v>43097.25</v>
      </c>
      <c r="N658">
        <v>1514872800</v>
      </c>
      <c r="O658" s="9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LEFT(Table1[[#This Row],[category &amp; sub-category]],SEARCH("/",Table1[[#This Row],[category &amp; sub-category]],1)-1)</f>
        <v>food</v>
      </c>
      <c r="T658" t="str">
        <f>RIGHT(Table1[[#This Row],[category &amp; sub-category]],LEN(Table1[[#This Row],[category &amp; sub-category]])-SEARCH("/",Table1[[#This Row],[category &amp; sub-category]],1))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(Table1[[#This Row],[pledged]]/Table1[[#This Row],[goal]])*100</f>
        <v>8.24</v>
      </c>
      <c r="G659" t="s">
        <v>14</v>
      </c>
      <c r="H659">
        <v>14</v>
      </c>
      <c r="I659" s="4">
        <f>IFERROR(Table1[[#This Row],[pledged]]/Table1[[#This Row],[backers_count]],0)</f>
        <v>58.857142857142854</v>
      </c>
      <c r="J659" t="s">
        <v>21</v>
      </c>
      <c r="K659" t="s">
        <v>22</v>
      </c>
      <c r="L659">
        <v>1514354400</v>
      </c>
      <c r="M659" s="9">
        <f>(((Table1[[#This Row],[launched_at]]/60)/60)/24)+DATE(1970,1,1)</f>
        <v>43096.25</v>
      </c>
      <c r="N659">
        <v>1515736800</v>
      </c>
      <c r="O659" s="9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LEFT(Table1[[#This Row],[category &amp; sub-category]],SEARCH("/",Table1[[#This Row],[category &amp; sub-category]],1)-1)</f>
        <v>film &amp; video</v>
      </c>
      <c r="T659" t="str">
        <f>RIGHT(Table1[[#This Row],[category &amp; sub-category]],LEN(Table1[[#This Row],[category &amp; sub-category]])-SEARCH("/",Table1[[#This Row],[category &amp; sub-category]],1))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(Table1[[#This Row],[pledged]]/Table1[[#This Row],[goal]])*100</f>
        <v>60.064638783269963</v>
      </c>
      <c r="G660" t="s">
        <v>74</v>
      </c>
      <c r="H660">
        <v>390</v>
      </c>
      <c r="I660" s="4">
        <f>IFERROR(Table1[[#This Row],[pledged]]/Table1[[#This Row],[backers_count]],0)</f>
        <v>81.010256410256417</v>
      </c>
      <c r="J660" t="s">
        <v>21</v>
      </c>
      <c r="K660" t="s">
        <v>22</v>
      </c>
      <c r="L660">
        <v>1440910800</v>
      </c>
      <c r="M660" s="9">
        <f>(((Table1[[#This Row],[launched_at]]/60)/60)/24)+DATE(1970,1,1)</f>
        <v>42246.208333333328</v>
      </c>
      <c r="N660">
        <v>1442898000</v>
      </c>
      <c r="O660" s="9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LEFT(Table1[[#This Row],[category &amp; sub-category]],SEARCH("/",Table1[[#This Row],[category &amp; sub-category]],1)-1)</f>
        <v>music</v>
      </c>
      <c r="T660" t="str">
        <f>RIGHT(Table1[[#This Row],[category &amp; sub-category]],LEN(Table1[[#This Row],[category &amp; sub-category]])-SEARCH("/",Table1[[#This Row],[category &amp; sub-category]],1))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(Table1[[#This Row],[pledged]]/Table1[[#This Row],[goal]])*100</f>
        <v>47.232808616404313</v>
      </c>
      <c r="G661" t="s">
        <v>14</v>
      </c>
      <c r="H661">
        <v>750</v>
      </c>
      <c r="I661" s="4">
        <f>IFERROR(Table1[[#This Row],[pledged]]/Table1[[#This Row],[backers_count]],0)</f>
        <v>76.013333333333335</v>
      </c>
      <c r="J661" t="s">
        <v>40</v>
      </c>
      <c r="K661" t="s">
        <v>41</v>
      </c>
      <c r="L661">
        <v>1296108000</v>
      </c>
      <c r="M661" s="9">
        <f>(((Table1[[#This Row],[launched_at]]/60)/60)/24)+DATE(1970,1,1)</f>
        <v>40570.25</v>
      </c>
      <c r="N661">
        <v>1296194400</v>
      </c>
      <c r="O661" s="9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LEFT(Table1[[#This Row],[category &amp; sub-category]],SEARCH("/",Table1[[#This Row],[category &amp; sub-category]],1)-1)</f>
        <v>film &amp; video</v>
      </c>
      <c r="T661" t="str">
        <f>RIGHT(Table1[[#This Row],[category &amp; sub-category]],LEN(Table1[[#This Row],[category &amp; sub-category]])-SEARCH("/",Table1[[#This Row],[category &amp; sub-category]],1))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(Table1[[#This Row],[pledged]]/Table1[[#This Row],[goal]])*100</f>
        <v>81.736263736263737</v>
      </c>
      <c r="G662" t="s">
        <v>14</v>
      </c>
      <c r="H662">
        <v>77</v>
      </c>
      <c r="I662" s="4">
        <f>IFERROR(Table1[[#This Row],[pledged]]/Table1[[#This Row],[backers_count]],0)</f>
        <v>96.597402597402592</v>
      </c>
      <c r="J662" t="s">
        <v>21</v>
      </c>
      <c r="K662" t="s">
        <v>22</v>
      </c>
      <c r="L662">
        <v>1440133200</v>
      </c>
      <c r="M662" s="9">
        <f>(((Table1[[#This Row],[launched_at]]/60)/60)/24)+DATE(1970,1,1)</f>
        <v>42237.208333333328</v>
      </c>
      <c r="N662">
        <v>1440910800</v>
      </c>
      <c r="O662" s="9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LEFT(Table1[[#This Row],[category &amp; sub-category]],SEARCH("/",Table1[[#This Row],[category &amp; sub-category]],1)-1)</f>
        <v>theater</v>
      </c>
      <c r="T662" t="str">
        <f>RIGHT(Table1[[#This Row],[category &amp; sub-category]],LEN(Table1[[#This Row],[category &amp; sub-category]])-SEARCH("/",Table1[[#This Row],[category &amp; sub-category]],1))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(Table1[[#This Row],[pledged]]/Table1[[#This Row],[goal]])*100</f>
        <v>54.187265917603</v>
      </c>
      <c r="G663" t="s">
        <v>14</v>
      </c>
      <c r="H663">
        <v>752</v>
      </c>
      <c r="I663" s="4">
        <f>IFERROR(Table1[[#This Row],[pledged]]/Table1[[#This Row],[backers_count]],0)</f>
        <v>76.957446808510639</v>
      </c>
      <c r="J663" t="s">
        <v>36</v>
      </c>
      <c r="K663" t="s">
        <v>37</v>
      </c>
      <c r="L663">
        <v>1332910800</v>
      </c>
      <c r="M663" s="9">
        <f>(((Table1[[#This Row],[launched_at]]/60)/60)/24)+DATE(1970,1,1)</f>
        <v>40996.208333333336</v>
      </c>
      <c r="N663">
        <v>1335502800</v>
      </c>
      <c r="O663" s="9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LEFT(Table1[[#This Row],[category &amp; sub-category]],SEARCH("/",Table1[[#This Row],[category &amp; sub-category]],1)-1)</f>
        <v>music</v>
      </c>
      <c r="T663" t="str">
        <f>RIGHT(Table1[[#This Row],[category &amp; sub-category]],LEN(Table1[[#This Row],[category &amp; sub-category]])-SEARCH("/",Table1[[#This Row],[category &amp; sub-category]],1))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(Table1[[#This Row],[pledged]]/Table1[[#This Row],[goal]])*100</f>
        <v>97.868131868131869</v>
      </c>
      <c r="G664" t="s">
        <v>14</v>
      </c>
      <c r="H664">
        <v>131</v>
      </c>
      <c r="I664" s="4">
        <f>IFERROR(Table1[[#This Row],[pledged]]/Table1[[#This Row],[backers_count]],0)</f>
        <v>67.984732824427482</v>
      </c>
      <c r="J664" t="s">
        <v>21</v>
      </c>
      <c r="K664" t="s">
        <v>22</v>
      </c>
      <c r="L664">
        <v>1544335200</v>
      </c>
      <c r="M664" s="9">
        <f>(((Table1[[#This Row],[launched_at]]/60)/60)/24)+DATE(1970,1,1)</f>
        <v>43443.25</v>
      </c>
      <c r="N664">
        <v>1544680800</v>
      </c>
      <c r="O664" s="9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LEFT(Table1[[#This Row],[category &amp; sub-category]],SEARCH("/",Table1[[#This Row],[category &amp; sub-category]],1)-1)</f>
        <v>theater</v>
      </c>
      <c r="T664" t="str">
        <f>RIGHT(Table1[[#This Row],[category &amp; sub-category]],LEN(Table1[[#This Row],[category &amp; sub-category]])-SEARCH("/",Table1[[#This Row],[category &amp; sub-category]],1))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(Table1[[#This Row],[pledged]]/Table1[[#This Row],[goal]])*100</f>
        <v>77.239999999999995</v>
      </c>
      <c r="G665" t="s">
        <v>14</v>
      </c>
      <c r="H665">
        <v>87</v>
      </c>
      <c r="I665" s="4">
        <f>IFERROR(Table1[[#This Row],[pledged]]/Table1[[#This Row],[backers_count]],0)</f>
        <v>88.781609195402297</v>
      </c>
      <c r="J665" t="s">
        <v>21</v>
      </c>
      <c r="K665" t="s">
        <v>22</v>
      </c>
      <c r="L665">
        <v>1286427600</v>
      </c>
      <c r="M665" s="9">
        <f>(((Table1[[#This Row],[launched_at]]/60)/60)/24)+DATE(1970,1,1)</f>
        <v>40458.208333333336</v>
      </c>
      <c r="N665">
        <v>1288414800</v>
      </c>
      <c r="O665" s="9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LEFT(Table1[[#This Row],[category &amp; sub-category]],SEARCH("/",Table1[[#This Row],[category &amp; sub-category]],1)-1)</f>
        <v>theater</v>
      </c>
      <c r="T665" t="str">
        <f>RIGHT(Table1[[#This Row],[category &amp; sub-category]],LEN(Table1[[#This Row],[category &amp; sub-category]])-SEARCH("/",Table1[[#This Row],[category &amp; sub-category]],1))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(Table1[[#This Row],[pledged]]/Table1[[#This Row],[goal]])*100</f>
        <v>33.464735516372798</v>
      </c>
      <c r="G666" t="s">
        <v>14</v>
      </c>
      <c r="H666">
        <v>1063</v>
      </c>
      <c r="I666" s="4">
        <f>IFERROR(Table1[[#This Row],[pledged]]/Table1[[#This Row],[backers_count]],0)</f>
        <v>24.99623706491063</v>
      </c>
      <c r="J666" t="s">
        <v>21</v>
      </c>
      <c r="K666" t="s">
        <v>22</v>
      </c>
      <c r="L666">
        <v>1329717600</v>
      </c>
      <c r="M666" s="9">
        <f>(((Table1[[#This Row],[launched_at]]/60)/60)/24)+DATE(1970,1,1)</f>
        <v>40959.25</v>
      </c>
      <c r="N666">
        <v>1330581600</v>
      </c>
      <c r="O666" s="9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LEFT(Table1[[#This Row],[category &amp; sub-category]],SEARCH("/",Table1[[#This Row],[category &amp; sub-category]],1)-1)</f>
        <v>music</v>
      </c>
      <c r="T666" t="str">
        <f>RIGHT(Table1[[#This Row],[category &amp; sub-category]],LEN(Table1[[#This Row],[category &amp; sub-category]])-SEARCH("/",Table1[[#This Row],[category &amp; sub-category]],1))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(Table1[[#This Row],[pledged]]/Table1[[#This Row],[goal]])*100</f>
        <v>239.58823529411765</v>
      </c>
      <c r="G667" t="s">
        <v>20</v>
      </c>
      <c r="H667">
        <v>272</v>
      </c>
      <c r="I667" s="4">
        <f>IFERROR(Table1[[#This Row],[pledged]]/Table1[[#This Row],[backers_count]],0)</f>
        <v>44.922794117647058</v>
      </c>
      <c r="J667" t="s">
        <v>21</v>
      </c>
      <c r="K667" t="s">
        <v>22</v>
      </c>
      <c r="L667">
        <v>1310187600</v>
      </c>
      <c r="M667" s="9">
        <f>(((Table1[[#This Row],[launched_at]]/60)/60)/24)+DATE(1970,1,1)</f>
        <v>40733.208333333336</v>
      </c>
      <c r="N667">
        <v>1311397200</v>
      </c>
      <c r="O667" s="9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LEFT(Table1[[#This Row],[category &amp; sub-category]],SEARCH("/",Table1[[#This Row],[category &amp; sub-category]],1)-1)</f>
        <v>film &amp; video</v>
      </c>
      <c r="T667" t="str">
        <f>RIGHT(Table1[[#This Row],[category &amp; sub-category]],LEN(Table1[[#This Row],[category &amp; sub-category]])-SEARCH("/",Table1[[#This Row],[category &amp; sub-category]],1))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(Table1[[#This Row],[pledged]]/Table1[[#This Row],[goal]])*100</f>
        <v>64.032258064516128</v>
      </c>
      <c r="G668" t="s">
        <v>74</v>
      </c>
      <c r="H668">
        <v>25</v>
      </c>
      <c r="I668" s="4">
        <f>IFERROR(Table1[[#This Row],[pledged]]/Table1[[#This Row],[backers_count]],0)</f>
        <v>79.400000000000006</v>
      </c>
      <c r="J668" t="s">
        <v>21</v>
      </c>
      <c r="K668" t="s">
        <v>22</v>
      </c>
      <c r="L668">
        <v>1377838800</v>
      </c>
      <c r="M668" s="9">
        <f>(((Table1[[#This Row],[launched_at]]/60)/60)/24)+DATE(1970,1,1)</f>
        <v>41516.208333333336</v>
      </c>
      <c r="N668">
        <v>1378357200</v>
      </c>
      <c r="O668" s="9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LEFT(Table1[[#This Row],[category &amp; sub-category]],SEARCH("/",Table1[[#This Row],[category &amp; sub-category]],1)-1)</f>
        <v>theater</v>
      </c>
      <c r="T668" t="str">
        <f>RIGHT(Table1[[#This Row],[category &amp; sub-category]],LEN(Table1[[#This Row],[category &amp; sub-category]])-SEARCH("/",Table1[[#This Row],[category &amp; sub-category]],1))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(Table1[[#This Row],[pledged]]/Table1[[#This Row],[goal]])*100</f>
        <v>176.15942028985506</v>
      </c>
      <c r="G669" t="s">
        <v>20</v>
      </c>
      <c r="H669">
        <v>419</v>
      </c>
      <c r="I669" s="4">
        <f>IFERROR(Table1[[#This Row],[pledged]]/Table1[[#This Row],[backers_count]],0)</f>
        <v>29.009546539379475</v>
      </c>
      <c r="J669" t="s">
        <v>21</v>
      </c>
      <c r="K669" t="s">
        <v>22</v>
      </c>
      <c r="L669">
        <v>1410325200</v>
      </c>
      <c r="M669" s="9">
        <f>(((Table1[[#This Row],[launched_at]]/60)/60)/24)+DATE(1970,1,1)</f>
        <v>41892.208333333336</v>
      </c>
      <c r="N669">
        <v>1411102800</v>
      </c>
      <c r="O669" s="9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LEFT(Table1[[#This Row],[category &amp; sub-category]],SEARCH("/",Table1[[#This Row],[category &amp; sub-category]],1)-1)</f>
        <v>journalism</v>
      </c>
      <c r="T669" t="str">
        <f>RIGHT(Table1[[#This Row],[category &amp; sub-category]],LEN(Table1[[#This Row],[category &amp; sub-category]])-SEARCH("/",Table1[[#This Row],[category &amp; sub-category]],1))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(Table1[[#This Row],[pledged]]/Table1[[#This Row],[goal]])*100</f>
        <v>20.33818181818182</v>
      </c>
      <c r="G670" t="s">
        <v>14</v>
      </c>
      <c r="H670">
        <v>76</v>
      </c>
      <c r="I670" s="4">
        <f>IFERROR(Table1[[#This Row],[pledged]]/Table1[[#This Row],[backers_count]],0)</f>
        <v>73.59210526315789</v>
      </c>
      <c r="J670" t="s">
        <v>21</v>
      </c>
      <c r="K670" t="s">
        <v>22</v>
      </c>
      <c r="L670">
        <v>1343797200</v>
      </c>
      <c r="M670" s="9">
        <f>(((Table1[[#This Row],[launched_at]]/60)/60)/24)+DATE(1970,1,1)</f>
        <v>41122.208333333336</v>
      </c>
      <c r="N670">
        <v>1344834000</v>
      </c>
      <c r="O670" s="9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LEFT(Table1[[#This Row],[category &amp; sub-category]],SEARCH("/",Table1[[#This Row],[category &amp; sub-category]],1)-1)</f>
        <v>theater</v>
      </c>
      <c r="T670" t="str">
        <f>RIGHT(Table1[[#This Row],[category &amp; sub-category]],LEN(Table1[[#This Row],[category &amp; sub-category]])-SEARCH("/",Table1[[#This Row],[category &amp; sub-category]],1))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(Table1[[#This Row],[pledged]]/Table1[[#This Row],[goal]])*100</f>
        <v>358.64754098360658</v>
      </c>
      <c r="G671" t="s">
        <v>20</v>
      </c>
      <c r="H671">
        <v>1621</v>
      </c>
      <c r="I671" s="4">
        <f>IFERROR(Table1[[#This Row],[pledged]]/Table1[[#This Row],[backers_count]],0)</f>
        <v>107.97038864898211</v>
      </c>
      <c r="J671" t="s">
        <v>107</v>
      </c>
      <c r="K671" t="s">
        <v>108</v>
      </c>
      <c r="L671">
        <v>1498453200</v>
      </c>
      <c r="M671" s="9">
        <f>(((Table1[[#This Row],[launched_at]]/60)/60)/24)+DATE(1970,1,1)</f>
        <v>42912.208333333328</v>
      </c>
      <c r="N671">
        <v>1499230800</v>
      </c>
      <c r="O671" s="9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LEFT(Table1[[#This Row],[category &amp; sub-category]],SEARCH("/",Table1[[#This Row],[category &amp; sub-category]],1)-1)</f>
        <v>theater</v>
      </c>
      <c r="T671" t="str">
        <f>RIGHT(Table1[[#This Row],[category &amp; sub-category]],LEN(Table1[[#This Row],[category &amp; sub-category]])-SEARCH("/",Table1[[#This Row],[category &amp; sub-category]],1))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(Table1[[#This Row],[pledged]]/Table1[[#This Row],[goal]])*100</f>
        <v>468.85802469135803</v>
      </c>
      <c r="G672" t="s">
        <v>20</v>
      </c>
      <c r="H672">
        <v>1101</v>
      </c>
      <c r="I672" s="4">
        <f>IFERROR(Table1[[#This Row],[pledged]]/Table1[[#This Row],[backers_count]],0)</f>
        <v>68.987284287011803</v>
      </c>
      <c r="J672" t="s">
        <v>21</v>
      </c>
      <c r="K672" t="s">
        <v>22</v>
      </c>
      <c r="L672">
        <v>1456380000</v>
      </c>
      <c r="M672" s="9">
        <f>(((Table1[[#This Row],[launched_at]]/60)/60)/24)+DATE(1970,1,1)</f>
        <v>42425.25</v>
      </c>
      <c r="N672">
        <v>1457416800</v>
      </c>
      <c r="O672" s="9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LEFT(Table1[[#This Row],[category &amp; sub-category]],SEARCH("/",Table1[[#This Row],[category &amp; sub-category]],1)-1)</f>
        <v>music</v>
      </c>
      <c r="T672" t="str">
        <f>RIGHT(Table1[[#This Row],[category &amp; sub-category]],LEN(Table1[[#This Row],[category &amp; sub-category]])-SEARCH("/",Table1[[#This Row],[category &amp; sub-category]],1))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(Table1[[#This Row],[pledged]]/Table1[[#This Row],[goal]])*100</f>
        <v>122.05635245901641</v>
      </c>
      <c r="G673" t="s">
        <v>20</v>
      </c>
      <c r="H673">
        <v>1073</v>
      </c>
      <c r="I673" s="4">
        <f>IFERROR(Table1[[#This Row],[pledged]]/Table1[[#This Row],[backers_count]],0)</f>
        <v>111.02236719478098</v>
      </c>
      <c r="J673" t="s">
        <v>21</v>
      </c>
      <c r="K673" t="s">
        <v>22</v>
      </c>
      <c r="L673">
        <v>1280552400</v>
      </c>
      <c r="M673" s="9">
        <f>(((Table1[[#This Row],[launched_at]]/60)/60)/24)+DATE(1970,1,1)</f>
        <v>40390.208333333336</v>
      </c>
      <c r="N673">
        <v>1280898000</v>
      </c>
      <c r="O673" s="9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LEFT(Table1[[#This Row],[category &amp; sub-category]],SEARCH("/",Table1[[#This Row],[category &amp; sub-category]],1)-1)</f>
        <v>theater</v>
      </c>
      <c r="T673" t="str">
        <f>RIGHT(Table1[[#This Row],[category &amp; sub-category]],LEN(Table1[[#This Row],[category &amp; sub-category]])-SEARCH("/",Table1[[#This Row],[category &amp; sub-category]],1))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(Table1[[#This Row],[pledged]]/Table1[[#This Row],[goal]])*100</f>
        <v>55.931783729156137</v>
      </c>
      <c r="G674" t="s">
        <v>14</v>
      </c>
      <c r="H674">
        <v>4428</v>
      </c>
      <c r="I674" s="4">
        <f>IFERROR(Table1[[#This Row],[pledged]]/Table1[[#This Row],[backers_count]],0)</f>
        <v>24.997515808491418</v>
      </c>
      <c r="J674" t="s">
        <v>26</v>
      </c>
      <c r="K674" t="s">
        <v>27</v>
      </c>
      <c r="L674">
        <v>1521608400</v>
      </c>
      <c r="M674" s="9">
        <f>(((Table1[[#This Row],[launched_at]]/60)/60)/24)+DATE(1970,1,1)</f>
        <v>43180.208333333328</v>
      </c>
      <c r="N674">
        <v>1522472400</v>
      </c>
      <c r="O674" s="9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LEFT(Table1[[#This Row],[category &amp; sub-category]],SEARCH("/",Table1[[#This Row],[category &amp; sub-category]],1)-1)</f>
        <v>theater</v>
      </c>
      <c r="T674" t="str">
        <f>RIGHT(Table1[[#This Row],[category &amp; sub-category]],LEN(Table1[[#This Row],[category &amp; sub-category]])-SEARCH("/",Table1[[#This Row],[category &amp; sub-category]],1))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(Table1[[#This Row],[pledged]]/Table1[[#This Row],[goal]])*100</f>
        <v>43.660714285714285</v>
      </c>
      <c r="G675" t="s">
        <v>14</v>
      </c>
      <c r="H675">
        <v>58</v>
      </c>
      <c r="I675" s="4">
        <f>IFERROR(Table1[[#This Row],[pledged]]/Table1[[#This Row],[backers_count]],0)</f>
        <v>42.155172413793103</v>
      </c>
      <c r="J675" t="s">
        <v>107</v>
      </c>
      <c r="K675" t="s">
        <v>108</v>
      </c>
      <c r="L675">
        <v>1460696400</v>
      </c>
      <c r="M675" s="9">
        <f>(((Table1[[#This Row],[launched_at]]/60)/60)/24)+DATE(1970,1,1)</f>
        <v>42475.208333333328</v>
      </c>
      <c r="N675">
        <v>1462510800</v>
      </c>
      <c r="O675" s="9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LEFT(Table1[[#This Row],[category &amp; sub-category]],SEARCH("/",Table1[[#This Row],[category &amp; sub-category]],1)-1)</f>
        <v>music</v>
      </c>
      <c r="T675" t="str">
        <f>RIGHT(Table1[[#This Row],[category &amp; sub-category]],LEN(Table1[[#This Row],[category &amp; sub-category]])-SEARCH("/",Table1[[#This Row],[category &amp; sub-category]],1))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(Table1[[#This Row],[pledged]]/Table1[[#This Row],[goal]])*100</f>
        <v>33.53837141183363</v>
      </c>
      <c r="G676" t="s">
        <v>74</v>
      </c>
      <c r="H676">
        <v>1218</v>
      </c>
      <c r="I676" s="4">
        <f>IFERROR(Table1[[#This Row],[pledged]]/Table1[[#This Row],[backers_count]],0)</f>
        <v>47.003284072249592</v>
      </c>
      <c r="J676" t="s">
        <v>21</v>
      </c>
      <c r="K676" t="s">
        <v>22</v>
      </c>
      <c r="L676">
        <v>1313730000</v>
      </c>
      <c r="M676" s="9">
        <f>(((Table1[[#This Row],[launched_at]]/60)/60)/24)+DATE(1970,1,1)</f>
        <v>40774.208333333336</v>
      </c>
      <c r="N676">
        <v>1317790800</v>
      </c>
      <c r="O676" s="9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LEFT(Table1[[#This Row],[category &amp; sub-category]],SEARCH("/",Table1[[#This Row],[category &amp; sub-category]],1)-1)</f>
        <v>photography</v>
      </c>
      <c r="T676" t="str">
        <f>RIGHT(Table1[[#This Row],[category &amp; sub-category]],LEN(Table1[[#This Row],[category &amp; sub-category]])-SEARCH("/",Table1[[#This Row],[category &amp; sub-category]],1))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(Table1[[#This Row],[pledged]]/Table1[[#This Row],[goal]])*100</f>
        <v>122.97938144329896</v>
      </c>
      <c r="G677" t="s">
        <v>20</v>
      </c>
      <c r="H677">
        <v>331</v>
      </c>
      <c r="I677" s="4">
        <f>IFERROR(Table1[[#This Row],[pledged]]/Table1[[#This Row],[backers_count]],0)</f>
        <v>36.0392749244713</v>
      </c>
      <c r="J677" t="s">
        <v>21</v>
      </c>
      <c r="K677" t="s">
        <v>22</v>
      </c>
      <c r="L677">
        <v>1568178000</v>
      </c>
      <c r="M677" s="9">
        <f>(((Table1[[#This Row],[launched_at]]/60)/60)/24)+DATE(1970,1,1)</f>
        <v>43719.208333333328</v>
      </c>
      <c r="N677">
        <v>1568782800</v>
      </c>
      <c r="O677" s="9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LEFT(Table1[[#This Row],[category &amp; sub-category]],SEARCH("/",Table1[[#This Row],[category &amp; sub-category]],1)-1)</f>
        <v>journalism</v>
      </c>
      <c r="T677" t="str">
        <f>RIGHT(Table1[[#This Row],[category &amp; sub-category]],LEN(Table1[[#This Row],[category &amp; sub-category]])-SEARCH("/",Table1[[#This Row],[category &amp; sub-category]],1))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(Table1[[#This Row],[pledged]]/Table1[[#This Row],[goal]])*100</f>
        <v>189.74959871589084</v>
      </c>
      <c r="G678" t="s">
        <v>20</v>
      </c>
      <c r="H678">
        <v>1170</v>
      </c>
      <c r="I678" s="4">
        <f>IFERROR(Table1[[#This Row],[pledged]]/Table1[[#This Row],[backers_count]],0)</f>
        <v>101.03760683760684</v>
      </c>
      <c r="J678" t="s">
        <v>21</v>
      </c>
      <c r="K678" t="s">
        <v>22</v>
      </c>
      <c r="L678">
        <v>1348635600</v>
      </c>
      <c r="M678" s="9">
        <f>(((Table1[[#This Row],[launched_at]]/60)/60)/24)+DATE(1970,1,1)</f>
        <v>41178.208333333336</v>
      </c>
      <c r="N678">
        <v>1349413200</v>
      </c>
      <c r="O678" s="9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LEFT(Table1[[#This Row],[category &amp; sub-category]],SEARCH("/",Table1[[#This Row],[category &amp; sub-category]],1)-1)</f>
        <v>photography</v>
      </c>
      <c r="T678" t="str">
        <f>RIGHT(Table1[[#This Row],[category &amp; sub-category]],LEN(Table1[[#This Row],[category &amp; sub-category]])-SEARCH("/",Table1[[#This Row],[category &amp; sub-category]],1))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(Table1[[#This Row],[pledged]]/Table1[[#This Row],[goal]])*100</f>
        <v>83.622641509433961</v>
      </c>
      <c r="G679" t="s">
        <v>14</v>
      </c>
      <c r="H679">
        <v>111</v>
      </c>
      <c r="I679" s="4">
        <f>IFERROR(Table1[[#This Row],[pledged]]/Table1[[#This Row],[backers_count]],0)</f>
        <v>39.927927927927925</v>
      </c>
      <c r="J679" t="s">
        <v>21</v>
      </c>
      <c r="K679" t="s">
        <v>22</v>
      </c>
      <c r="L679">
        <v>1468126800</v>
      </c>
      <c r="M679" s="9">
        <f>(((Table1[[#This Row],[launched_at]]/60)/60)/24)+DATE(1970,1,1)</f>
        <v>42561.208333333328</v>
      </c>
      <c r="N679">
        <v>1472446800</v>
      </c>
      <c r="O679" s="9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LEFT(Table1[[#This Row],[category &amp; sub-category]],SEARCH("/",Table1[[#This Row],[category &amp; sub-category]],1)-1)</f>
        <v>publishing</v>
      </c>
      <c r="T679" t="str">
        <f>RIGHT(Table1[[#This Row],[category &amp; sub-category]],LEN(Table1[[#This Row],[category &amp; sub-category]])-SEARCH("/",Table1[[#This Row],[category &amp; sub-category]],1))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(Table1[[#This Row],[pledged]]/Table1[[#This Row],[goal]])*100</f>
        <v>17.968844221105527</v>
      </c>
      <c r="G680" t="s">
        <v>74</v>
      </c>
      <c r="H680">
        <v>215</v>
      </c>
      <c r="I680" s="4">
        <f>IFERROR(Table1[[#This Row],[pledged]]/Table1[[#This Row],[backers_count]],0)</f>
        <v>83.158139534883716</v>
      </c>
      <c r="J680" t="s">
        <v>21</v>
      </c>
      <c r="K680" t="s">
        <v>22</v>
      </c>
      <c r="L680">
        <v>1547877600</v>
      </c>
      <c r="M680" s="9">
        <f>(((Table1[[#This Row],[launched_at]]/60)/60)/24)+DATE(1970,1,1)</f>
        <v>43484.25</v>
      </c>
      <c r="N680">
        <v>1548050400</v>
      </c>
      <c r="O680" s="9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LEFT(Table1[[#This Row],[category &amp; sub-category]],SEARCH("/",Table1[[#This Row],[category &amp; sub-category]],1)-1)</f>
        <v>film &amp; video</v>
      </c>
      <c r="T680" t="str">
        <f>RIGHT(Table1[[#This Row],[category &amp; sub-category]],LEN(Table1[[#This Row],[category &amp; sub-category]])-SEARCH("/",Table1[[#This Row],[category &amp; sub-category]],1))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(Table1[[#This Row],[pledged]]/Table1[[#This Row],[goal]])*100</f>
        <v>1036.5</v>
      </c>
      <c r="G681" t="s">
        <v>20</v>
      </c>
      <c r="H681">
        <v>363</v>
      </c>
      <c r="I681" s="4">
        <f>IFERROR(Table1[[#This Row],[pledged]]/Table1[[#This Row],[backers_count]],0)</f>
        <v>39.97520661157025</v>
      </c>
      <c r="J681" t="s">
        <v>21</v>
      </c>
      <c r="K681" t="s">
        <v>22</v>
      </c>
      <c r="L681">
        <v>1571374800</v>
      </c>
      <c r="M681" s="9">
        <f>(((Table1[[#This Row],[launched_at]]/60)/60)/24)+DATE(1970,1,1)</f>
        <v>43756.208333333328</v>
      </c>
      <c r="N681">
        <v>1571806800</v>
      </c>
      <c r="O681" s="9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LEFT(Table1[[#This Row],[category &amp; sub-category]],SEARCH("/",Table1[[#This Row],[category &amp; sub-category]],1)-1)</f>
        <v>food</v>
      </c>
      <c r="T681" t="str">
        <f>RIGHT(Table1[[#This Row],[category &amp; sub-category]],LEN(Table1[[#This Row],[category &amp; sub-category]])-SEARCH("/",Table1[[#This Row],[category &amp; sub-category]],1))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(Table1[[#This Row],[pledged]]/Table1[[#This Row],[goal]])*100</f>
        <v>97.405219780219781</v>
      </c>
      <c r="G682" t="s">
        <v>14</v>
      </c>
      <c r="H682">
        <v>2955</v>
      </c>
      <c r="I682" s="4">
        <f>IFERROR(Table1[[#This Row],[pledged]]/Table1[[#This Row],[backers_count]],0)</f>
        <v>47.993908629441627</v>
      </c>
      <c r="J682" t="s">
        <v>21</v>
      </c>
      <c r="K682" t="s">
        <v>22</v>
      </c>
      <c r="L682">
        <v>1576303200</v>
      </c>
      <c r="M682" s="9">
        <f>(((Table1[[#This Row],[launched_at]]/60)/60)/24)+DATE(1970,1,1)</f>
        <v>43813.25</v>
      </c>
      <c r="N682">
        <v>1576476000</v>
      </c>
      <c r="O682" s="9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LEFT(Table1[[#This Row],[category &amp; sub-category]],SEARCH("/",Table1[[#This Row],[category &amp; sub-category]],1)-1)</f>
        <v>games</v>
      </c>
      <c r="T682" t="str">
        <f>RIGHT(Table1[[#This Row],[category &amp; sub-category]],LEN(Table1[[#This Row],[category &amp; sub-category]])-SEARCH("/",Table1[[#This Row],[category &amp; sub-category]],1))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(Table1[[#This Row],[pledged]]/Table1[[#This Row],[goal]])*100</f>
        <v>86.386203150461711</v>
      </c>
      <c r="G683" t="s">
        <v>14</v>
      </c>
      <c r="H683">
        <v>1657</v>
      </c>
      <c r="I683" s="4">
        <f>IFERROR(Table1[[#This Row],[pledged]]/Table1[[#This Row],[backers_count]],0)</f>
        <v>95.978877489438744</v>
      </c>
      <c r="J683" t="s">
        <v>21</v>
      </c>
      <c r="K683" t="s">
        <v>22</v>
      </c>
      <c r="L683">
        <v>1324447200</v>
      </c>
      <c r="M683" s="9">
        <f>(((Table1[[#This Row],[launched_at]]/60)/60)/24)+DATE(1970,1,1)</f>
        <v>40898.25</v>
      </c>
      <c r="N683">
        <v>1324965600</v>
      </c>
      <c r="O683" s="9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LEFT(Table1[[#This Row],[category &amp; sub-category]],SEARCH("/",Table1[[#This Row],[category &amp; sub-category]],1)-1)</f>
        <v>theater</v>
      </c>
      <c r="T683" t="str">
        <f>RIGHT(Table1[[#This Row],[category &amp; sub-category]],LEN(Table1[[#This Row],[category &amp; sub-category]])-SEARCH("/",Table1[[#This Row],[category &amp; sub-category]],1))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(Table1[[#This Row],[pledged]]/Table1[[#This Row],[goal]])*100</f>
        <v>150.16666666666666</v>
      </c>
      <c r="G684" t="s">
        <v>20</v>
      </c>
      <c r="H684">
        <v>103</v>
      </c>
      <c r="I684" s="4">
        <f>IFERROR(Table1[[#This Row],[pledged]]/Table1[[#This Row],[backers_count]],0)</f>
        <v>78.728155339805824</v>
      </c>
      <c r="J684" t="s">
        <v>21</v>
      </c>
      <c r="K684" t="s">
        <v>22</v>
      </c>
      <c r="L684">
        <v>1386741600</v>
      </c>
      <c r="M684" s="9">
        <f>(((Table1[[#This Row],[launched_at]]/60)/60)/24)+DATE(1970,1,1)</f>
        <v>41619.25</v>
      </c>
      <c r="N684">
        <v>1387519200</v>
      </c>
      <c r="O684" s="9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LEFT(Table1[[#This Row],[category &amp; sub-category]],SEARCH("/",Table1[[#This Row],[category &amp; sub-category]],1)-1)</f>
        <v>theater</v>
      </c>
      <c r="T684" t="str">
        <f>RIGHT(Table1[[#This Row],[category &amp; sub-category]],LEN(Table1[[#This Row],[category &amp; sub-category]])-SEARCH("/",Table1[[#This Row],[category &amp; sub-category]],1))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(Table1[[#This Row],[pledged]]/Table1[[#This Row],[goal]])*100</f>
        <v>358.43478260869563</v>
      </c>
      <c r="G685" t="s">
        <v>20</v>
      </c>
      <c r="H685">
        <v>147</v>
      </c>
      <c r="I685" s="4">
        <f>IFERROR(Table1[[#This Row],[pledged]]/Table1[[#This Row],[backers_count]],0)</f>
        <v>56.081632653061227</v>
      </c>
      <c r="J685" t="s">
        <v>21</v>
      </c>
      <c r="K685" t="s">
        <v>22</v>
      </c>
      <c r="L685">
        <v>1537074000</v>
      </c>
      <c r="M685" s="9">
        <f>(((Table1[[#This Row],[launched_at]]/60)/60)/24)+DATE(1970,1,1)</f>
        <v>43359.208333333328</v>
      </c>
      <c r="N685">
        <v>1537246800</v>
      </c>
      <c r="O685" s="9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LEFT(Table1[[#This Row],[category &amp; sub-category]],SEARCH("/",Table1[[#This Row],[category &amp; sub-category]],1)-1)</f>
        <v>theater</v>
      </c>
      <c r="T685" t="str">
        <f>RIGHT(Table1[[#This Row],[category &amp; sub-category]],LEN(Table1[[#This Row],[category &amp; sub-category]])-SEARCH("/",Table1[[#This Row],[category &amp; sub-category]],1))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(Table1[[#This Row],[pledged]]/Table1[[#This Row],[goal]])*100</f>
        <v>542.85714285714289</v>
      </c>
      <c r="G686" t="s">
        <v>20</v>
      </c>
      <c r="H686">
        <v>110</v>
      </c>
      <c r="I686" s="4">
        <f>IFERROR(Table1[[#This Row],[pledged]]/Table1[[#This Row],[backers_count]],0)</f>
        <v>69.090909090909093</v>
      </c>
      <c r="J686" t="s">
        <v>15</v>
      </c>
      <c r="K686" t="s">
        <v>16</v>
      </c>
      <c r="L686">
        <v>1277787600</v>
      </c>
      <c r="M686" s="9">
        <f>(((Table1[[#This Row],[launched_at]]/60)/60)/24)+DATE(1970,1,1)</f>
        <v>40358.208333333336</v>
      </c>
      <c r="N686">
        <v>1279515600</v>
      </c>
      <c r="O686" s="9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LEFT(Table1[[#This Row],[category &amp; sub-category]],SEARCH("/",Table1[[#This Row],[category &amp; sub-category]],1)-1)</f>
        <v>publishing</v>
      </c>
      <c r="T686" t="str">
        <f>RIGHT(Table1[[#This Row],[category &amp; sub-category]],LEN(Table1[[#This Row],[category &amp; sub-category]])-SEARCH("/",Table1[[#This Row],[category &amp; sub-category]],1))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(Table1[[#This Row],[pledged]]/Table1[[#This Row],[goal]])*100</f>
        <v>67.500714285714281</v>
      </c>
      <c r="G687" t="s">
        <v>14</v>
      </c>
      <c r="H687">
        <v>926</v>
      </c>
      <c r="I687" s="4">
        <f>IFERROR(Table1[[#This Row],[pledged]]/Table1[[#This Row],[backers_count]],0)</f>
        <v>102.05291576673866</v>
      </c>
      <c r="J687" t="s">
        <v>15</v>
      </c>
      <c r="K687" t="s">
        <v>16</v>
      </c>
      <c r="L687">
        <v>1440306000</v>
      </c>
      <c r="M687" s="9">
        <f>(((Table1[[#This Row],[launched_at]]/60)/60)/24)+DATE(1970,1,1)</f>
        <v>42239.208333333328</v>
      </c>
      <c r="N687">
        <v>1442379600</v>
      </c>
      <c r="O687" s="9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LEFT(Table1[[#This Row],[category &amp; sub-category]],SEARCH("/",Table1[[#This Row],[category &amp; sub-category]],1)-1)</f>
        <v>theater</v>
      </c>
      <c r="T687" t="str">
        <f>RIGHT(Table1[[#This Row],[category &amp; sub-category]],LEN(Table1[[#This Row],[category &amp; sub-category]])-SEARCH("/",Table1[[#This Row],[category &amp; sub-category]],1))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(Table1[[#This Row],[pledged]]/Table1[[#This Row],[goal]])*100</f>
        <v>191.74666666666667</v>
      </c>
      <c r="G688" t="s">
        <v>20</v>
      </c>
      <c r="H688">
        <v>134</v>
      </c>
      <c r="I688" s="4">
        <f>IFERROR(Table1[[#This Row],[pledged]]/Table1[[#This Row],[backers_count]],0)</f>
        <v>107.32089552238806</v>
      </c>
      <c r="J688" t="s">
        <v>21</v>
      </c>
      <c r="K688" t="s">
        <v>22</v>
      </c>
      <c r="L688">
        <v>1522126800</v>
      </c>
      <c r="M688" s="9">
        <f>(((Table1[[#This Row],[launched_at]]/60)/60)/24)+DATE(1970,1,1)</f>
        <v>43186.208333333328</v>
      </c>
      <c r="N688">
        <v>1523077200</v>
      </c>
      <c r="O688" s="9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LEFT(Table1[[#This Row],[category &amp; sub-category]],SEARCH("/",Table1[[#This Row],[category &amp; sub-category]],1)-1)</f>
        <v>technology</v>
      </c>
      <c r="T688" t="str">
        <f>RIGHT(Table1[[#This Row],[category &amp; sub-category]],LEN(Table1[[#This Row],[category &amp; sub-category]])-SEARCH("/",Table1[[#This Row],[category &amp; sub-category]],1))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(Table1[[#This Row],[pledged]]/Table1[[#This Row],[goal]])*100</f>
        <v>932</v>
      </c>
      <c r="G689" t="s">
        <v>20</v>
      </c>
      <c r="H689">
        <v>269</v>
      </c>
      <c r="I689" s="4">
        <f>IFERROR(Table1[[#This Row],[pledged]]/Table1[[#This Row],[backers_count]],0)</f>
        <v>51.970260223048328</v>
      </c>
      <c r="J689" t="s">
        <v>21</v>
      </c>
      <c r="K689" t="s">
        <v>22</v>
      </c>
      <c r="L689">
        <v>1489298400</v>
      </c>
      <c r="M689" s="9">
        <f>(((Table1[[#This Row],[launched_at]]/60)/60)/24)+DATE(1970,1,1)</f>
        <v>42806.25</v>
      </c>
      <c r="N689">
        <v>1489554000</v>
      </c>
      <c r="O689" s="9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LEFT(Table1[[#This Row],[category &amp; sub-category]],SEARCH("/",Table1[[#This Row],[category &amp; sub-category]],1)-1)</f>
        <v>theater</v>
      </c>
      <c r="T689" t="str">
        <f>RIGHT(Table1[[#This Row],[category &amp; sub-category]],LEN(Table1[[#This Row],[category &amp; sub-category]])-SEARCH("/",Table1[[#This Row],[category &amp; sub-category]],1))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(Table1[[#This Row],[pledged]]/Table1[[#This Row],[goal]])*100</f>
        <v>429.27586206896552</v>
      </c>
      <c r="G690" t="s">
        <v>20</v>
      </c>
      <c r="H690">
        <v>175</v>
      </c>
      <c r="I690" s="4">
        <f>IFERROR(Table1[[#This Row],[pledged]]/Table1[[#This Row],[backers_count]],0)</f>
        <v>71.137142857142862</v>
      </c>
      <c r="J690" t="s">
        <v>21</v>
      </c>
      <c r="K690" t="s">
        <v>22</v>
      </c>
      <c r="L690">
        <v>1547100000</v>
      </c>
      <c r="M690" s="9">
        <f>(((Table1[[#This Row],[launched_at]]/60)/60)/24)+DATE(1970,1,1)</f>
        <v>43475.25</v>
      </c>
      <c r="N690">
        <v>1548482400</v>
      </c>
      <c r="O690" s="9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LEFT(Table1[[#This Row],[category &amp; sub-category]],SEARCH("/",Table1[[#This Row],[category &amp; sub-category]],1)-1)</f>
        <v>film &amp; video</v>
      </c>
      <c r="T690" t="str">
        <f>RIGHT(Table1[[#This Row],[category &amp; sub-category]],LEN(Table1[[#This Row],[category &amp; sub-category]])-SEARCH("/",Table1[[#This Row],[category &amp; sub-category]],1))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(Table1[[#This Row],[pledged]]/Table1[[#This Row],[goal]])*100</f>
        <v>100.65753424657535</v>
      </c>
      <c r="G691" t="s">
        <v>20</v>
      </c>
      <c r="H691">
        <v>69</v>
      </c>
      <c r="I691" s="4">
        <f>IFERROR(Table1[[#This Row],[pledged]]/Table1[[#This Row],[backers_count]],0)</f>
        <v>106.49275362318841</v>
      </c>
      <c r="J691" t="s">
        <v>21</v>
      </c>
      <c r="K691" t="s">
        <v>22</v>
      </c>
      <c r="L691">
        <v>1383022800</v>
      </c>
      <c r="M691" s="9">
        <f>(((Table1[[#This Row],[launched_at]]/60)/60)/24)+DATE(1970,1,1)</f>
        <v>41576.208333333336</v>
      </c>
      <c r="N691">
        <v>1384063200</v>
      </c>
      <c r="O691" s="9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LEFT(Table1[[#This Row],[category &amp; sub-category]],SEARCH("/",Table1[[#This Row],[category &amp; sub-category]],1)-1)</f>
        <v>technology</v>
      </c>
      <c r="T691" t="str">
        <f>RIGHT(Table1[[#This Row],[category &amp; sub-category]],LEN(Table1[[#This Row],[category &amp; sub-category]])-SEARCH("/",Table1[[#This Row],[category &amp; sub-category]],1))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(Table1[[#This Row],[pledged]]/Table1[[#This Row],[goal]])*100</f>
        <v>226.61111111111109</v>
      </c>
      <c r="G692" t="s">
        <v>20</v>
      </c>
      <c r="H692">
        <v>190</v>
      </c>
      <c r="I692" s="4">
        <f>IFERROR(Table1[[#This Row],[pledged]]/Table1[[#This Row],[backers_count]],0)</f>
        <v>42.93684210526316</v>
      </c>
      <c r="J692" t="s">
        <v>21</v>
      </c>
      <c r="K692" t="s">
        <v>22</v>
      </c>
      <c r="L692">
        <v>1322373600</v>
      </c>
      <c r="M692" s="9">
        <f>(((Table1[[#This Row],[launched_at]]/60)/60)/24)+DATE(1970,1,1)</f>
        <v>40874.25</v>
      </c>
      <c r="N692">
        <v>1322892000</v>
      </c>
      <c r="O692" s="9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LEFT(Table1[[#This Row],[category &amp; sub-category]],SEARCH("/",Table1[[#This Row],[category &amp; sub-category]],1)-1)</f>
        <v>film &amp; video</v>
      </c>
      <c r="T692" t="str">
        <f>RIGHT(Table1[[#This Row],[category &amp; sub-category]],LEN(Table1[[#This Row],[category &amp; sub-category]])-SEARCH("/",Table1[[#This Row],[category &amp; sub-category]],1))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(Table1[[#This Row],[pledged]]/Table1[[#This Row],[goal]])*100</f>
        <v>142.38</v>
      </c>
      <c r="G693" t="s">
        <v>20</v>
      </c>
      <c r="H693">
        <v>237</v>
      </c>
      <c r="I693" s="4">
        <f>IFERROR(Table1[[#This Row],[pledged]]/Table1[[#This Row],[backers_count]],0)</f>
        <v>30.037974683544302</v>
      </c>
      <c r="J693" t="s">
        <v>21</v>
      </c>
      <c r="K693" t="s">
        <v>22</v>
      </c>
      <c r="L693">
        <v>1349240400</v>
      </c>
      <c r="M693" s="9">
        <f>(((Table1[[#This Row],[launched_at]]/60)/60)/24)+DATE(1970,1,1)</f>
        <v>41185.208333333336</v>
      </c>
      <c r="N693">
        <v>1350709200</v>
      </c>
      <c r="O693" s="9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LEFT(Table1[[#This Row],[category &amp; sub-category]],SEARCH("/",Table1[[#This Row],[category &amp; sub-category]],1)-1)</f>
        <v>film &amp; video</v>
      </c>
      <c r="T693" t="str">
        <f>RIGHT(Table1[[#This Row],[category &amp; sub-category]],LEN(Table1[[#This Row],[category &amp; sub-category]])-SEARCH("/",Table1[[#This Row],[category &amp; sub-category]],1))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(Table1[[#This Row],[pledged]]/Table1[[#This Row],[goal]])*100</f>
        <v>90.633333333333326</v>
      </c>
      <c r="G694" t="s">
        <v>14</v>
      </c>
      <c r="H694">
        <v>77</v>
      </c>
      <c r="I694" s="4">
        <f>IFERROR(Table1[[#This Row],[pledged]]/Table1[[#This Row],[backers_count]],0)</f>
        <v>70.623376623376629</v>
      </c>
      <c r="J694" t="s">
        <v>40</v>
      </c>
      <c r="K694" t="s">
        <v>41</v>
      </c>
      <c r="L694">
        <v>1562648400</v>
      </c>
      <c r="M694" s="9">
        <f>(((Table1[[#This Row],[launched_at]]/60)/60)/24)+DATE(1970,1,1)</f>
        <v>43655.208333333328</v>
      </c>
      <c r="N694">
        <v>1564203600</v>
      </c>
      <c r="O694" s="9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LEFT(Table1[[#This Row],[category &amp; sub-category]],SEARCH("/",Table1[[#This Row],[category &amp; sub-category]],1)-1)</f>
        <v>music</v>
      </c>
      <c r="T694" t="str">
        <f>RIGHT(Table1[[#This Row],[category &amp; sub-category]],LEN(Table1[[#This Row],[category &amp; sub-category]])-SEARCH("/",Table1[[#This Row],[category &amp; sub-category]],1))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(Table1[[#This Row],[pledged]]/Table1[[#This Row],[goal]])*100</f>
        <v>63.966740576496676</v>
      </c>
      <c r="G695" t="s">
        <v>14</v>
      </c>
      <c r="H695">
        <v>1748</v>
      </c>
      <c r="I695" s="4">
        <f>IFERROR(Table1[[#This Row],[pledged]]/Table1[[#This Row],[backers_count]],0)</f>
        <v>66.016018306636155</v>
      </c>
      <c r="J695" t="s">
        <v>21</v>
      </c>
      <c r="K695" t="s">
        <v>22</v>
      </c>
      <c r="L695">
        <v>1508216400</v>
      </c>
      <c r="M695" s="9">
        <f>(((Table1[[#This Row],[launched_at]]/60)/60)/24)+DATE(1970,1,1)</f>
        <v>43025.208333333328</v>
      </c>
      <c r="N695">
        <v>1509685200</v>
      </c>
      <c r="O695" s="9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LEFT(Table1[[#This Row],[category &amp; sub-category]],SEARCH("/",Table1[[#This Row],[category &amp; sub-category]],1)-1)</f>
        <v>theater</v>
      </c>
      <c r="T695" t="str">
        <f>RIGHT(Table1[[#This Row],[category &amp; sub-category]],LEN(Table1[[#This Row],[category &amp; sub-category]])-SEARCH("/",Table1[[#This Row],[category &amp; sub-category]],1))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(Table1[[#This Row],[pledged]]/Table1[[#This Row],[goal]])*100</f>
        <v>84.131868131868131</v>
      </c>
      <c r="G696" t="s">
        <v>14</v>
      </c>
      <c r="H696">
        <v>79</v>
      </c>
      <c r="I696" s="4">
        <f>IFERROR(Table1[[#This Row],[pledged]]/Table1[[#This Row],[backers_count]],0)</f>
        <v>96.911392405063296</v>
      </c>
      <c r="J696" t="s">
        <v>21</v>
      </c>
      <c r="K696" t="s">
        <v>22</v>
      </c>
      <c r="L696">
        <v>1511762400</v>
      </c>
      <c r="M696" s="9">
        <f>(((Table1[[#This Row],[launched_at]]/60)/60)/24)+DATE(1970,1,1)</f>
        <v>43066.25</v>
      </c>
      <c r="N696">
        <v>1514959200</v>
      </c>
      <c r="O696" s="9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LEFT(Table1[[#This Row],[category &amp; sub-category]],SEARCH("/",Table1[[#This Row],[category &amp; sub-category]],1)-1)</f>
        <v>theater</v>
      </c>
      <c r="T696" t="str">
        <f>RIGHT(Table1[[#This Row],[category &amp; sub-category]],LEN(Table1[[#This Row],[category &amp; sub-category]])-SEARCH("/",Table1[[#This Row],[category &amp; sub-category]],1))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(Table1[[#This Row],[pledged]]/Table1[[#This Row],[goal]])*100</f>
        <v>133.93478260869566</v>
      </c>
      <c r="G697" t="s">
        <v>20</v>
      </c>
      <c r="H697">
        <v>196</v>
      </c>
      <c r="I697" s="4">
        <f>IFERROR(Table1[[#This Row],[pledged]]/Table1[[#This Row],[backers_count]],0)</f>
        <v>62.867346938775512</v>
      </c>
      <c r="J697" t="s">
        <v>107</v>
      </c>
      <c r="K697" t="s">
        <v>108</v>
      </c>
      <c r="L697">
        <v>1447480800</v>
      </c>
      <c r="M697" s="9">
        <f>(((Table1[[#This Row],[launched_at]]/60)/60)/24)+DATE(1970,1,1)</f>
        <v>42322.25</v>
      </c>
      <c r="N697">
        <v>1448863200</v>
      </c>
      <c r="O697" s="9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LEFT(Table1[[#This Row],[category &amp; sub-category]],SEARCH("/",Table1[[#This Row],[category &amp; sub-category]],1)-1)</f>
        <v>music</v>
      </c>
      <c r="T697" t="str">
        <f>RIGHT(Table1[[#This Row],[category &amp; sub-category]],LEN(Table1[[#This Row],[category &amp; sub-category]])-SEARCH("/",Table1[[#This Row],[category &amp; sub-category]],1))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(Table1[[#This Row],[pledged]]/Table1[[#This Row],[goal]])*100</f>
        <v>59.042047531992694</v>
      </c>
      <c r="G698" t="s">
        <v>14</v>
      </c>
      <c r="H698">
        <v>889</v>
      </c>
      <c r="I698" s="4">
        <f>IFERROR(Table1[[#This Row],[pledged]]/Table1[[#This Row],[backers_count]],0)</f>
        <v>108.98537682789652</v>
      </c>
      <c r="J698" t="s">
        <v>21</v>
      </c>
      <c r="K698" t="s">
        <v>22</v>
      </c>
      <c r="L698">
        <v>1429506000</v>
      </c>
      <c r="M698" s="9">
        <f>(((Table1[[#This Row],[launched_at]]/60)/60)/24)+DATE(1970,1,1)</f>
        <v>42114.208333333328</v>
      </c>
      <c r="N698">
        <v>1429592400</v>
      </c>
      <c r="O698" s="9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LEFT(Table1[[#This Row],[category &amp; sub-category]],SEARCH("/",Table1[[#This Row],[category &amp; sub-category]],1)-1)</f>
        <v>theater</v>
      </c>
      <c r="T698" t="str">
        <f>RIGHT(Table1[[#This Row],[category &amp; sub-category]],LEN(Table1[[#This Row],[category &amp; sub-category]])-SEARCH("/",Table1[[#This Row],[category &amp; sub-category]],1))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(Table1[[#This Row],[pledged]]/Table1[[#This Row],[goal]])*100</f>
        <v>152.80062063615205</v>
      </c>
      <c r="G699" t="s">
        <v>20</v>
      </c>
      <c r="H699">
        <v>7295</v>
      </c>
      <c r="I699" s="4">
        <f>IFERROR(Table1[[#This Row],[pledged]]/Table1[[#This Row],[backers_count]],0)</f>
        <v>26.999314599040439</v>
      </c>
      <c r="J699" t="s">
        <v>21</v>
      </c>
      <c r="K699" t="s">
        <v>22</v>
      </c>
      <c r="L699">
        <v>1522472400</v>
      </c>
      <c r="M699" s="9">
        <f>(((Table1[[#This Row],[launched_at]]/60)/60)/24)+DATE(1970,1,1)</f>
        <v>43190.208333333328</v>
      </c>
      <c r="N699">
        <v>1522645200</v>
      </c>
      <c r="O699" s="9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LEFT(Table1[[#This Row],[category &amp; sub-category]],SEARCH("/",Table1[[#This Row],[category &amp; sub-category]],1)-1)</f>
        <v>music</v>
      </c>
      <c r="T699" t="str">
        <f>RIGHT(Table1[[#This Row],[category &amp; sub-category]],LEN(Table1[[#This Row],[category &amp; sub-category]])-SEARCH("/",Table1[[#This Row],[category &amp; sub-category]],1))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(Table1[[#This Row],[pledged]]/Table1[[#This Row],[goal]])*100</f>
        <v>446.69121140142522</v>
      </c>
      <c r="G700" t="s">
        <v>20</v>
      </c>
      <c r="H700">
        <v>2893</v>
      </c>
      <c r="I700" s="4">
        <f>IFERROR(Table1[[#This Row],[pledged]]/Table1[[#This Row],[backers_count]],0)</f>
        <v>65.004147943311438</v>
      </c>
      <c r="J700" t="s">
        <v>15</v>
      </c>
      <c r="K700" t="s">
        <v>16</v>
      </c>
      <c r="L700">
        <v>1322114400</v>
      </c>
      <c r="M700" s="9">
        <f>(((Table1[[#This Row],[launched_at]]/60)/60)/24)+DATE(1970,1,1)</f>
        <v>40871.25</v>
      </c>
      <c r="N700">
        <v>1323324000</v>
      </c>
      <c r="O700" s="9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LEFT(Table1[[#This Row],[category &amp; sub-category]],SEARCH("/",Table1[[#This Row],[category &amp; sub-category]],1)-1)</f>
        <v>technology</v>
      </c>
      <c r="T700" t="str">
        <f>RIGHT(Table1[[#This Row],[category &amp; sub-category]],LEN(Table1[[#This Row],[category &amp; sub-category]])-SEARCH("/",Table1[[#This Row],[category &amp; sub-category]],1))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(Table1[[#This Row],[pledged]]/Table1[[#This Row],[goal]])*100</f>
        <v>84.391891891891888</v>
      </c>
      <c r="G701" t="s">
        <v>14</v>
      </c>
      <c r="H701">
        <v>56</v>
      </c>
      <c r="I701" s="4">
        <f>IFERROR(Table1[[#This Row],[pledged]]/Table1[[#This Row],[backers_count]],0)</f>
        <v>111.51785714285714</v>
      </c>
      <c r="J701" t="s">
        <v>21</v>
      </c>
      <c r="K701" t="s">
        <v>22</v>
      </c>
      <c r="L701">
        <v>1561438800</v>
      </c>
      <c r="M701" s="9">
        <f>(((Table1[[#This Row],[launched_at]]/60)/60)/24)+DATE(1970,1,1)</f>
        <v>43641.208333333328</v>
      </c>
      <c r="N701">
        <v>1561525200</v>
      </c>
      <c r="O701" s="9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LEFT(Table1[[#This Row],[category &amp; sub-category]],SEARCH("/",Table1[[#This Row],[category &amp; sub-category]],1)-1)</f>
        <v>film &amp; video</v>
      </c>
      <c r="T701" t="str">
        <f>RIGHT(Table1[[#This Row],[category &amp; sub-category]],LEN(Table1[[#This Row],[category &amp; sub-category]])-SEARCH("/",Table1[[#This Row],[category &amp; sub-category]],1))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(Table1[[#This Row],[pledged]]/Table1[[#This Row],[goal]])*100</f>
        <v>3</v>
      </c>
      <c r="G702" t="s">
        <v>14</v>
      </c>
      <c r="H702">
        <v>1</v>
      </c>
      <c r="I702" s="4">
        <f>IFERROR(Table1[[#This Row],[pledged]]/Table1[[#This Row],[backers_count]],0)</f>
        <v>3</v>
      </c>
      <c r="J702" t="s">
        <v>21</v>
      </c>
      <c r="K702" t="s">
        <v>22</v>
      </c>
      <c r="L702">
        <v>1264399200</v>
      </c>
      <c r="M702" s="9">
        <f>(((Table1[[#This Row],[launched_at]]/60)/60)/24)+DATE(1970,1,1)</f>
        <v>40203.25</v>
      </c>
      <c r="N702">
        <v>1265695200</v>
      </c>
      <c r="O702" s="9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LEFT(Table1[[#This Row],[category &amp; sub-category]],SEARCH("/",Table1[[#This Row],[category &amp; sub-category]],1)-1)</f>
        <v>technology</v>
      </c>
      <c r="T702" t="str">
        <f>RIGHT(Table1[[#This Row],[category &amp; sub-category]],LEN(Table1[[#This Row],[category &amp; sub-category]])-SEARCH("/",Table1[[#This Row],[category &amp; sub-category]],1))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(Table1[[#This Row],[pledged]]/Table1[[#This Row],[goal]])*100</f>
        <v>175.02692307692308</v>
      </c>
      <c r="G703" t="s">
        <v>20</v>
      </c>
      <c r="H703">
        <v>820</v>
      </c>
      <c r="I703" s="4">
        <f>IFERROR(Table1[[#This Row],[pledged]]/Table1[[#This Row],[backers_count]],0)</f>
        <v>110.99268292682927</v>
      </c>
      <c r="J703" t="s">
        <v>21</v>
      </c>
      <c r="K703" t="s">
        <v>22</v>
      </c>
      <c r="L703">
        <v>1301202000</v>
      </c>
      <c r="M703" s="9">
        <f>(((Table1[[#This Row],[launched_at]]/60)/60)/24)+DATE(1970,1,1)</f>
        <v>40629.208333333336</v>
      </c>
      <c r="N703">
        <v>1301806800</v>
      </c>
      <c r="O703" s="9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LEFT(Table1[[#This Row],[category &amp; sub-category]],SEARCH("/",Table1[[#This Row],[category &amp; sub-category]],1)-1)</f>
        <v>theater</v>
      </c>
      <c r="T703" t="str">
        <f>RIGHT(Table1[[#This Row],[category &amp; sub-category]],LEN(Table1[[#This Row],[category &amp; sub-category]])-SEARCH("/",Table1[[#This Row],[category &amp; sub-category]],1))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(Table1[[#This Row],[pledged]]/Table1[[#This Row],[goal]])*100</f>
        <v>54.137931034482754</v>
      </c>
      <c r="G704" t="s">
        <v>14</v>
      </c>
      <c r="H704">
        <v>83</v>
      </c>
      <c r="I704" s="4">
        <f>IFERROR(Table1[[#This Row],[pledged]]/Table1[[#This Row],[backers_count]],0)</f>
        <v>56.746987951807228</v>
      </c>
      <c r="J704" t="s">
        <v>21</v>
      </c>
      <c r="K704" t="s">
        <v>22</v>
      </c>
      <c r="L704">
        <v>1374469200</v>
      </c>
      <c r="M704" s="9">
        <f>(((Table1[[#This Row],[launched_at]]/60)/60)/24)+DATE(1970,1,1)</f>
        <v>41477.208333333336</v>
      </c>
      <c r="N704">
        <v>1374901200</v>
      </c>
      <c r="O704" s="9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LEFT(Table1[[#This Row],[category &amp; sub-category]],SEARCH("/",Table1[[#This Row],[category &amp; sub-category]],1)-1)</f>
        <v>technology</v>
      </c>
      <c r="T704" t="str">
        <f>RIGHT(Table1[[#This Row],[category &amp; sub-category]],LEN(Table1[[#This Row],[category &amp; sub-category]])-SEARCH("/",Table1[[#This Row],[category &amp; sub-category]],1))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(Table1[[#This Row],[pledged]]/Table1[[#This Row],[goal]])*100</f>
        <v>311.87381703470032</v>
      </c>
      <c r="G705" t="s">
        <v>20</v>
      </c>
      <c r="H705">
        <v>2038</v>
      </c>
      <c r="I705" s="4">
        <f>IFERROR(Table1[[#This Row],[pledged]]/Table1[[#This Row],[backers_count]],0)</f>
        <v>97.020608439646708</v>
      </c>
      <c r="J705" t="s">
        <v>21</v>
      </c>
      <c r="K705" t="s">
        <v>22</v>
      </c>
      <c r="L705">
        <v>1334984400</v>
      </c>
      <c r="M705" s="9">
        <f>(((Table1[[#This Row],[launched_at]]/60)/60)/24)+DATE(1970,1,1)</f>
        <v>41020.208333333336</v>
      </c>
      <c r="N705">
        <v>1336453200</v>
      </c>
      <c r="O705" s="9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LEFT(Table1[[#This Row],[category &amp; sub-category]],SEARCH("/",Table1[[#This Row],[category &amp; sub-category]],1)-1)</f>
        <v>publishing</v>
      </c>
      <c r="T705" t="str">
        <f>RIGHT(Table1[[#This Row],[category &amp; sub-category]],LEN(Table1[[#This Row],[category &amp; sub-category]])-SEARCH("/",Table1[[#This Row],[category &amp; sub-category]],1))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(Table1[[#This Row],[pledged]]/Table1[[#This Row],[goal]])*100</f>
        <v>122.78160919540231</v>
      </c>
      <c r="G706" t="s">
        <v>20</v>
      </c>
      <c r="H706">
        <v>116</v>
      </c>
      <c r="I706" s="4">
        <f>IFERROR(Table1[[#This Row],[pledged]]/Table1[[#This Row],[backers_count]],0)</f>
        <v>92.08620689655173</v>
      </c>
      <c r="J706" t="s">
        <v>21</v>
      </c>
      <c r="K706" t="s">
        <v>22</v>
      </c>
      <c r="L706">
        <v>1467608400</v>
      </c>
      <c r="M706" s="9">
        <f>(((Table1[[#This Row],[launched_at]]/60)/60)/24)+DATE(1970,1,1)</f>
        <v>42555.208333333328</v>
      </c>
      <c r="N706">
        <v>1468904400</v>
      </c>
      <c r="O706" s="9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LEFT(Table1[[#This Row],[category &amp; sub-category]],SEARCH("/",Table1[[#This Row],[category &amp; sub-category]],1)-1)</f>
        <v>film &amp; video</v>
      </c>
      <c r="T706" t="str">
        <f>RIGHT(Table1[[#This Row],[category &amp; sub-category]],LEN(Table1[[#This Row],[category &amp; sub-category]])-SEARCH("/",Table1[[#This Row],[category &amp; sub-category]],1))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(Table1[[#This Row],[pledged]]/Table1[[#This Row],[goal]])*100</f>
        <v>99.026517383618156</v>
      </c>
      <c r="G707" t="s">
        <v>14</v>
      </c>
      <c r="H707">
        <v>2025</v>
      </c>
      <c r="I707" s="4">
        <f>IFERROR(Table1[[#This Row],[pledged]]/Table1[[#This Row],[backers_count]],0)</f>
        <v>82.986666666666665</v>
      </c>
      <c r="J707" t="s">
        <v>40</v>
      </c>
      <c r="K707" t="s">
        <v>41</v>
      </c>
      <c r="L707">
        <v>1386741600</v>
      </c>
      <c r="M707" s="9">
        <f>(((Table1[[#This Row],[launched_at]]/60)/60)/24)+DATE(1970,1,1)</f>
        <v>41619.25</v>
      </c>
      <c r="N707">
        <v>1387087200</v>
      </c>
      <c r="O707" s="9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LEFT(Table1[[#This Row],[category &amp; sub-category]],SEARCH("/",Table1[[#This Row],[category &amp; sub-category]],1)-1)</f>
        <v>publishing</v>
      </c>
      <c r="T707" t="str">
        <f>RIGHT(Table1[[#This Row],[category &amp; sub-category]],LEN(Table1[[#This Row],[category &amp; sub-category]])-SEARCH("/",Table1[[#This Row],[category &amp; sub-category]],1))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(Table1[[#This Row],[pledged]]/Table1[[#This Row],[goal]])*100</f>
        <v>127.84686346863469</v>
      </c>
      <c r="G708" t="s">
        <v>20</v>
      </c>
      <c r="H708">
        <v>1345</v>
      </c>
      <c r="I708" s="4">
        <f>IFERROR(Table1[[#This Row],[pledged]]/Table1[[#This Row],[backers_count]],0)</f>
        <v>103.03791821561339</v>
      </c>
      <c r="J708" t="s">
        <v>26</v>
      </c>
      <c r="K708" t="s">
        <v>27</v>
      </c>
      <c r="L708">
        <v>1546754400</v>
      </c>
      <c r="M708" s="9">
        <f>(((Table1[[#This Row],[launched_at]]/60)/60)/24)+DATE(1970,1,1)</f>
        <v>43471.25</v>
      </c>
      <c r="N708">
        <v>1547445600</v>
      </c>
      <c r="O708" s="9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LEFT(Table1[[#This Row],[category &amp; sub-category]],SEARCH("/",Table1[[#This Row],[category &amp; sub-category]],1)-1)</f>
        <v>technology</v>
      </c>
      <c r="T708" t="str">
        <f>RIGHT(Table1[[#This Row],[category &amp; sub-category]],LEN(Table1[[#This Row],[category &amp; sub-category]])-SEARCH("/",Table1[[#This Row],[category &amp; sub-category]],1))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(Table1[[#This Row],[pledged]]/Table1[[#This Row],[goal]])*100</f>
        <v>158.61643835616439</v>
      </c>
      <c r="G709" t="s">
        <v>20</v>
      </c>
      <c r="H709">
        <v>168</v>
      </c>
      <c r="I709" s="4">
        <f>IFERROR(Table1[[#This Row],[pledged]]/Table1[[#This Row],[backers_count]],0)</f>
        <v>68.922619047619051</v>
      </c>
      <c r="J709" t="s">
        <v>21</v>
      </c>
      <c r="K709" t="s">
        <v>22</v>
      </c>
      <c r="L709">
        <v>1544248800</v>
      </c>
      <c r="M709" s="9">
        <f>(((Table1[[#This Row],[launched_at]]/60)/60)/24)+DATE(1970,1,1)</f>
        <v>43442.25</v>
      </c>
      <c r="N709">
        <v>1547359200</v>
      </c>
      <c r="O709" s="9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LEFT(Table1[[#This Row],[category &amp; sub-category]],SEARCH("/",Table1[[#This Row],[category &amp; sub-category]],1)-1)</f>
        <v>film &amp; video</v>
      </c>
      <c r="T709" t="str">
        <f>RIGHT(Table1[[#This Row],[category &amp; sub-category]],LEN(Table1[[#This Row],[category &amp; sub-category]])-SEARCH("/",Table1[[#This Row],[category &amp; sub-category]],1))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(Table1[[#This Row],[pledged]]/Table1[[#This Row],[goal]])*100</f>
        <v>707.05882352941171</v>
      </c>
      <c r="G710" t="s">
        <v>20</v>
      </c>
      <c r="H710">
        <v>137</v>
      </c>
      <c r="I710" s="4">
        <f>IFERROR(Table1[[#This Row],[pledged]]/Table1[[#This Row],[backers_count]],0)</f>
        <v>87.737226277372258</v>
      </c>
      <c r="J710" t="s">
        <v>98</v>
      </c>
      <c r="K710" t="s">
        <v>99</v>
      </c>
      <c r="L710">
        <v>1495429200</v>
      </c>
      <c r="M710" s="9">
        <f>(((Table1[[#This Row],[launched_at]]/60)/60)/24)+DATE(1970,1,1)</f>
        <v>42877.208333333328</v>
      </c>
      <c r="N710">
        <v>1496293200</v>
      </c>
      <c r="O710" s="9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LEFT(Table1[[#This Row],[category &amp; sub-category]],SEARCH("/",Table1[[#This Row],[category &amp; sub-category]],1)-1)</f>
        <v>theater</v>
      </c>
      <c r="T710" t="str">
        <f>RIGHT(Table1[[#This Row],[category &amp; sub-category]],LEN(Table1[[#This Row],[category &amp; sub-category]])-SEARCH("/",Table1[[#This Row],[category &amp; sub-category]],1))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(Table1[[#This Row],[pledged]]/Table1[[#This Row],[goal]])*100</f>
        <v>142.38775510204081</v>
      </c>
      <c r="G711" t="s">
        <v>20</v>
      </c>
      <c r="H711">
        <v>186</v>
      </c>
      <c r="I711" s="4">
        <f>IFERROR(Table1[[#This Row],[pledged]]/Table1[[#This Row],[backers_count]],0)</f>
        <v>75.021505376344081</v>
      </c>
      <c r="J711" t="s">
        <v>107</v>
      </c>
      <c r="K711" t="s">
        <v>108</v>
      </c>
      <c r="L711">
        <v>1334811600</v>
      </c>
      <c r="M711" s="9">
        <f>(((Table1[[#This Row],[launched_at]]/60)/60)/24)+DATE(1970,1,1)</f>
        <v>41018.208333333336</v>
      </c>
      <c r="N711">
        <v>1335416400</v>
      </c>
      <c r="O711" s="9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LEFT(Table1[[#This Row],[category &amp; sub-category]],SEARCH("/",Table1[[#This Row],[category &amp; sub-category]],1)-1)</f>
        <v>theater</v>
      </c>
      <c r="T711" t="str">
        <f>RIGHT(Table1[[#This Row],[category &amp; sub-category]],LEN(Table1[[#This Row],[category &amp; sub-category]])-SEARCH("/",Table1[[#This Row],[category &amp; sub-category]],1))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(Table1[[#This Row],[pledged]]/Table1[[#This Row],[goal]])*100</f>
        <v>147.86046511627907</v>
      </c>
      <c r="G712" t="s">
        <v>20</v>
      </c>
      <c r="H712">
        <v>125</v>
      </c>
      <c r="I712" s="4">
        <f>IFERROR(Table1[[#This Row],[pledged]]/Table1[[#This Row],[backers_count]],0)</f>
        <v>50.863999999999997</v>
      </c>
      <c r="J712" t="s">
        <v>21</v>
      </c>
      <c r="K712" t="s">
        <v>22</v>
      </c>
      <c r="L712">
        <v>1531544400</v>
      </c>
      <c r="M712" s="9">
        <f>(((Table1[[#This Row],[launched_at]]/60)/60)/24)+DATE(1970,1,1)</f>
        <v>43295.208333333328</v>
      </c>
      <c r="N712">
        <v>1532149200</v>
      </c>
      <c r="O712" s="9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LEFT(Table1[[#This Row],[category &amp; sub-category]],SEARCH("/",Table1[[#This Row],[category &amp; sub-category]],1)-1)</f>
        <v>theater</v>
      </c>
      <c r="T712" t="str">
        <f>RIGHT(Table1[[#This Row],[category &amp; sub-category]],LEN(Table1[[#This Row],[category &amp; sub-category]])-SEARCH("/",Table1[[#This Row],[category &amp; sub-category]],1))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(Table1[[#This Row],[pledged]]/Table1[[#This Row],[goal]])*100</f>
        <v>20.322580645161288</v>
      </c>
      <c r="G713" t="s">
        <v>14</v>
      </c>
      <c r="H713">
        <v>14</v>
      </c>
      <c r="I713" s="4">
        <f>IFERROR(Table1[[#This Row],[pledged]]/Table1[[#This Row],[backers_count]],0)</f>
        <v>90</v>
      </c>
      <c r="J713" t="s">
        <v>107</v>
      </c>
      <c r="K713" t="s">
        <v>108</v>
      </c>
      <c r="L713">
        <v>1453615200</v>
      </c>
      <c r="M713" s="9">
        <f>(((Table1[[#This Row],[launched_at]]/60)/60)/24)+DATE(1970,1,1)</f>
        <v>42393.25</v>
      </c>
      <c r="N713">
        <v>1453788000</v>
      </c>
      <c r="O713" s="9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LEFT(Table1[[#This Row],[category &amp; sub-category]],SEARCH("/",Table1[[#This Row],[category &amp; sub-category]],1)-1)</f>
        <v>theater</v>
      </c>
      <c r="T713" t="str">
        <f>RIGHT(Table1[[#This Row],[category &amp; sub-category]],LEN(Table1[[#This Row],[category &amp; sub-category]])-SEARCH("/",Table1[[#This Row],[category &amp; sub-category]],1))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(Table1[[#This Row],[pledged]]/Table1[[#This Row],[goal]])*100</f>
        <v>1840.625</v>
      </c>
      <c r="G714" t="s">
        <v>20</v>
      </c>
      <c r="H714">
        <v>202</v>
      </c>
      <c r="I714" s="4">
        <f>IFERROR(Table1[[#This Row],[pledged]]/Table1[[#This Row],[backers_count]],0)</f>
        <v>72.896039603960389</v>
      </c>
      <c r="J714" t="s">
        <v>21</v>
      </c>
      <c r="K714" t="s">
        <v>22</v>
      </c>
      <c r="L714">
        <v>1467954000</v>
      </c>
      <c r="M714" s="9">
        <f>(((Table1[[#This Row],[launched_at]]/60)/60)/24)+DATE(1970,1,1)</f>
        <v>42559.208333333328</v>
      </c>
      <c r="N714">
        <v>1471496400</v>
      </c>
      <c r="O714" s="9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LEFT(Table1[[#This Row],[category &amp; sub-category]],SEARCH("/",Table1[[#This Row],[category &amp; sub-category]],1)-1)</f>
        <v>theater</v>
      </c>
      <c r="T714" t="str">
        <f>RIGHT(Table1[[#This Row],[category &amp; sub-category]],LEN(Table1[[#This Row],[category &amp; sub-category]])-SEARCH("/",Table1[[#This Row],[category &amp; sub-category]],1))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(Table1[[#This Row],[pledged]]/Table1[[#This Row],[goal]])*100</f>
        <v>161.94202898550725</v>
      </c>
      <c r="G715" t="s">
        <v>20</v>
      </c>
      <c r="H715">
        <v>103</v>
      </c>
      <c r="I715" s="4">
        <f>IFERROR(Table1[[#This Row],[pledged]]/Table1[[#This Row],[backers_count]],0)</f>
        <v>108.48543689320388</v>
      </c>
      <c r="J715" t="s">
        <v>21</v>
      </c>
      <c r="K715" t="s">
        <v>22</v>
      </c>
      <c r="L715">
        <v>1471842000</v>
      </c>
      <c r="M715" s="9">
        <f>(((Table1[[#This Row],[launched_at]]/60)/60)/24)+DATE(1970,1,1)</f>
        <v>42604.208333333328</v>
      </c>
      <c r="N715">
        <v>1472878800</v>
      </c>
      <c r="O715" s="9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LEFT(Table1[[#This Row],[category &amp; sub-category]],SEARCH("/",Table1[[#This Row],[category &amp; sub-category]],1)-1)</f>
        <v>publishing</v>
      </c>
      <c r="T715" t="str">
        <f>RIGHT(Table1[[#This Row],[category &amp; sub-category]],LEN(Table1[[#This Row],[category &amp; sub-category]])-SEARCH("/",Table1[[#This Row],[category &amp; sub-category]],1))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(Table1[[#This Row],[pledged]]/Table1[[#This Row],[goal]])*100</f>
        <v>472.82077922077923</v>
      </c>
      <c r="G716" t="s">
        <v>20</v>
      </c>
      <c r="H716">
        <v>1785</v>
      </c>
      <c r="I716" s="4">
        <f>IFERROR(Table1[[#This Row],[pledged]]/Table1[[#This Row],[backers_count]],0)</f>
        <v>101.98095238095237</v>
      </c>
      <c r="J716" t="s">
        <v>21</v>
      </c>
      <c r="K716" t="s">
        <v>22</v>
      </c>
      <c r="L716">
        <v>1408424400</v>
      </c>
      <c r="M716" s="9">
        <f>(((Table1[[#This Row],[launched_at]]/60)/60)/24)+DATE(1970,1,1)</f>
        <v>41870.208333333336</v>
      </c>
      <c r="N716">
        <v>1408510800</v>
      </c>
      <c r="O716" s="9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LEFT(Table1[[#This Row],[category &amp; sub-category]],SEARCH("/",Table1[[#This Row],[category &amp; sub-category]],1)-1)</f>
        <v>music</v>
      </c>
      <c r="T716" t="str">
        <f>RIGHT(Table1[[#This Row],[category &amp; sub-category]],LEN(Table1[[#This Row],[category &amp; sub-category]])-SEARCH("/",Table1[[#This Row],[category &amp; sub-category]],1))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(Table1[[#This Row],[pledged]]/Table1[[#This Row],[goal]])*100</f>
        <v>24.466101694915253</v>
      </c>
      <c r="G717" t="s">
        <v>14</v>
      </c>
      <c r="H717">
        <v>656</v>
      </c>
      <c r="I717" s="4">
        <f>IFERROR(Table1[[#This Row],[pledged]]/Table1[[#This Row],[backers_count]],0)</f>
        <v>44.009146341463413</v>
      </c>
      <c r="J717" t="s">
        <v>21</v>
      </c>
      <c r="K717" t="s">
        <v>22</v>
      </c>
      <c r="L717">
        <v>1281157200</v>
      </c>
      <c r="M717" s="9">
        <f>(((Table1[[#This Row],[launched_at]]/60)/60)/24)+DATE(1970,1,1)</f>
        <v>40397.208333333336</v>
      </c>
      <c r="N717">
        <v>1281589200</v>
      </c>
      <c r="O717" s="9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LEFT(Table1[[#This Row],[category &amp; sub-category]],SEARCH("/",Table1[[#This Row],[category &amp; sub-category]],1)-1)</f>
        <v>games</v>
      </c>
      <c r="T717" t="str">
        <f>RIGHT(Table1[[#This Row],[category &amp; sub-category]],LEN(Table1[[#This Row],[category &amp; sub-category]])-SEARCH("/",Table1[[#This Row],[category &amp; sub-category]],1))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(Table1[[#This Row],[pledged]]/Table1[[#This Row],[goal]])*100</f>
        <v>517.65</v>
      </c>
      <c r="G718" t="s">
        <v>20</v>
      </c>
      <c r="H718">
        <v>157</v>
      </c>
      <c r="I718" s="4">
        <f>IFERROR(Table1[[#This Row],[pledged]]/Table1[[#This Row],[backers_count]],0)</f>
        <v>65.942675159235662</v>
      </c>
      <c r="J718" t="s">
        <v>21</v>
      </c>
      <c r="K718" t="s">
        <v>22</v>
      </c>
      <c r="L718">
        <v>1373432400</v>
      </c>
      <c r="M718" s="9">
        <f>(((Table1[[#This Row],[launched_at]]/60)/60)/24)+DATE(1970,1,1)</f>
        <v>41465.208333333336</v>
      </c>
      <c r="N718">
        <v>1375851600</v>
      </c>
      <c r="O718" s="9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LEFT(Table1[[#This Row],[category &amp; sub-category]],SEARCH("/",Table1[[#This Row],[category &amp; sub-category]],1)-1)</f>
        <v>theater</v>
      </c>
      <c r="T718" t="str">
        <f>RIGHT(Table1[[#This Row],[category &amp; sub-category]],LEN(Table1[[#This Row],[category &amp; sub-category]])-SEARCH("/",Table1[[#This Row],[category &amp; sub-category]],1))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(Table1[[#This Row],[pledged]]/Table1[[#This Row],[goal]])*100</f>
        <v>247.64285714285714</v>
      </c>
      <c r="G719" t="s">
        <v>20</v>
      </c>
      <c r="H719">
        <v>555</v>
      </c>
      <c r="I719" s="4">
        <f>IFERROR(Table1[[#This Row],[pledged]]/Table1[[#This Row],[backers_count]],0)</f>
        <v>24.987387387387386</v>
      </c>
      <c r="J719" t="s">
        <v>21</v>
      </c>
      <c r="K719" t="s">
        <v>22</v>
      </c>
      <c r="L719">
        <v>1313989200</v>
      </c>
      <c r="M719" s="9">
        <f>(((Table1[[#This Row],[launched_at]]/60)/60)/24)+DATE(1970,1,1)</f>
        <v>40777.208333333336</v>
      </c>
      <c r="N719">
        <v>1315803600</v>
      </c>
      <c r="O719" s="9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LEFT(Table1[[#This Row],[category &amp; sub-category]],SEARCH("/",Table1[[#This Row],[category &amp; sub-category]],1)-1)</f>
        <v>film &amp; video</v>
      </c>
      <c r="T719" t="str">
        <f>RIGHT(Table1[[#This Row],[category &amp; sub-category]],LEN(Table1[[#This Row],[category &amp; sub-category]])-SEARCH("/",Table1[[#This Row],[category &amp; sub-category]],1))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(Table1[[#This Row],[pledged]]/Table1[[#This Row],[goal]])*100</f>
        <v>100.20481927710843</v>
      </c>
      <c r="G720" t="s">
        <v>20</v>
      </c>
      <c r="H720">
        <v>297</v>
      </c>
      <c r="I720" s="4">
        <f>IFERROR(Table1[[#This Row],[pledged]]/Table1[[#This Row],[backers_count]],0)</f>
        <v>28.003367003367003</v>
      </c>
      <c r="J720" t="s">
        <v>21</v>
      </c>
      <c r="K720" t="s">
        <v>22</v>
      </c>
      <c r="L720">
        <v>1371445200</v>
      </c>
      <c r="M720" s="9">
        <f>(((Table1[[#This Row],[launched_at]]/60)/60)/24)+DATE(1970,1,1)</f>
        <v>41442.208333333336</v>
      </c>
      <c r="N720">
        <v>1373691600</v>
      </c>
      <c r="O720" s="9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LEFT(Table1[[#This Row],[category &amp; sub-category]],SEARCH("/",Table1[[#This Row],[category &amp; sub-category]],1)-1)</f>
        <v>technology</v>
      </c>
      <c r="T720" t="str">
        <f>RIGHT(Table1[[#This Row],[category &amp; sub-category]],LEN(Table1[[#This Row],[category &amp; sub-category]])-SEARCH("/",Table1[[#This Row],[category &amp; sub-category]],1))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(Table1[[#This Row],[pledged]]/Table1[[#This Row],[goal]])*100</f>
        <v>153</v>
      </c>
      <c r="G721" t="s">
        <v>20</v>
      </c>
      <c r="H721">
        <v>123</v>
      </c>
      <c r="I721" s="4">
        <f>IFERROR(Table1[[#This Row],[pledged]]/Table1[[#This Row],[backers_count]],0)</f>
        <v>85.829268292682926</v>
      </c>
      <c r="J721" t="s">
        <v>21</v>
      </c>
      <c r="K721" t="s">
        <v>22</v>
      </c>
      <c r="L721">
        <v>1338267600</v>
      </c>
      <c r="M721" s="9">
        <f>(((Table1[[#This Row],[launched_at]]/60)/60)/24)+DATE(1970,1,1)</f>
        <v>41058.208333333336</v>
      </c>
      <c r="N721">
        <v>1339218000</v>
      </c>
      <c r="O721" s="9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LEFT(Table1[[#This Row],[category &amp; sub-category]],SEARCH("/",Table1[[#This Row],[category &amp; sub-category]],1)-1)</f>
        <v>publishing</v>
      </c>
      <c r="T721" t="str">
        <f>RIGHT(Table1[[#This Row],[category &amp; sub-category]],LEN(Table1[[#This Row],[category &amp; sub-category]])-SEARCH("/",Table1[[#This Row],[category &amp; sub-category]],1))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(Table1[[#This Row],[pledged]]/Table1[[#This Row],[goal]])*100</f>
        <v>37.091954022988503</v>
      </c>
      <c r="G722" t="s">
        <v>74</v>
      </c>
      <c r="H722">
        <v>38</v>
      </c>
      <c r="I722" s="4">
        <f>IFERROR(Table1[[#This Row],[pledged]]/Table1[[#This Row],[backers_count]],0)</f>
        <v>84.921052631578945</v>
      </c>
      <c r="J722" t="s">
        <v>36</v>
      </c>
      <c r="K722" t="s">
        <v>37</v>
      </c>
      <c r="L722">
        <v>1519192800</v>
      </c>
      <c r="M722" s="9">
        <f>(((Table1[[#This Row],[launched_at]]/60)/60)/24)+DATE(1970,1,1)</f>
        <v>43152.25</v>
      </c>
      <c r="N722">
        <v>1520402400</v>
      </c>
      <c r="O722" s="9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LEFT(Table1[[#This Row],[category &amp; sub-category]],SEARCH("/",Table1[[#This Row],[category &amp; sub-category]],1)-1)</f>
        <v>theater</v>
      </c>
      <c r="T722" t="str">
        <f>RIGHT(Table1[[#This Row],[category &amp; sub-category]],LEN(Table1[[#This Row],[category &amp; sub-category]])-SEARCH("/",Table1[[#This Row],[category &amp; sub-category]],1))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(Table1[[#This Row],[pledged]]/Table1[[#This Row],[goal]])*100</f>
        <v>4.392394822006473</v>
      </c>
      <c r="G723" t="s">
        <v>74</v>
      </c>
      <c r="H723">
        <v>60</v>
      </c>
      <c r="I723" s="4">
        <f>IFERROR(Table1[[#This Row],[pledged]]/Table1[[#This Row],[backers_count]],0)</f>
        <v>90.483333333333334</v>
      </c>
      <c r="J723" t="s">
        <v>21</v>
      </c>
      <c r="K723" t="s">
        <v>22</v>
      </c>
      <c r="L723">
        <v>1522818000</v>
      </c>
      <c r="M723" s="9">
        <f>(((Table1[[#This Row],[launched_at]]/60)/60)/24)+DATE(1970,1,1)</f>
        <v>43194.208333333328</v>
      </c>
      <c r="N723">
        <v>1523336400</v>
      </c>
      <c r="O723" s="9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LEFT(Table1[[#This Row],[category &amp; sub-category]],SEARCH("/",Table1[[#This Row],[category &amp; sub-category]],1)-1)</f>
        <v>music</v>
      </c>
      <c r="T723" t="str">
        <f>RIGHT(Table1[[#This Row],[category &amp; sub-category]],LEN(Table1[[#This Row],[category &amp; sub-category]])-SEARCH("/",Table1[[#This Row],[category &amp; sub-category]],1))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(Table1[[#This Row],[pledged]]/Table1[[#This Row],[goal]])*100</f>
        <v>156.50721649484535</v>
      </c>
      <c r="G724" t="s">
        <v>20</v>
      </c>
      <c r="H724">
        <v>3036</v>
      </c>
      <c r="I724" s="4">
        <f>IFERROR(Table1[[#This Row],[pledged]]/Table1[[#This Row],[backers_count]],0)</f>
        <v>25.00197628458498</v>
      </c>
      <c r="J724" t="s">
        <v>21</v>
      </c>
      <c r="K724" t="s">
        <v>22</v>
      </c>
      <c r="L724">
        <v>1509948000</v>
      </c>
      <c r="M724" s="9">
        <f>(((Table1[[#This Row],[launched_at]]/60)/60)/24)+DATE(1970,1,1)</f>
        <v>43045.25</v>
      </c>
      <c r="N724">
        <v>1512280800</v>
      </c>
      <c r="O724" s="9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LEFT(Table1[[#This Row],[category &amp; sub-category]],SEARCH("/",Table1[[#This Row],[category &amp; sub-category]],1)-1)</f>
        <v>film &amp; video</v>
      </c>
      <c r="T724" t="str">
        <f>RIGHT(Table1[[#This Row],[category &amp; sub-category]],LEN(Table1[[#This Row],[category &amp; sub-category]])-SEARCH("/",Table1[[#This Row],[category &amp; sub-category]],1))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(Table1[[#This Row],[pledged]]/Table1[[#This Row],[goal]])*100</f>
        <v>270.40816326530609</v>
      </c>
      <c r="G725" t="s">
        <v>20</v>
      </c>
      <c r="H725">
        <v>144</v>
      </c>
      <c r="I725" s="4">
        <f>IFERROR(Table1[[#This Row],[pledged]]/Table1[[#This Row],[backers_count]],0)</f>
        <v>92.013888888888886</v>
      </c>
      <c r="J725" t="s">
        <v>26</v>
      </c>
      <c r="K725" t="s">
        <v>27</v>
      </c>
      <c r="L725">
        <v>1456898400</v>
      </c>
      <c r="M725" s="9">
        <f>(((Table1[[#This Row],[launched_at]]/60)/60)/24)+DATE(1970,1,1)</f>
        <v>42431.25</v>
      </c>
      <c r="N725">
        <v>1458709200</v>
      </c>
      <c r="O725" s="9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LEFT(Table1[[#This Row],[category &amp; sub-category]],SEARCH("/",Table1[[#This Row],[category &amp; sub-category]],1)-1)</f>
        <v>theater</v>
      </c>
      <c r="T725" t="str">
        <f>RIGHT(Table1[[#This Row],[category &amp; sub-category]],LEN(Table1[[#This Row],[category &amp; sub-category]])-SEARCH("/",Table1[[#This Row],[category &amp; sub-category]],1))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(Table1[[#This Row],[pledged]]/Table1[[#This Row],[goal]])*100</f>
        <v>134.05952380952382</v>
      </c>
      <c r="G726" t="s">
        <v>20</v>
      </c>
      <c r="H726">
        <v>121</v>
      </c>
      <c r="I726" s="4">
        <f>IFERROR(Table1[[#This Row],[pledged]]/Table1[[#This Row],[backers_count]],0)</f>
        <v>93.066115702479337</v>
      </c>
      <c r="J726" t="s">
        <v>40</v>
      </c>
      <c r="K726" t="s">
        <v>41</v>
      </c>
      <c r="L726">
        <v>1413954000</v>
      </c>
      <c r="M726" s="9">
        <f>(((Table1[[#This Row],[launched_at]]/60)/60)/24)+DATE(1970,1,1)</f>
        <v>41934.208333333336</v>
      </c>
      <c r="N726">
        <v>1414126800</v>
      </c>
      <c r="O726" s="9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LEFT(Table1[[#This Row],[category &amp; sub-category]],SEARCH("/",Table1[[#This Row],[category &amp; sub-category]],1)-1)</f>
        <v>theater</v>
      </c>
      <c r="T726" t="str">
        <f>RIGHT(Table1[[#This Row],[category &amp; sub-category]],LEN(Table1[[#This Row],[category &amp; sub-category]])-SEARCH("/",Table1[[#This Row],[category &amp; sub-category]],1))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(Table1[[#This Row],[pledged]]/Table1[[#This Row],[goal]])*100</f>
        <v>50.398033126293996</v>
      </c>
      <c r="G727" t="s">
        <v>14</v>
      </c>
      <c r="H727">
        <v>1596</v>
      </c>
      <c r="I727" s="4">
        <f>IFERROR(Table1[[#This Row],[pledged]]/Table1[[#This Row],[backers_count]],0)</f>
        <v>61.008145363408524</v>
      </c>
      <c r="J727" t="s">
        <v>21</v>
      </c>
      <c r="K727" t="s">
        <v>22</v>
      </c>
      <c r="L727">
        <v>1416031200</v>
      </c>
      <c r="M727" s="9">
        <f>(((Table1[[#This Row],[launched_at]]/60)/60)/24)+DATE(1970,1,1)</f>
        <v>41958.25</v>
      </c>
      <c r="N727">
        <v>1416204000</v>
      </c>
      <c r="O727" s="9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LEFT(Table1[[#This Row],[category &amp; sub-category]],SEARCH("/",Table1[[#This Row],[category &amp; sub-category]],1)-1)</f>
        <v>games</v>
      </c>
      <c r="T727" t="str">
        <f>RIGHT(Table1[[#This Row],[category &amp; sub-category]],LEN(Table1[[#This Row],[category &amp; sub-category]])-SEARCH("/",Table1[[#This Row],[category &amp; sub-category]],1))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(Table1[[#This Row],[pledged]]/Table1[[#This Row],[goal]])*100</f>
        <v>88.815837937384899</v>
      </c>
      <c r="G728" t="s">
        <v>74</v>
      </c>
      <c r="H728">
        <v>524</v>
      </c>
      <c r="I728" s="4">
        <f>IFERROR(Table1[[#This Row],[pledged]]/Table1[[#This Row],[backers_count]],0)</f>
        <v>92.036259541984734</v>
      </c>
      <c r="J728" t="s">
        <v>21</v>
      </c>
      <c r="K728" t="s">
        <v>22</v>
      </c>
      <c r="L728">
        <v>1287982800</v>
      </c>
      <c r="M728" s="9">
        <f>(((Table1[[#This Row],[launched_at]]/60)/60)/24)+DATE(1970,1,1)</f>
        <v>40476.208333333336</v>
      </c>
      <c r="N728">
        <v>1288501200</v>
      </c>
      <c r="O728" s="9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LEFT(Table1[[#This Row],[category &amp; sub-category]],SEARCH("/",Table1[[#This Row],[category &amp; sub-category]],1)-1)</f>
        <v>theater</v>
      </c>
      <c r="T728" t="str">
        <f>RIGHT(Table1[[#This Row],[category &amp; sub-category]],LEN(Table1[[#This Row],[category &amp; sub-category]])-SEARCH("/",Table1[[#This Row],[category &amp; sub-category]],1))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(Table1[[#This Row],[pledged]]/Table1[[#This Row],[goal]])*100</f>
        <v>165</v>
      </c>
      <c r="G729" t="s">
        <v>20</v>
      </c>
      <c r="H729">
        <v>181</v>
      </c>
      <c r="I729" s="4">
        <f>IFERROR(Table1[[#This Row],[pledged]]/Table1[[#This Row],[backers_count]],0)</f>
        <v>81.132596685082873</v>
      </c>
      <c r="J729" t="s">
        <v>21</v>
      </c>
      <c r="K729" t="s">
        <v>22</v>
      </c>
      <c r="L729">
        <v>1547964000</v>
      </c>
      <c r="M729" s="9">
        <f>(((Table1[[#This Row],[launched_at]]/60)/60)/24)+DATE(1970,1,1)</f>
        <v>43485.25</v>
      </c>
      <c r="N729">
        <v>1552971600</v>
      </c>
      <c r="O729" s="9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LEFT(Table1[[#This Row],[category &amp; sub-category]],SEARCH("/",Table1[[#This Row],[category &amp; sub-category]],1)-1)</f>
        <v>technology</v>
      </c>
      <c r="T729" t="str">
        <f>RIGHT(Table1[[#This Row],[category &amp; sub-category]],LEN(Table1[[#This Row],[category &amp; sub-category]])-SEARCH("/",Table1[[#This Row],[category &amp; sub-category]],1))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(Table1[[#This Row],[pledged]]/Table1[[#This Row],[goal]])*100</f>
        <v>17.5</v>
      </c>
      <c r="G730" t="s">
        <v>14</v>
      </c>
      <c r="H730">
        <v>10</v>
      </c>
      <c r="I730" s="4">
        <f>IFERROR(Table1[[#This Row],[pledged]]/Table1[[#This Row],[backers_count]],0)</f>
        <v>73.5</v>
      </c>
      <c r="J730" t="s">
        <v>21</v>
      </c>
      <c r="K730" t="s">
        <v>22</v>
      </c>
      <c r="L730">
        <v>1464152400</v>
      </c>
      <c r="M730" s="9">
        <f>(((Table1[[#This Row],[launched_at]]/60)/60)/24)+DATE(1970,1,1)</f>
        <v>42515.208333333328</v>
      </c>
      <c r="N730">
        <v>1465102800</v>
      </c>
      <c r="O730" s="9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LEFT(Table1[[#This Row],[category &amp; sub-category]],SEARCH("/",Table1[[#This Row],[category &amp; sub-category]],1)-1)</f>
        <v>theater</v>
      </c>
      <c r="T730" t="str">
        <f>RIGHT(Table1[[#This Row],[category &amp; sub-category]],LEN(Table1[[#This Row],[category &amp; sub-category]])-SEARCH("/",Table1[[#This Row],[category &amp; sub-category]],1))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(Table1[[#This Row],[pledged]]/Table1[[#This Row],[goal]])*100</f>
        <v>185.66071428571428</v>
      </c>
      <c r="G731" t="s">
        <v>20</v>
      </c>
      <c r="H731">
        <v>122</v>
      </c>
      <c r="I731" s="4">
        <f>IFERROR(Table1[[#This Row],[pledged]]/Table1[[#This Row],[backers_count]],0)</f>
        <v>85.221311475409834</v>
      </c>
      <c r="J731" t="s">
        <v>21</v>
      </c>
      <c r="K731" t="s">
        <v>22</v>
      </c>
      <c r="L731">
        <v>1359957600</v>
      </c>
      <c r="M731" s="9">
        <f>(((Table1[[#This Row],[launched_at]]/60)/60)/24)+DATE(1970,1,1)</f>
        <v>41309.25</v>
      </c>
      <c r="N731">
        <v>1360130400</v>
      </c>
      <c r="O731" s="9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LEFT(Table1[[#This Row],[category &amp; sub-category]],SEARCH("/",Table1[[#This Row],[category &amp; sub-category]],1)-1)</f>
        <v>film &amp; video</v>
      </c>
      <c r="T731" t="str">
        <f>RIGHT(Table1[[#This Row],[category &amp; sub-category]],LEN(Table1[[#This Row],[category &amp; sub-category]])-SEARCH("/",Table1[[#This Row],[category &amp; sub-category]],1))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(Table1[[#This Row],[pledged]]/Table1[[#This Row],[goal]])*100</f>
        <v>412.6631944444444</v>
      </c>
      <c r="G732" t="s">
        <v>20</v>
      </c>
      <c r="H732">
        <v>1071</v>
      </c>
      <c r="I732" s="4">
        <f>IFERROR(Table1[[#This Row],[pledged]]/Table1[[#This Row],[backers_count]],0)</f>
        <v>110.96825396825396</v>
      </c>
      <c r="J732" t="s">
        <v>15</v>
      </c>
      <c r="K732" t="s">
        <v>16</v>
      </c>
      <c r="L732">
        <v>1432357200</v>
      </c>
      <c r="M732" s="9">
        <f>(((Table1[[#This Row],[launched_at]]/60)/60)/24)+DATE(1970,1,1)</f>
        <v>42147.208333333328</v>
      </c>
      <c r="N732">
        <v>1432875600</v>
      </c>
      <c r="O732" s="9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LEFT(Table1[[#This Row],[category &amp; sub-category]],SEARCH("/",Table1[[#This Row],[category &amp; sub-category]],1)-1)</f>
        <v>technology</v>
      </c>
      <c r="T732" t="str">
        <f>RIGHT(Table1[[#This Row],[category &amp; sub-category]],LEN(Table1[[#This Row],[category &amp; sub-category]])-SEARCH("/",Table1[[#This Row],[category &amp; sub-category]],1))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(Table1[[#This Row],[pledged]]/Table1[[#This Row],[goal]])*100</f>
        <v>90.25</v>
      </c>
      <c r="G733" t="s">
        <v>74</v>
      </c>
      <c r="H733">
        <v>219</v>
      </c>
      <c r="I733" s="4">
        <f>IFERROR(Table1[[#This Row],[pledged]]/Table1[[#This Row],[backers_count]],0)</f>
        <v>32.968036529680369</v>
      </c>
      <c r="J733" t="s">
        <v>21</v>
      </c>
      <c r="K733" t="s">
        <v>22</v>
      </c>
      <c r="L733">
        <v>1500786000</v>
      </c>
      <c r="M733" s="9">
        <f>(((Table1[[#This Row],[launched_at]]/60)/60)/24)+DATE(1970,1,1)</f>
        <v>42939.208333333328</v>
      </c>
      <c r="N733">
        <v>1500872400</v>
      </c>
      <c r="O733" s="9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LEFT(Table1[[#This Row],[category &amp; sub-category]],SEARCH("/",Table1[[#This Row],[category &amp; sub-category]],1)-1)</f>
        <v>technology</v>
      </c>
      <c r="T733" t="str">
        <f>RIGHT(Table1[[#This Row],[category &amp; sub-category]],LEN(Table1[[#This Row],[category &amp; sub-category]])-SEARCH("/",Table1[[#This Row],[category &amp; sub-category]],1))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(Table1[[#This Row],[pledged]]/Table1[[#This Row],[goal]])*100</f>
        <v>91.984615384615381</v>
      </c>
      <c r="G734" t="s">
        <v>14</v>
      </c>
      <c r="H734">
        <v>1121</v>
      </c>
      <c r="I734" s="4">
        <f>IFERROR(Table1[[#This Row],[pledged]]/Table1[[#This Row],[backers_count]],0)</f>
        <v>96.005352363960753</v>
      </c>
      <c r="J734" t="s">
        <v>21</v>
      </c>
      <c r="K734" t="s">
        <v>22</v>
      </c>
      <c r="L734">
        <v>1490158800</v>
      </c>
      <c r="M734" s="9">
        <f>(((Table1[[#This Row],[launched_at]]/60)/60)/24)+DATE(1970,1,1)</f>
        <v>42816.208333333328</v>
      </c>
      <c r="N734">
        <v>1492146000</v>
      </c>
      <c r="O734" s="9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LEFT(Table1[[#This Row],[category &amp; sub-category]],SEARCH("/",Table1[[#This Row],[category &amp; sub-category]],1)-1)</f>
        <v>music</v>
      </c>
      <c r="T734" t="str">
        <f>RIGHT(Table1[[#This Row],[category &amp; sub-category]],LEN(Table1[[#This Row],[category &amp; sub-category]])-SEARCH("/",Table1[[#This Row],[category &amp; sub-category]],1))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(Table1[[#This Row],[pledged]]/Table1[[#This Row],[goal]])*100</f>
        <v>527.00632911392404</v>
      </c>
      <c r="G735" t="s">
        <v>20</v>
      </c>
      <c r="H735">
        <v>980</v>
      </c>
      <c r="I735" s="4">
        <f>IFERROR(Table1[[#This Row],[pledged]]/Table1[[#This Row],[backers_count]],0)</f>
        <v>84.96632653061225</v>
      </c>
      <c r="J735" t="s">
        <v>21</v>
      </c>
      <c r="K735" t="s">
        <v>22</v>
      </c>
      <c r="L735">
        <v>1406178000</v>
      </c>
      <c r="M735" s="9">
        <f>(((Table1[[#This Row],[launched_at]]/60)/60)/24)+DATE(1970,1,1)</f>
        <v>41844.208333333336</v>
      </c>
      <c r="N735">
        <v>1407301200</v>
      </c>
      <c r="O735" s="9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LEFT(Table1[[#This Row],[category &amp; sub-category]],SEARCH("/",Table1[[#This Row],[category &amp; sub-category]],1)-1)</f>
        <v>music</v>
      </c>
      <c r="T735" t="str">
        <f>RIGHT(Table1[[#This Row],[category &amp; sub-category]],LEN(Table1[[#This Row],[category &amp; sub-category]])-SEARCH("/",Table1[[#This Row],[category &amp; sub-category]],1))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(Table1[[#This Row],[pledged]]/Table1[[#This Row],[goal]])*100</f>
        <v>319.14285714285711</v>
      </c>
      <c r="G736" t="s">
        <v>20</v>
      </c>
      <c r="H736">
        <v>536</v>
      </c>
      <c r="I736" s="4">
        <f>IFERROR(Table1[[#This Row],[pledged]]/Table1[[#This Row],[backers_count]],0)</f>
        <v>25.007462686567163</v>
      </c>
      <c r="J736" t="s">
        <v>21</v>
      </c>
      <c r="K736" t="s">
        <v>22</v>
      </c>
      <c r="L736">
        <v>1485583200</v>
      </c>
      <c r="M736" s="9">
        <f>(((Table1[[#This Row],[launched_at]]/60)/60)/24)+DATE(1970,1,1)</f>
        <v>42763.25</v>
      </c>
      <c r="N736">
        <v>1486620000</v>
      </c>
      <c r="O736" s="9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LEFT(Table1[[#This Row],[category &amp; sub-category]],SEARCH("/",Table1[[#This Row],[category &amp; sub-category]],1)-1)</f>
        <v>theater</v>
      </c>
      <c r="T736" t="str">
        <f>RIGHT(Table1[[#This Row],[category &amp; sub-category]],LEN(Table1[[#This Row],[category &amp; sub-category]])-SEARCH("/",Table1[[#This Row],[category &amp; sub-category]],1))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(Table1[[#This Row],[pledged]]/Table1[[#This Row],[goal]])*100</f>
        <v>354.18867924528303</v>
      </c>
      <c r="G737" t="s">
        <v>20</v>
      </c>
      <c r="H737">
        <v>1991</v>
      </c>
      <c r="I737" s="4">
        <f>IFERROR(Table1[[#This Row],[pledged]]/Table1[[#This Row],[backers_count]],0)</f>
        <v>65.998995479658461</v>
      </c>
      <c r="J737" t="s">
        <v>21</v>
      </c>
      <c r="K737" t="s">
        <v>22</v>
      </c>
      <c r="L737">
        <v>1459314000</v>
      </c>
      <c r="M737" s="9">
        <f>(((Table1[[#This Row],[launched_at]]/60)/60)/24)+DATE(1970,1,1)</f>
        <v>42459.208333333328</v>
      </c>
      <c r="N737">
        <v>1459918800</v>
      </c>
      <c r="O737" s="9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LEFT(Table1[[#This Row],[category &amp; sub-category]],SEARCH("/",Table1[[#This Row],[category &amp; sub-category]],1)-1)</f>
        <v>photography</v>
      </c>
      <c r="T737" t="str">
        <f>RIGHT(Table1[[#This Row],[category &amp; sub-category]],LEN(Table1[[#This Row],[category &amp; sub-category]])-SEARCH("/",Table1[[#This Row],[category &amp; sub-category]],1))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(Table1[[#This Row],[pledged]]/Table1[[#This Row],[goal]])*100</f>
        <v>32.896103896103895</v>
      </c>
      <c r="G738" t="s">
        <v>74</v>
      </c>
      <c r="H738">
        <v>29</v>
      </c>
      <c r="I738" s="4">
        <f>IFERROR(Table1[[#This Row],[pledged]]/Table1[[#This Row],[backers_count]],0)</f>
        <v>87.34482758620689</v>
      </c>
      <c r="J738" t="s">
        <v>21</v>
      </c>
      <c r="K738" t="s">
        <v>22</v>
      </c>
      <c r="L738">
        <v>1424412000</v>
      </c>
      <c r="M738" s="9">
        <f>(((Table1[[#This Row],[launched_at]]/60)/60)/24)+DATE(1970,1,1)</f>
        <v>42055.25</v>
      </c>
      <c r="N738">
        <v>1424757600</v>
      </c>
      <c r="O738" s="9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LEFT(Table1[[#This Row],[category &amp; sub-category]],SEARCH("/",Table1[[#This Row],[category &amp; sub-category]],1)-1)</f>
        <v>publishing</v>
      </c>
      <c r="T738" t="str">
        <f>RIGHT(Table1[[#This Row],[category &amp; sub-category]],LEN(Table1[[#This Row],[category &amp; sub-category]])-SEARCH("/",Table1[[#This Row],[category &amp; sub-category]],1))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(Table1[[#This Row],[pledged]]/Table1[[#This Row],[goal]])*100</f>
        <v>135.8918918918919</v>
      </c>
      <c r="G739" t="s">
        <v>20</v>
      </c>
      <c r="H739">
        <v>180</v>
      </c>
      <c r="I739" s="4">
        <f>IFERROR(Table1[[#This Row],[pledged]]/Table1[[#This Row],[backers_count]],0)</f>
        <v>27.933333333333334</v>
      </c>
      <c r="J739" t="s">
        <v>21</v>
      </c>
      <c r="K739" t="s">
        <v>22</v>
      </c>
      <c r="L739">
        <v>1478844000</v>
      </c>
      <c r="M739" s="9">
        <f>(((Table1[[#This Row],[launched_at]]/60)/60)/24)+DATE(1970,1,1)</f>
        <v>42685.25</v>
      </c>
      <c r="N739">
        <v>1479880800</v>
      </c>
      <c r="O739" s="9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LEFT(Table1[[#This Row],[category &amp; sub-category]],SEARCH("/",Table1[[#This Row],[category &amp; sub-category]],1)-1)</f>
        <v>music</v>
      </c>
      <c r="T739" t="str">
        <f>RIGHT(Table1[[#This Row],[category &amp; sub-category]],LEN(Table1[[#This Row],[category &amp; sub-category]])-SEARCH("/",Table1[[#This Row],[category &amp; sub-category]],1))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(Table1[[#This Row],[pledged]]/Table1[[#This Row],[goal]])*100</f>
        <v>2.0843373493975905</v>
      </c>
      <c r="G740" t="s">
        <v>14</v>
      </c>
      <c r="H740">
        <v>15</v>
      </c>
      <c r="I740" s="4">
        <f>IFERROR(Table1[[#This Row],[pledged]]/Table1[[#This Row],[backers_count]],0)</f>
        <v>103.8</v>
      </c>
      <c r="J740" t="s">
        <v>21</v>
      </c>
      <c r="K740" t="s">
        <v>22</v>
      </c>
      <c r="L740">
        <v>1416117600</v>
      </c>
      <c r="M740" s="9">
        <f>(((Table1[[#This Row],[launched_at]]/60)/60)/24)+DATE(1970,1,1)</f>
        <v>41959.25</v>
      </c>
      <c r="N740">
        <v>1418018400</v>
      </c>
      <c r="O740" s="9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LEFT(Table1[[#This Row],[category &amp; sub-category]],SEARCH("/",Table1[[#This Row],[category &amp; sub-category]],1)-1)</f>
        <v>theater</v>
      </c>
      <c r="T740" t="str">
        <f>RIGHT(Table1[[#This Row],[category &amp; sub-category]],LEN(Table1[[#This Row],[category &amp; sub-category]])-SEARCH("/",Table1[[#This Row],[category &amp; sub-category]],1))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(Table1[[#This Row],[pledged]]/Table1[[#This Row],[goal]])*100</f>
        <v>61</v>
      </c>
      <c r="G741" t="s">
        <v>14</v>
      </c>
      <c r="H741">
        <v>191</v>
      </c>
      <c r="I741" s="4">
        <f>IFERROR(Table1[[#This Row],[pledged]]/Table1[[#This Row],[backers_count]],0)</f>
        <v>31.937172774869111</v>
      </c>
      <c r="J741" t="s">
        <v>21</v>
      </c>
      <c r="K741" t="s">
        <v>22</v>
      </c>
      <c r="L741">
        <v>1340946000</v>
      </c>
      <c r="M741" s="9">
        <f>(((Table1[[#This Row],[launched_at]]/60)/60)/24)+DATE(1970,1,1)</f>
        <v>41089.208333333336</v>
      </c>
      <c r="N741">
        <v>1341032400</v>
      </c>
      <c r="O741" s="9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LEFT(Table1[[#This Row],[category &amp; sub-category]],SEARCH("/",Table1[[#This Row],[category &amp; sub-category]],1)-1)</f>
        <v>music</v>
      </c>
      <c r="T741" t="str">
        <f>RIGHT(Table1[[#This Row],[category &amp; sub-category]],LEN(Table1[[#This Row],[category &amp; sub-category]])-SEARCH("/",Table1[[#This Row],[category &amp; sub-category]],1))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(Table1[[#This Row],[pledged]]/Table1[[#This Row],[goal]])*100</f>
        <v>30.037735849056602</v>
      </c>
      <c r="G742" t="s">
        <v>14</v>
      </c>
      <c r="H742">
        <v>16</v>
      </c>
      <c r="I742" s="4">
        <f>IFERROR(Table1[[#This Row],[pledged]]/Table1[[#This Row],[backers_count]],0)</f>
        <v>99.5</v>
      </c>
      <c r="J742" t="s">
        <v>21</v>
      </c>
      <c r="K742" t="s">
        <v>22</v>
      </c>
      <c r="L742">
        <v>1486101600</v>
      </c>
      <c r="M742" s="9">
        <f>(((Table1[[#This Row],[launched_at]]/60)/60)/24)+DATE(1970,1,1)</f>
        <v>42769.25</v>
      </c>
      <c r="N742">
        <v>1486360800</v>
      </c>
      <c r="O742" s="9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LEFT(Table1[[#This Row],[category &amp; sub-category]],SEARCH("/",Table1[[#This Row],[category &amp; sub-category]],1)-1)</f>
        <v>theater</v>
      </c>
      <c r="T742" t="str">
        <f>RIGHT(Table1[[#This Row],[category &amp; sub-category]],LEN(Table1[[#This Row],[category &amp; sub-category]])-SEARCH("/",Table1[[#This Row],[category &amp; sub-category]],1))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(Table1[[#This Row],[pledged]]/Table1[[#This Row],[goal]])*100</f>
        <v>1179.1666666666665</v>
      </c>
      <c r="G743" t="s">
        <v>20</v>
      </c>
      <c r="H743">
        <v>130</v>
      </c>
      <c r="I743" s="4">
        <f>IFERROR(Table1[[#This Row],[pledged]]/Table1[[#This Row],[backers_count]],0)</f>
        <v>108.84615384615384</v>
      </c>
      <c r="J743" t="s">
        <v>21</v>
      </c>
      <c r="K743" t="s">
        <v>22</v>
      </c>
      <c r="L743">
        <v>1274590800</v>
      </c>
      <c r="M743" s="9">
        <f>(((Table1[[#This Row],[launched_at]]/60)/60)/24)+DATE(1970,1,1)</f>
        <v>40321.208333333336</v>
      </c>
      <c r="N743">
        <v>1274677200</v>
      </c>
      <c r="O743" s="9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LEFT(Table1[[#This Row],[category &amp; sub-category]],SEARCH("/",Table1[[#This Row],[category &amp; sub-category]],1)-1)</f>
        <v>theater</v>
      </c>
      <c r="T743" t="str">
        <f>RIGHT(Table1[[#This Row],[category &amp; sub-category]],LEN(Table1[[#This Row],[category &amp; sub-category]])-SEARCH("/",Table1[[#This Row],[category &amp; sub-category]],1))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(Table1[[#This Row],[pledged]]/Table1[[#This Row],[goal]])*100</f>
        <v>1126.0833333333335</v>
      </c>
      <c r="G744" t="s">
        <v>20</v>
      </c>
      <c r="H744">
        <v>122</v>
      </c>
      <c r="I744" s="4">
        <f>IFERROR(Table1[[#This Row],[pledged]]/Table1[[#This Row],[backers_count]],0)</f>
        <v>110.76229508196721</v>
      </c>
      <c r="J744" t="s">
        <v>21</v>
      </c>
      <c r="K744" t="s">
        <v>22</v>
      </c>
      <c r="L744">
        <v>1263880800</v>
      </c>
      <c r="M744" s="9">
        <f>(((Table1[[#This Row],[launched_at]]/60)/60)/24)+DATE(1970,1,1)</f>
        <v>40197.25</v>
      </c>
      <c r="N744">
        <v>1267509600</v>
      </c>
      <c r="O744" s="9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LEFT(Table1[[#This Row],[category &amp; sub-category]],SEARCH("/",Table1[[#This Row],[category &amp; sub-category]],1)-1)</f>
        <v>music</v>
      </c>
      <c r="T744" t="str">
        <f>RIGHT(Table1[[#This Row],[category &amp; sub-category]],LEN(Table1[[#This Row],[category &amp; sub-category]])-SEARCH("/",Table1[[#This Row],[category &amp; sub-category]],1))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(Table1[[#This Row],[pledged]]/Table1[[#This Row],[goal]])*100</f>
        <v>12.923076923076923</v>
      </c>
      <c r="G745" t="s">
        <v>14</v>
      </c>
      <c r="H745">
        <v>17</v>
      </c>
      <c r="I745" s="4">
        <f>IFERROR(Table1[[#This Row],[pledged]]/Table1[[#This Row],[backers_count]],0)</f>
        <v>29.647058823529413</v>
      </c>
      <c r="J745" t="s">
        <v>21</v>
      </c>
      <c r="K745" t="s">
        <v>22</v>
      </c>
      <c r="L745">
        <v>1445403600</v>
      </c>
      <c r="M745" s="9">
        <f>(((Table1[[#This Row],[launched_at]]/60)/60)/24)+DATE(1970,1,1)</f>
        <v>42298.208333333328</v>
      </c>
      <c r="N745">
        <v>1445922000</v>
      </c>
      <c r="O745" s="9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LEFT(Table1[[#This Row],[category &amp; sub-category]],SEARCH("/",Table1[[#This Row],[category &amp; sub-category]],1)-1)</f>
        <v>theater</v>
      </c>
      <c r="T745" t="str">
        <f>RIGHT(Table1[[#This Row],[category &amp; sub-category]],LEN(Table1[[#This Row],[category &amp; sub-category]])-SEARCH("/",Table1[[#This Row],[category &amp; sub-category]],1))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(Table1[[#This Row],[pledged]]/Table1[[#This Row],[goal]])*100</f>
        <v>712</v>
      </c>
      <c r="G746" t="s">
        <v>20</v>
      </c>
      <c r="H746">
        <v>140</v>
      </c>
      <c r="I746" s="4">
        <f>IFERROR(Table1[[#This Row],[pledged]]/Table1[[#This Row],[backers_count]],0)</f>
        <v>101.71428571428571</v>
      </c>
      <c r="J746" t="s">
        <v>21</v>
      </c>
      <c r="K746" t="s">
        <v>22</v>
      </c>
      <c r="L746">
        <v>1533877200</v>
      </c>
      <c r="M746" s="9">
        <f>(((Table1[[#This Row],[launched_at]]/60)/60)/24)+DATE(1970,1,1)</f>
        <v>43322.208333333328</v>
      </c>
      <c r="N746">
        <v>1534050000</v>
      </c>
      <c r="O746" s="9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LEFT(Table1[[#This Row],[category &amp; sub-category]],SEARCH("/",Table1[[#This Row],[category &amp; sub-category]],1)-1)</f>
        <v>theater</v>
      </c>
      <c r="T746" t="str">
        <f>RIGHT(Table1[[#This Row],[category &amp; sub-category]],LEN(Table1[[#This Row],[category &amp; sub-category]])-SEARCH("/",Table1[[#This Row],[category &amp; sub-category]],1))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(Table1[[#This Row],[pledged]]/Table1[[#This Row],[goal]])*100</f>
        <v>30.304347826086957</v>
      </c>
      <c r="G747" t="s">
        <v>14</v>
      </c>
      <c r="H747">
        <v>34</v>
      </c>
      <c r="I747" s="4">
        <f>IFERROR(Table1[[#This Row],[pledged]]/Table1[[#This Row],[backers_count]],0)</f>
        <v>61.5</v>
      </c>
      <c r="J747" t="s">
        <v>21</v>
      </c>
      <c r="K747" t="s">
        <v>22</v>
      </c>
      <c r="L747">
        <v>1275195600</v>
      </c>
      <c r="M747" s="9">
        <f>(((Table1[[#This Row],[launched_at]]/60)/60)/24)+DATE(1970,1,1)</f>
        <v>40328.208333333336</v>
      </c>
      <c r="N747">
        <v>1277528400</v>
      </c>
      <c r="O747" s="9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LEFT(Table1[[#This Row],[category &amp; sub-category]],SEARCH("/",Table1[[#This Row],[category &amp; sub-category]],1)-1)</f>
        <v>technology</v>
      </c>
      <c r="T747" t="str">
        <f>RIGHT(Table1[[#This Row],[category &amp; sub-category]],LEN(Table1[[#This Row],[category &amp; sub-category]])-SEARCH("/",Table1[[#This Row],[category &amp; sub-category]],1))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(Table1[[#This Row],[pledged]]/Table1[[#This Row],[goal]])*100</f>
        <v>212.50896057347671</v>
      </c>
      <c r="G748" t="s">
        <v>20</v>
      </c>
      <c r="H748">
        <v>3388</v>
      </c>
      <c r="I748" s="4">
        <f>IFERROR(Table1[[#This Row],[pledged]]/Table1[[#This Row],[backers_count]],0)</f>
        <v>35</v>
      </c>
      <c r="J748" t="s">
        <v>21</v>
      </c>
      <c r="K748" t="s">
        <v>22</v>
      </c>
      <c r="L748">
        <v>1318136400</v>
      </c>
      <c r="M748" s="9">
        <f>(((Table1[[#This Row],[launched_at]]/60)/60)/24)+DATE(1970,1,1)</f>
        <v>40825.208333333336</v>
      </c>
      <c r="N748">
        <v>1318568400</v>
      </c>
      <c r="O748" s="9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LEFT(Table1[[#This Row],[category &amp; sub-category]],SEARCH("/",Table1[[#This Row],[category &amp; sub-category]],1)-1)</f>
        <v>technology</v>
      </c>
      <c r="T748" t="str">
        <f>RIGHT(Table1[[#This Row],[category &amp; sub-category]],LEN(Table1[[#This Row],[category &amp; sub-category]])-SEARCH("/",Table1[[#This Row],[category &amp; sub-category]],1))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(Table1[[#This Row],[pledged]]/Table1[[#This Row],[goal]])*100</f>
        <v>228.85714285714286</v>
      </c>
      <c r="G749" t="s">
        <v>20</v>
      </c>
      <c r="H749">
        <v>280</v>
      </c>
      <c r="I749" s="4">
        <f>IFERROR(Table1[[#This Row],[pledged]]/Table1[[#This Row],[backers_count]],0)</f>
        <v>40.049999999999997</v>
      </c>
      <c r="J749" t="s">
        <v>21</v>
      </c>
      <c r="K749" t="s">
        <v>22</v>
      </c>
      <c r="L749">
        <v>1283403600</v>
      </c>
      <c r="M749" s="9">
        <f>(((Table1[[#This Row],[launched_at]]/60)/60)/24)+DATE(1970,1,1)</f>
        <v>40423.208333333336</v>
      </c>
      <c r="N749">
        <v>1284354000</v>
      </c>
      <c r="O749" s="9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LEFT(Table1[[#This Row],[category &amp; sub-category]],SEARCH("/",Table1[[#This Row],[category &amp; sub-category]],1)-1)</f>
        <v>theater</v>
      </c>
      <c r="T749" t="str">
        <f>RIGHT(Table1[[#This Row],[category &amp; sub-category]],LEN(Table1[[#This Row],[category &amp; sub-category]])-SEARCH("/",Table1[[#This Row],[category &amp; sub-category]],1))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(Table1[[#This Row],[pledged]]/Table1[[#This Row],[goal]])*100</f>
        <v>34.959979476654695</v>
      </c>
      <c r="G750" t="s">
        <v>74</v>
      </c>
      <c r="H750">
        <v>614</v>
      </c>
      <c r="I750" s="4">
        <f>IFERROR(Table1[[#This Row],[pledged]]/Table1[[#This Row],[backers_count]],0)</f>
        <v>110.97231270358306</v>
      </c>
      <c r="J750" t="s">
        <v>21</v>
      </c>
      <c r="K750" t="s">
        <v>22</v>
      </c>
      <c r="L750">
        <v>1267423200</v>
      </c>
      <c r="M750" s="9">
        <f>(((Table1[[#This Row],[launched_at]]/60)/60)/24)+DATE(1970,1,1)</f>
        <v>40238.25</v>
      </c>
      <c r="N750">
        <v>1269579600</v>
      </c>
      <c r="O750" s="9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LEFT(Table1[[#This Row],[category &amp; sub-category]],SEARCH("/",Table1[[#This Row],[category &amp; sub-category]],1)-1)</f>
        <v>film &amp; video</v>
      </c>
      <c r="T750" t="str">
        <f>RIGHT(Table1[[#This Row],[category &amp; sub-category]],LEN(Table1[[#This Row],[category &amp; sub-category]])-SEARCH("/",Table1[[#This Row],[category &amp; sub-category]],1))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(Table1[[#This Row],[pledged]]/Table1[[#This Row],[goal]])*100</f>
        <v>157.29069767441862</v>
      </c>
      <c r="G751" t="s">
        <v>20</v>
      </c>
      <c r="H751">
        <v>366</v>
      </c>
      <c r="I751" s="4">
        <f>IFERROR(Table1[[#This Row],[pledged]]/Table1[[#This Row],[backers_count]],0)</f>
        <v>36.959016393442624</v>
      </c>
      <c r="J751" t="s">
        <v>107</v>
      </c>
      <c r="K751" t="s">
        <v>108</v>
      </c>
      <c r="L751">
        <v>1412744400</v>
      </c>
      <c r="M751" s="9">
        <f>(((Table1[[#This Row],[launched_at]]/60)/60)/24)+DATE(1970,1,1)</f>
        <v>41920.208333333336</v>
      </c>
      <c r="N751">
        <v>1413781200</v>
      </c>
      <c r="O751" s="9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LEFT(Table1[[#This Row],[category &amp; sub-category]],SEARCH("/",Table1[[#This Row],[category &amp; sub-category]],1)-1)</f>
        <v>technology</v>
      </c>
      <c r="T751" t="str">
        <f>RIGHT(Table1[[#This Row],[category &amp; sub-category]],LEN(Table1[[#This Row],[category &amp; sub-category]])-SEARCH("/",Table1[[#This Row],[category &amp; sub-category]],1))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(Table1[[#This Row],[pledged]]/Table1[[#This Row],[goal]])*100</f>
        <v>1</v>
      </c>
      <c r="G752" t="s">
        <v>14</v>
      </c>
      <c r="H752">
        <v>1</v>
      </c>
      <c r="I752" s="4">
        <f>IFERROR(Table1[[#This Row],[pledged]]/Table1[[#This Row],[backers_count]],0)</f>
        <v>1</v>
      </c>
      <c r="J752" t="s">
        <v>40</v>
      </c>
      <c r="K752" t="s">
        <v>41</v>
      </c>
      <c r="L752">
        <v>1277960400</v>
      </c>
      <c r="M752" s="9">
        <f>(((Table1[[#This Row],[launched_at]]/60)/60)/24)+DATE(1970,1,1)</f>
        <v>40360.208333333336</v>
      </c>
      <c r="N752">
        <v>1280120400</v>
      </c>
      <c r="O752" s="9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LEFT(Table1[[#This Row],[category &amp; sub-category]],SEARCH("/",Table1[[#This Row],[category &amp; sub-category]],1)-1)</f>
        <v>music</v>
      </c>
      <c r="T752" t="str">
        <f>RIGHT(Table1[[#This Row],[category &amp; sub-category]],LEN(Table1[[#This Row],[category &amp; sub-category]])-SEARCH("/",Table1[[#This Row],[category &amp; sub-category]],1))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(Table1[[#This Row],[pledged]]/Table1[[#This Row],[goal]])*100</f>
        <v>232.30555555555554</v>
      </c>
      <c r="G753" t="s">
        <v>20</v>
      </c>
      <c r="H753">
        <v>270</v>
      </c>
      <c r="I753" s="4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 s="9">
        <f>(((Table1[[#This Row],[launched_at]]/60)/60)/24)+DATE(1970,1,1)</f>
        <v>42446.208333333328</v>
      </c>
      <c r="N753">
        <v>1459486800</v>
      </c>
      <c r="O753" s="9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LEFT(Table1[[#This Row],[category &amp; sub-category]],SEARCH("/",Table1[[#This Row],[category &amp; sub-category]],1)-1)</f>
        <v>publishing</v>
      </c>
      <c r="T753" t="str">
        <f>RIGHT(Table1[[#This Row],[category &amp; sub-category]],LEN(Table1[[#This Row],[category &amp; sub-category]])-SEARCH("/",Table1[[#This Row],[category &amp; sub-category]],1))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(Table1[[#This Row],[pledged]]/Table1[[#This Row],[goal]])*100</f>
        <v>92.448275862068968</v>
      </c>
      <c r="G754" t="s">
        <v>74</v>
      </c>
      <c r="H754">
        <v>114</v>
      </c>
      <c r="I754" s="4">
        <f>IFERROR(Table1[[#This Row],[pledged]]/Table1[[#This Row],[backers_count]],0)</f>
        <v>47.035087719298247</v>
      </c>
      <c r="J754" t="s">
        <v>21</v>
      </c>
      <c r="K754" t="s">
        <v>22</v>
      </c>
      <c r="L754">
        <v>1280984400</v>
      </c>
      <c r="M754" s="9">
        <f>(((Table1[[#This Row],[launched_at]]/60)/60)/24)+DATE(1970,1,1)</f>
        <v>40395.208333333336</v>
      </c>
      <c r="N754">
        <v>1282539600</v>
      </c>
      <c r="O754" s="9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LEFT(Table1[[#This Row],[category &amp; sub-category]],SEARCH("/",Table1[[#This Row],[category &amp; sub-category]],1)-1)</f>
        <v>theater</v>
      </c>
      <c r="T754" t="str">
        <f>RIGHT(Table1[[#This Row],[category &amp; sub-category]],LEN(Table1[[#This Row],[category &amp; sub-category]])-SEARCH("/",Table1[[#This Row],[category &amp; sub-category]],1))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(Table1[[#This Row],[pledged]]/Table1[[#This Row],[goal]])*100</f>
        <v>256.70212765957444</v>
      </c>
      <c r="G755" t="s">
        <v>20</v>
      </c>
      <c r="H755">
        <v>137</v>
      </c>
      <c r="I755" s="4">
        <f>IFERROR(Table1[[#This Row],[pledged]]/Table1[[#This Row],[backers_count]],0)</f>
        <v>88.065693430656935</v>
      </c>
      <c r="J755" t="s">
        <v>21</v>
      </c>
      <c r="K755" t="s">
        <v>22</v>
      </c>
      <c r="L755">
        <v>1274590800</v>
      </c>
      <c r="M755" s="9">
        <f>(((Table1[[#This Row],[launched_at]]/60)/60)/24)+DATE(1970,1,1)</f>
        <v>40321.208333333336</v>
      </c>
      <c r="N755">
        <v>1275886800</v>
      </c>
      <c r="O755" s="9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LEFT(Table1[[#This Row],[category &amp; sub-category]],SEARCH("/",Table1[[#This Row],[category &amp; sub-category]],1)-1)</f>
        <v>photography</v>
      </c>
      <c r="T755" t="str">
        <f>RIGHT(Table1[[#This Row],[category &amp; sub-category]],LEN(Table1[[#This Row],[category &amp; sub-category]])-SEARCH("/",Table1[[#This Row],[category &amp; sub-category]],1))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(Table1[[#This Row],[pledged]]/Table1[[#This Row],[goal]])*100</f>
        <v>168.47017045454547</v>
      </c>
      <c r="G756" t="s">
        <v>20</v>
      </c>
      <c r="H756">
        <v>3205</v>
      </c>
      <c r="I756" s="4">
        <f>IFERROR(Table1[[#This Row],[pledged]]/Table1[[#This Row],[backers_count]],0)</f>
        <v>37.005616224648989</v>
      </c>
      <c r="J756" t="s">
        <v>21</v>
      </c>
      <c r="K756" t="s">
        <v>22</v>
      </c>
      <c r="L756">
        <v>1351400400</v>
      </c>
      <c r="M756" s="9">
        <f>(((Table1[[#This Row],[launched_at]]/60)/60)/24)+DATE(1970,1,1)</f>
        <v>41210.208333333336</v>
      </c>
      <c r="N756">
        <v>1355983200</v>
      </c>
      <c r="O756" s="9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LEFT(Table1[[#This Row],[category &amp; sub-category]],SEARCH("/",Table1[[#This Row],[category &amp; sub-category]],1)-1)</f>
        <v>theater</v>
      </c>
      <c r="T756" t="str">
        <f>RIGHT(Table1[[#This Row],[category &amp; sub-category]],LEN(Table1[[#This Row],[category &amp; sub-category]])-SEARCH("/",Table1[[#This Row],[category &amp; sub-category]],1))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(Table1[[#This Row],[pledged]]/Table1[[#This Row],[goal]])*100</f>
        <v>166.57777777777778</v>
      </c>
      <c r="G757" t="s">
        <v>20</v>
      </c>
      <c r="H757">
        <v>288</v>
      </c>
      <c r="I757" s="4">
        <f>IFERROR(Table1[[#This Row],[pledged]]/Table1[[#This Row],[backers_count]],0)</f>
        <v>26.027777777777779</v>
      </c>
      <c r="J757" t="s">
        <v>36</v>
      </c>
      <c r="K757" t="s">
        <v>37</v>
      </c>
      <c r="L757">
        <v>1514354400</v>
      </c>
      <c r="M757" s="9">
        <f>(((Table1[[#This Row],[launched_at]]/60)/60)/24)+DATE(1970,1,1)</f>
        <v>43096.25</v>
      </c>
      <c r="N757">
        <v>1515391200</v>
      </c>
      <c r="O757" s="9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LEFT(Table1[[#This Row],[category &amp; sub-category]],SEARCH("/",Table1[[#This Row],[category &amp; sub-category]],1)-1)</f>
        <v>theater</v>
      </c>
      <c r="T757" t="str">
        <f>RIGHT(Table1[[#This Row],[category &amp; sub-category]],LEN(Table1[[#This Row],[category &amp; sub-category]])-SEARCH("/",Table1[[#This Row],[category &amp; sub-category]],1))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(Table1[[#This Row],[pledged]]/Table1[[#This Row],[goal]])*100</f>
        <v>772.07692307692309</v>
      </c>
      <c r="G758" t="s">
        <v>20</v>
      </c>
      <c r="H758">
        <v>148</v>
      </c>
      <c r="I758" s="4">
        <f>IFERROR(Table1[[#This Row],[pledged]]/Table1[[#This Row],[backers_count]],0)</f>
        <v>67.817567567567565</v>
      </c>
      <c r="J758" t="s">
        <v>21</v>
      </c>
      <c r="K758" t="s">
        <v>22</v>
      </c>
      <c r="L758">
        <v>1421733600</v>
      </c>
      <c r="M758" s="9">
        <f>(((Table1[[#This Row],[launched_at]]/60)/60)/24)+DATE(1970,1,1)</f>
        <v>42024.25</v>
      </c>
      <c r="N758">
        <v>1422252000</v>
      </c>
      <c r="O758" s="9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LEFT(Table1[[#This Row],[category &amp; sub-category]],SEARCH("/",Table1[[#This Row],[category &amp; sub-category]],1)-1)</f>
        <v>theater</v>
      </c>
      <c r="T758" t="str">
        <f>RIGHT(Table1[[#This Row],[category &amp; sub-category]],LEN(Table1[[#This Row],[category &amp; sub-category]])-SEARCH("/",Table1[[#This Row],[category &amp; sub-category]],1))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(Table1[[#This Row],[pledged]]/Table1[[#This Row],[goal]])*100</f>
        <v>406.85714285714283</v>
      </c>
      <c r="G759" t="s">
        <v>20</v>
      </c>
      <c r="H759">
        <v>114</v>
      </c>
      <c r="I759" s="4">
        <f>IFERROR(Table1[[#This Row],[pledged]]/Table1[[#This Row],[backers_count]],0)</f>
        <v>49.964912280701753</v>
      </c>
      <c r="J759" t="s">
        <v>21</v>
      </c>
      <c r="K759" t="s">
        <v>22</v>
      </c>
      <c r="L759">
        <v>1305176400</v>
      </c>
      <c r="M759" s="9">
        <f>(((Table1[[#This Row],[launched_at]]/60)/60)/24)+DATE(1970,1,1)</f>
        <v>40675.208333333336</v>
      </c>
      <c r="N759">
        <v>1305522000</v>
      </c>
      <c r="O759" s="9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LEFT(Table1[[#This Row],[category &amp; sub-category]],SEARCH("/",Table1[[#This Row],[category &amp; sub-category]],1)-1)</f>
        <v>film &amp; video</v>
      </c>
      <c r="T759" t="str">
        <f>RIGHT(Table1[[#This Row],[category &amp; sub-category]],LEN(Table1[[#This Row],[category &amp; sub-category]])-SEARCH("/",Table1[[#This Row],[category &amp; sub-category]],1))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(Table1[[#This Row],[pledged]]/Table1[[#This Row],[goal]])*100</f>
        <v>564.20608108108115</v>
      </c>
      <c r="G760" t="s">
        <v>20</v>
      </c>
      <c r="H760">
        <v>1518</v>
      </c>
      <c r="I760" s="4">
        <f>IFERROR(Table1[[#This Row],[pledged]]/Table1[[#This Row],[backers_count]],0)</f>
        <v>110.01646903820817</v>
      </c>
      <c r="J760" t="s">
        <v>15</v>
      </c>
      <c r="K760" t="s">
        <v>16</v>
      </c>
      <c r="L760">
        <v>1414126800</v>
      </c>
      <c r="M760" s="9">
        <f>(((Table1[[#This Row],[launched_at]]/60)/60)/24)+DATE(1970,1,1)</f>
        <v>41936.208333333336</v>
      </c>
      <c r="N760">
        <v>1414904400</v>
      </c>
      <c r="O760" s="9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LEFT(Table1[[#This Row],[category &amp; sub-category]],SEARCH("/",Table1[[#This Row],[category &amp; sub-category]],1)-1)</f>
        <v>music</v>
      </c>
      <c r="T760" t="str">
        <f>RIGHT(Table1[[#This Row],[category &amp; sub-category]],LEN(Table1[[#This Row],[category &amp; sub-category]])-SEARCH("/",Table1[[#This Row],[category &amp; sub-category]],1))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(Table1[[#This Row],[pledged]]/Table1[[#This Row],[goal]])*100</f>
        <v>68.426865671641792</v>
      </c>
      <c r="G761" t="s">
        <v>14</v>
      </c>
      <c r="H761">
        <v>1274</v>
      </c>
      <c r="I761" s="4">
        <f>IFERROR(Table1[[#This Row],[pledged]]/Table1[[#This Row],[backers_count]],0)</f>
        <v>89.964678178963894</v>
      </c>
      <c r="J761" t="s">
        <v>21</v>
      </c>
      <c r="K761" t="s">
        <v>22</v>
      </c>
      <c r="L761">
        <v>1517810400</v>
      </c>
      <c r="M761" s="9">
        <f>(((Table1[[#This Row],[launched_at]]/60)/60)/24)+DATE(1970,1,1)</f>
        <v>43136.25</v>
      </c>
      <c r="N761">
        <v>1520402400</v>
      </c>
      <c r="O761" s="9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LEFT(Table1[[#This Row],[category &amp; sub-category]],SEARCH("/",Table1[[#This Row],[category &amp; sub-category]],1)-1)</f>
        <v>music</v>
      </c>
      <c r="T761" t="str">
        <f>RIGHT(Table1[[#This Row],[category &amp; sub-category]],LEN(Table1[[#This Row],[category &amp; sub-category]])-SEARCH("/",Table1[[#This Row],[category &amp; sub-category]],1))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(Table1[[#This Row],[pledged]]/Table1[[#This Row],[goal]])*100</f>
        <v>34.351966873706004</v>
      </c>
      <c r="G762" t="s">
        <v>14</v>
      </c>
      <c r="H762">
        <v>210</v>
      </c>
      <c r="I762" s="4">
        <f>IFERROR(Table1[[#This Row],[pledged]]/Table1[[#This Row],[backers_count]],0)</f>
        <v>79.009523809523813</v>
      </c>
      <c r="J762" t="s">
        <v>107</v>
      </c>
      <c r="K762" t="s">
        <v>108</v>
      </c>
      <c r="L762">
        <v>1564635600</v>
      </c>
      <c r="M762" s="9">
        <f>(((Table1[[#This Row],[launched_at]]/60)/60)/24)+DATE(1970,1,1)</f>
        <v>43678.208333333328</v>
      </c>
      <c r="N762">
        <v>1567141200</v>
      </c>
      <c r="O762" s="9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LEFT(Table1[[#This Row],[category &amp; sub-category]],SEARCH("/",Table1[[#This Row],[category &amp; sub-category]],1)-1)</f>
        <v>games</v>
      </c>
      <c r="T762" t="str">
        <f>RIGHT(Table1[[#This Row],[category &amp; sub-category]],LEN(Table1[[#This Row],[category &amp; sub-category]])-SEARCH("/",Table1[[#This Row],[category &amp; sub-category]],1))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(Table1[[#This Row],[pledged]]/Table1[[#This Row],[goal]])*100</f>
        <v>655.4545454545455</v>
      </c>
      <c r="G763" t="s">
        <v>20</v>
      </c>
      <c r="H763">
        <v>166</v>
      </c>
      <c r="I763" s="4">
        <f>IFERROR(Table1[[#This Row],[pledged]]/Table1[[#This Row],[backers_count]],0)</f>
        <v>86.867469879518069</v>
      </c>
      <c r="J763" t="s">
        <v>21</v>
      </c>
      <c r="K763" t="s">
        <v>22</v>
      </c>
      <c r="L763">
        <v>1500699600</v>
      </c>
      <c r="M763" s="9">
        <f>(((Table1[[#This Row],[launched_at]]/60)/60)/24)+DATE(1970,1,1)</f>
        <v>42938.208333333328</v>
      </c>
      <c r="N763">
        <v>1501131600</v>
      </c>
      <c r="O763" s="9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LEFT(Table1[[#This Row],[category &amp; sub-category]],SEARCH("/",Table1[[#This Row],[category &amp; sub-category]],1)-1)</f>
        <v>music</v>
      </c>
      <c r="T763" t="str">
        <f>RIGHT(Table1[[#This Row],[category &amp; sub-category]],LEN(Table1[[#This Row],[category &amp; sub-category]])-SEARCH("/",Table1[[#This Row],[category &amp; sub-category]],1))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(Table1[[#This Row],[pledged]]/Table1[[#This Row],[goal]])*100</f>
        <v>177.25714285714284</v>
      </c>
      <c r="G764" t="s">
        <v>20</v>
      </c>
      <c r="H764">
        <v>100</v>
      </c>
      <c r="I764" s="4">
        <f>IFERROR(Table1[[#This Row],[pledged]]/Table1[[#This Row],[backers_count]],0)</f>
        <v>62.04</v>
      </c>
      <c r="J764" t="s">
        <v>26</v>
      </c>
      <c r="K764" t="s">
        <v>27</v>
      </c>
      <c r="L764">
        <v>1354082400</v>
      </c>
      <c r="M764" s="9">
        <f>(((Table1[[#This Row],[launched_at]]/60)/60)/24)+DATE(1970,1,1)</f>
        <v>41241.25</v>
      </c>
      <c r="N764">
        <v>1355032800</v>
      </c>
      <c r="O764" s="9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LEFT(Table1[[#This Row],[category &amp; sub-category]],SEARCH("/",Table1[[#This Row],[category &amp; sub-category]],1)-1)</f>
        <v>music</v>
      </c>
      <c r="T764" t="str">
        <f>RIGHT(Table1[[#This Row],[category &amp; sub-category]],LEN(Table1[[#This Row],[category &amp; sub-category]])-SEARCH("/",Table1[[#This Row],[category &amp; sub-category]],1))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(Table1[[#This Row],[pledged]]/Table1[[#This Row],[goal]])*100</f>
        <v>113.17857142857144</v>
      </c>
      <c r="G765" t="s">
        <v>20</v>
      </c>
      <c r="H765">
        <v>235</v>
      </c>
      <c r="I765" s="4">
        <f>IFERROR(Table1[[#This Row],[pledged]]/Table1[[#This Row],[backers_count]],0)</f>
        <v>26.970212765957445</v>
      </c>
      <c r="J765" t="s">
        <v>21</v>
      </c>
      <c r="K765" t="s">
        <v>22</v>
      </c>
      <c r="L765">
        <v>1336453200</v>
      </c>
      <c r="M765" s="9">
        <f>(((Table1[[#This Row],[launched_at]]/60)/60)/24)+DATE(1970,1,1)</f>
        <v>41037.208333333336</v>
      </c>
      <c r="N765">
        <v>1339477200</v>
      </c>
      <c r="O765" s="9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LEFT(Table1[[#This Row],[category &amp; sub-category]],SEARCH("/",Table1[[#This Row],[category &amp; sub-category]],1)-1)</f>
        <v>theater</v>
      </c>
      <c r="T765" t="str">
        <f>RIGHT(Table1[[#This Row],[category &amp; sub-category]],LEN(Table1[[#This Row],[category &amp; sub-category]])-SEARCH("/",Table1[[#This Row],[category &amp; sub-category]],1))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(Table1[[#This Row],[pledged]]/Table1[[#This Row],[goal]])*100</f>
        <v>728.18181818181824</v>
      </c>
      <c r="G766" t="s">
        <v>20</v>
      </c>
      <c r="H766">
        <v>148</v>
      </c>
      <c r="I766" s="4">
        <f>IFERROR(Table1[[#This Row],[pledged]]/Table1[[#This Row],[backers_count]],0)</f>
        <v>54.121621621621621</v>
      </c>
      <c r="J766" t="s">
        <v>21</v>
      </c>
      <c r="K766" t="s">
        <v>22</v>
      </c>
      <c r="L766">
        <v>1305262800</v>
      </c>
      <c r="M766" s="9">
        <f>(((Table1[[#This Row],[launched_at]]/60)/60)/24)+DATE(1970,1,1)</f>
        <v>40676.208333333336</v>
      </c>
      <c r="N766">
        <v>1305954000</v>
      </c>
      <c r="O766" s="9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LEFT(Table1[[#This Row],[category &amp; sub-category]],SEARCH("/",Table1[[#This Row],[category &amp; sub-category]],1)-1)</f>
        <v>music</v>
      </c>
      <c r="T766" t="str">
        <f>RIGHT(Table1[[#This Row],[category &amp; sub-category]],LEN(Table1[[#This Row],[category &amp; sub-category]])-SEARCH("/",Table1[[#This Row],[category &amp; sub-category]],1))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(Table1[[#This Row],[pledged]]/Table1[[#This Row],[goal]])*100</f>
        <v>208.33333333333334</v>
      </c>
      <c r="G767" t="s">
        <v>20</v>
      </c>
      <c r="H767">
        <v>198</v>
      </c>
      <c r="I767" s="4">
        <f>IFERROR(Table1[[#This Row],[pledged]]/Table1[[#This Row],[backers_count]],0)</f>
        <v>41.035353535353536</v>
      </c>
      <c r="J767" t="s">
        <v>21</v>
      </c>
      <c r="K767" t="s">
        <v>22</v>
      </c>
      <c r="L767">
        <v>1492232400</v>
      </c>
      <c r="M767" s="9">
        <f>(((Table1[[#This Row],[launched_at]]/60)/60)/24)+DATE(1970,1,1)</f>
        <v>42840.208333333328</v>
      </c>
      <c r="N767">
        <v>1494392400</v>
      </c>
      <c r="O767" s="9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LEFT(Table1[[#This Row],[category &amp; sub-category]],SEARCH("/",Table1[[#This Row],[category &amp; sub-category]],1)-1)</f>
        <v>music</v>
      </c>
      <c r="T767" t="str">
        <f>RIGHT(Table1[[#This Row],[category &amp; sub-category]],LEN(Table1[[#This Row],[category &amp; sub-category]])-SEARCH("/",Table1[[#This Row],[category &amp; sub-category]],1))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(Table1[[#This Row],[pledged]]/Table1[[#This Row],[goal]])*100</f>
        <v>31.171232876712331</v>
      </c>
      <c r="G768" t="s">
        <v>14</v>
      </c>
      <c r="H768">
        <v>248</v>
      </c>
      <c r="I768" s="4">
        <f>IFERROR(Table1[[#This Row],[pledged]]/Table1[[#This Row],[backers_count]],0)</f>
        <v>55.052419354838712</v>
      </c>
      <c r="J768" t="s">
        <v>26</v>
      </c>
      <c r="K768" t="s">
        <v>27</v>
      </c>
      <c r="L768">
        <v>1537333200</v>
      </c>
      <c r="M768" s="9">
        <f>(((Table1[[#This Row],[launched_at]]/60)/60)/24)+DATE(1970,1,1)</f>
        <v>43362.208333333328</v>
      </c>
      <c r="N768">
        <v>1537419600</v>
      </c>
      <c r="O768" s="9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LEFT(Table1[[#This Row],[category &amp; sub-category]],SEARCH("/",Table1[[#This Row],[category &amp; sub-category]],1)-1)</f>
        <v>film &amp; video</v>
      </c>
      <c r="T768" t="str">
        <f>RIGHT(Table1[[#This Row],[category &amp; sub-category]],LEN(Table1[[#This Row],[category &amp; sub-category]])-SEARCH("/",Table1[[#This Row],[category &amp; sub-category]],1))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(Table1[[#This Row],[pledged]]/Table1[[#This Row],[goal]])*100</f>
        <v>56.967078189300416</v>
      </c>
      <c r="G769" t="s">
        <v>14</v>
      </c>
      <c r="H769">
        <v>513</v>
      </c>
      <c r="I769" s="4">
        <f>IFERROR(Table1[[#This Row],[pledged]]/Table1[[#This Row],[backers_count]],0)</f>
        <v>107.93762183235867</v>
      </c>
      <c r="J769" t="s">
        <v>21</v>
      </c>
      <c r="K769" t="s">
        <v>22</v>
      </c>
      <c r="L769">
        <v>1444107600</v>
      </c>
      <c r="M769" s="9">
        <f>(((Table1[[#This Row],[launched_at]]/60)/60)/24)+DATE(1970,1,1)</f>
        <v>42283.208333333328</v>
      </c>
      <c r="N769">
        <v>1447999200</v>
      </c>
      <c r="O769" s="9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LEFT(Table1[[#This Row],[category &amp; sub-category]],SEARCH("/",Table1[[#This Row],[category &amp; sub-category]],1)-1)</f>
        <v>publishing</v>
      </c>
      <c r="T769" t="str">
        <f>RIGHT(Table1[[#This Row],[category &amp; sub-category]],LEN(Table1[[#This Row],[category &amp; sub-category]])-SEARCH("/",Table1[[#This Row],[category &amp; sub-category]],1))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(Table1[[#This Row],[pledged]]/Table1[[#This Row],[goal]])*100</f>
        <v>231</v>
      </c>
      <c r="G770" t="s">
        <v>20</v>
      </c>
      <c r="H770">
        <v>150</v>
      </c>
      <c r="I770" s="4">
        <f>IFERROR(Table1[[#This Row],[pledged]]/Table1[[#This Row],[backers_count]],0)</f>
        <v>73.92</v>
      </c>
      <c r="J770" t="s">
        <v>21</v>
      </c>
      <c r="K770" t="s">
        <v>22</v>
      </c>
      <c r="L770">
        <v>1386741600</v>
      </c>
      <c r="M770" s="9">
        <f>(((Table1[[#This Row],[launched_at]]/60)/60)/24)+DATE(1970,1,1)</f>
        <v>41619.25</v>
      </c>
      <c r="N770">
        <v>1388037600</v>
      </c>
      <c r="O770" s="9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LEFT(Table1[[#This Row],[category &amp; sub-category]],SEARCH("/",Table1[[#This Row],[category &amp; sub-category]],1)-1)</f>
        <v>theater</v>
      </c>
      <c r="T770" t="str">
        <f>RIGHT(Table1[[#This Row],[category &amp; sub-category]],LEN(Table1[[#This Row],[category &amp; sub-category]])-SEARCH("/",Table1[[#This Row],[category &amp; sub-category]],1))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(Table1[[#This Row],[pledged]]/Table1[[#This Row],[goal]])*100</f>
        <v>86.867834394904463</v>
      </c>
      <c r="G771" t="s">
        <v>14</v>
      </c>
      <c r="H771">
        <v>3410</v>
      </c>
      <c r="I771" s="4">
        <f>IFERROR(Table1[[#This Row],[pledged]]/Table1[[#This Row],[backers_count]],0)</f>
        <v>31.995894428152493</v>
      </c>
      <c r="J771" t="s">
        <v>21</v>
      </c>
      <c r="K771" t="s">
        <v>22</v>
      </c>
      <c r="L771">
        <v>1376542800</v>
      </c>
      <c r="M771" s="9">
        <f>(((Table1[[#This Row],[launched_at]]/60)/60)/24)+DATE(1970,1,1)</f>
        <v>41501.208333333336</v>
      </c>
      <c r="N771">
        <v>1378789200</v>
      </c>
      <c r="O771" s="9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LEFT(Table1[[#This Row],[category &amp; sub-category]],SEARCH("/",Table1[[#This Row],[category &amp; sub-category]],1)-1)</f>
        <v>games</v>
      </c>
      <c r="T771" t="str">
        <f>RIGHT(Table1[[#This Row],[category &amp; sub-category]],LEN(Table1[[#This Row],[category &amp; sub-category]])-SEARCH("/",Table1[[#This Row],[category &amp; sub-category]],1))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(Table1[[#This Row],[pledged]]/Table1[[#This Row],[goal]])*100</f>
        <v>270.74418604651163</v>
      </c>
      <c r="G772" t="s">
        <v>20</v>
      </c>
      <c r="H772">
        <v>216</v>
      </c>
      <c r="I772" s="4">
        <f>IFERROR(Table1[[#This Row],[pledged]]/Table1[[#This Row],[backers_count]],0)</f>
        <v>53.898148148148145</v>
      </c>
      <c r="J772" t="s">
        <v>107</v>
      </c>
      <c r="K772" t="s">
        <v>108</v>
      </c>
      <c r="L772">
        <v>1397451600</v>
      </c>
      <c r="M772" s="9">
        <f>(((Table1[[#This Row],[launched_at]]/60)/60)/24)+DATE(1970,1,1)</f>
        <v>41743.208333333336</v>
      </c>
      <c r="N772">
        <v>1398056400</v>
      </c>
      <c r="O772" s="9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LEFT(Table1[[#This Row],[category &amp; sub-category]],SEARCH("/",Table1[[#This Row],[category &amp; sub-category]],1)-1)</f>
        <v>theater</v>
      </c>
      <c r="T772" t="str">
        <f>RIGHT(Table1[[#This Row],[category &amp; sub-category]],LEN(Table1[[#This Row],[category &amp; sub-category]])-SEARCH("/",Table1[[#This Row],[category &amp; sub-category]],1))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(Table1[[#This Row],[pledged]]/Table1[[#This Row],[goal]])*100</f>
        <v>49.446428571428569</v>
      </c>
      <c r="G773" t="s">
        <v>74</v>
      </c>
      <c r="H773">
        <v>26</v>
      </c>
      <c r="I773" s="4">
        <f>IFERROR(Table1[[#This Row],[pledged]]/Table1[[#This Row],[backers_count]],0)</f>
        <v>106.5</v>
      </c>
      <c r="J773" t="s">
        <v>21</v>
      </c>
      <c r="K773" t="s">
        <v>22</v>
      </c>
      <c r="L773">
        <v>1548482400</v>
      </c>
      <c r="M773" s="9">
        <f>(((Table1[[#This Row],[launched_at]]/60)/60)/24)+DATE(1970,1,1)</f>
        <v>43491.25</v>
      </c>
      <c r="N773">
        <v>1550815200</v>
      </c>
      <c r="O773" s="9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LEFT(Table1[[#This Row],[category &amp; sub-category]],SEARCH("/",Table1[[#This Row],[category &amp; sub-category]],1)-1)</f>
        <v>theater</v>
      </c>
      <c r="T773" t="str">
        <f>RIGHT(Table1[[#This Row],[category &amp; sub-category]],LEN(Table1[[#This Row],[category &amp; sub-category]])-SEARCH("/",Table1[[#This Row],[category &amp; sub-category]],1))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(Table1[[#This Row],[pledged]]/Table1[[#This Row],[goal]])*100</f>
        <v>113.3596256684492</v>
      </c>
      <c r="G774" t="s">
        <v>20</v>
      </c>
      <c r="H774">
        <v>5139</v>
      </c>
      <c r="I774" s="4">
        <f>IFERROR(Table1[[#This Row],[pledged]]/Table1[[#This Row],[backers_count]],0)</f>
        <v>32.999805409612762</v>
      </c>
      <c r="J774" t="s">
        <v>21</v>
      </c>
      <c r="K774" t="s">
        <v>22</v>
      </c>
      <c r="L774">
        <v>1549692000</v>
      </c>
      <c r="M774" s="9">
        <f>(((Table1[[#This Row],[launched_at]]/60)/60)/24)+DATE(1970,1,1)</f>
        <v>43505.25</v>
      </c>
      <c r="N774">
        <v>1550037600</v>
      </c>
      <c r="O774" s="9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LEFT(Table1[[#This Row],[category &amp; sub-category]],SEARCH("/",Table1[[#This Row],[category &amp; sub-category]],1)-1)</f>
        <v>music</v>
      </c>
      <c r="T774" t="str">
        <f>RIGHT(Table1[[#This Row],[category &amp; sub-category]],LEN(Table1[[#This Row],[category &amp; sub-category]])-SEARCH("/",Table1[[#This Row],[category &amp; sub-category]],1))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(Table1[[#This Row],[pledged]]/Table1[[#This Row],[goal]])*100</f>
        <v>190.55555555555554</v>
      </c>
      <c r="G775" t="s">
        <v>20</v>
      </c>
      <c r="H775">
        <v>2353</v>
      </c>
      <c r="I775" s="4">
        <f>IFERROR(Table1[[#This Row],[pledged]]/Table1[[#This Row],[backers_count]],0)</f>
        <v>43.00254993625159</v>
      </c>
      <c r="J775" t="s">
        <v>21</v>
      </c>
      <c r="K775" t="s">
        <v>22</v>
      </c>
      <c r="L775">
        <v>1492059600</v>
      </c>
      <c r="M775" s="9">
        <f>(((Table1[[#This Row],[launched_at]]/60)/60)/24)+DATE(1970,1,1)</f>
        <v>42838.208333333328</v>
      </c>
      <c r="N775">
        <v>1492923600</v>
      </c>
      <c r="O775" s="9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LEFT(Table1[[#This Row],[category &amp; sub-category]],SEARCH("/",Table1[[#This Row],[category &amp; sub-category]],1)-1)</f>
        <v>theater</v>
      </c>
      <c r="T775" t="str">
        <f>RIGHT(Table1[[#This Row],[category &amp; sub-category]],LEN(Table1[[#This Row],[category &amp; sub-category]])-SEARCH("/",Table1[[#This Row],[category &amp; sub-category]],1))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(Table1[[#This Row],[pledged]]/Table1[[#This Row],[goal]])*100</f>
        <v>135.5</v>
      </c>
      <c r="G776" t="s">
        <v>20</v>
      </c>
      <c r="H776">
        <v>78</v>
      </c>
      <c r="I776" s="4">
        <f>IFERROR(Table1[[#This Row],[pledged]]/Table1[[#This Row],[backers_count]],0)</f>
        <v>86.858974358974365</v>
      </c>
      <c r="J776" t="s">
        <v>107</v>
      </c>
      <c r="K776" t="s">
        <v>108</v>
      </c>
      <c r="L776">
        <v>1463979600</v>
      </c>
      <c r="M776" s="9">
        <f>(((Table1[[#This Row],[launched_at]]/60)/60)/24)+DATE(1970,1,1)</f>
        <v>42513.208333333328</v>
      </c>
      <c r="N776">
        <v>1467522000</v>
      </c>
      <c r="O776" s="9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LEFT(Table1[[#This Row],[category &amp; sub-category]],SEARCH("/",Table1[[#This Row],[category &amp; sub-category]],1)-1)</f>
        <v>technology</v>
      </c>
      <c r="T776" t="str">
        <f>RIGHT(Table1[[#This Row],[category &amp; sub-category]],LEN(Table1[[#This Row],[category &amp; sub-category]])-SEARCH("/",Table1[[#This Row],[category &amp; sub-category]],1))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(Table1[[#This Row],[pledged]]/Table1[[#This Row],[goal]])*100</f>
        <v>10.297872340425531</v>
      </c>
      <c r="G777" t="s">
        <v>14</v>
      </c>
      <c r="H777">
        <v>10</v>
      </c>
      <c r="I777" s="4">
        <f>IFERROR(Table1[[#This Row],[pledged]]/Table1[[#This Row],[backers_count]],0)</f>
        <v>96.8</v>
      </c>
      <c r="J777" t="s">
        <v>21</v>
      </c>
      <c r="K777" t="s">
        <v>22</v>
      </c>
      <c r="L777">
        <v>1415253600</v>
      </c>
      <c r="M777" s="9">
        <f>(((Table1[[#This Row],[launched_at]]/60)/60)/24)+DATE(1970,1,1)</f>
        <v>41949.25</v>
      </c>
      <c r="N777">
        <v>1416117600</v>
      </c>
      <c r="O777" s="9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LEFT(Table1[[#This Row],[category &amp; sub-category]],SEARCH("/",Table1[[#This Row],[category &amp; sub-category]],1)-1)</f>
        <v>music</v>
      </c>
      <c r="T777" t="str">
        <f>RIGHT(Table1[[#This Row],[category &amp; sub-category]],LEN(Table1[[#This Row],[category &amp; sub-category]])-SEARCH("/",Table1[[#This Row],[category &amp; sub-category]],1))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(Table1[[#This Row],[pledged]]/Table1[[#This Row],[goal]])*100</f>
        <v>65.544223826714799</v>
      </c>
      <c r="G778" t="s">
        <v>14</v>
      </c>
      <c r="H778">
        <v>2201</v>
      </c>
      <c r="I778" s="4">
        <f>IFERROR(Table1[[#This Row],[pledged]]/Table1[[#This Row],[backers_count]],0)</f>
        <v>32.995456610631528</v>
      </c>
      <c r="J778" t="s">
        <v>21</v>
      </c>
      <c r="K778" t="s">
        <v>22</v>
      </c>
      <c r="L778">
        <v>1562216400</v>
      </c>
      <c r="M778" s="9">
        <f>(((Table1[[#This Row],[launched_at]]/60)/60)/24)+DATE(1970,1,1)</f>
        <v>43650.208333333328</v>
      </c>
      <c r="N778">
        <v>1563771600</v>
      </c>
      <c r="O778" s="9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LEFT(Table1[[#This Row],[category &amp; sub-category]],SEARCH("/",Table1[[#This Row],[category &amp; sub-category]],1)-1)</f>
        <v>theater</v>
      </c>
      <c r="T778" t="str">
        <f>RIGHT(Table1[[#This Row],[category &amp; sub-category]],LEN(Table1[[#This Row],[category &amp; sub-category]])-SEARCH("/",Table1[[#This Row],[category &amp; sub-category]],1))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(Table1[[#This Row],[pledged]]/Table1[[#This Row],[goal]])*100</f>
        <v>49.026652452025587</v>
      </c>
      <c r="G779" t="s">
        <v>14</v>
      </c>
      <c r="H779">
        <v>676</v>
      </c>
      <c r="I779" s="4">
        <f>IFERROR(Table1[[#This Row],[pledged]]/Table1[[#This Row],[backers_count]],0)</f>
        <v>68.028106508875737</v>
      </c>
      <c r="J779" t="s">
        <v>21</v>
      </c>
      <c r="K779" t="s">
        <v>22</v>
      </c>
      <c r="L779">
        <v>1316754000</v>
      </c>
      <c r="M779" s="9">
        <f>(((Table1[[#This Row],[launched_at]]/60)/60)/24)+DATE(1970,1,1)</f>
        <v>40809.208333333336</v>
      </c>
      <c r="N779">
        <v>1319259600</v>
      </c>
      <c r="O779" s="9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LEFT(Table1[[#This Row],[category &amp; sub-category]],SEARCH("/",Table1[[#This Row],[category &amp; sub-category]],1)-1)</f>
        <v>theater</v>
      </c>
      <c r="T779" t="str">
        <f>RIGHT(Table1[[#This Row],[category &amp; sub-category]],LEN(Table1[[#This Row],[category &amp; sub-category]])-SEARCH("/",Table1[[#This Row],[category &amp; sub-category]],1))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(Table1[[#This Row],[pledged]]/Table1[[#This Row],[goal]])*100</f>
        <v>787.92307692307691</v>
      </c>
      <c r="G780" t="s">
        <v>20</v>
      </c>
      <c r="H780">
        <v>174</v>
      </c>
      <c r="I780" s="4">
        <f>IFERROR(Table1[[#This Row],[pledged]]/Table1[[#This Row],[backers_count]],0)</f>
        <v>58.867816091954026</v>
      </c>
      <c r="J780" t="s">
        <v>98</v>
      </c>
      <c r="K780" t="s">
        <v>99</v>
      </c>
      <c r="L780">
        <v>1313211600</v>
      </c>
      <c r="M780" s="9">
        <f>(((Table1[[#This Row],[launched_at]]/60)/60)/24)+DATE(1970,1,1)</f>
        <v>40768.208333333336</v>
      </c>
      <c r="N780">
        <v>1313643600</v>
      </c>
      <c r="O780" s="9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LEFT(Table1[[#This Row],[category &amp; sub-category]],SEARCH("/",Table1[[#This Row],[category &amp; sub-category]],1)-1)</f>
        <v>film &amp; video</v>
      </c>
      <c r="T780" t="str">
        <f>RIGHT(Table1[[#This Row],[category &amp; sub-category]],LEN(Table1[[#This Row],[category &amp; sub-category]])-SEARCH("/",Table1[[#This Row],[category &amp; sub-category]],1))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(Table1[[#This Row],[pledged]]/Table1[[#This Row],[goal]])*100</f>
        <v>80.306347746090154</v>
      </c>
      <c r="G781" t="s">
        <v>14</v>
      </c>
      <c r="H781">
        <v>831</v>
      </c>
      <c r="I781" s="4">
        <f>IFERROR(Table1[[#This Row],[pledged]]/Table1[[#This Row],[backers_count]],0)</f>
        <v>105.04572803850782</v>
      </c>
      <c r="J781" t="s">
        <v>21</v>
      </c>
      <c r="K781" t="s">
        <v>22</v>
      </c>
      <c r="L781">
        <v>1439528400</v>
      </c>
      <c r="M781" s="9">
        <f>(((Table1[[#This Row],[launched_at]]/60)/60)/24)+DATE(1970,1,1)</f>
        <v>42230.208333333328</v>
      </c>
      <c r="N781">
        <v>1440306000</v>
      </c>
      <c r="O781" s="9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LEFT(Table1[[#This Row],[category &amp; sub-category]],SEARCH("/",Table1[[#This Row],[category &amp; sub-category]],1)-1)</f>
        <v>theater</v>
      </c>
      <c r="T781" t="str">
        <f>RIGHT(Table1[[#This Row],[category &amp; sub-category]],LEN(Table1[[#This Row],[category &amp; sub-category]])-SEARCH("/",Table1[[#This Row],[category &amp; sub-category]],1))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(Table1[[#This Row],[pledged]]/Table1[[#This Row],[goal]])*100</f>
        <v>106.29411764705883</v>
      </c>
      <c r="G782" t="s">
        <v>20</v>
      </c>
      <c r="H782">
        <v>164</v>
      </c>
      <c r="I782" s="4">
        <f>IFERROR(Table1[[#This Row],[pledged]]/Table1[[#This Row],[backers_count]],0)</f>
        <v>33.054878048780488</v>
      </c>
      <c r="J782" t="s">
        <v>21</v>
      </c>
      <c r="K782" t="s">
        <v>22</v>
      </c>
      <c r="L782">
        <v>1469163600</v>
      </c>
      <c r="M782" s="9">
        <f>(((Table1[[#This Row],[launched_at]]/60)/60)/24)+DATE(1970,1,1)</f>
        <v>42573.208333333328</v>
      </c>
      <c r="N782">
        <v>1470805200</v>
      </c>
      <c r="O782" s="9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LEFT(Table1[[#This Row],[category &amp; sub-category]],SEARCH("/",Table1[[#This Row],[category &amp; sub-category]],1)-1)</f>
        <v>film &amp; video</v>
      </c>
      <c r="T782" t="str">
        <f>RIGHT(Table1[[#This Row],[category &amp; sub-category]],LEN(Table1[[#This Row],[category &amp; sub-category]])-SEARCH("/",Table1[[#This Row],[category &amp; sub-category]],1))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(Table1[[#This Row],[pledged]]/Table1[[#This Row],[goal]])*100</f>
        <v>50.735632183908038</v>
      </c>
      <c r="G783" t="s">
        <v>74</v>
      </c>
      <c r="H783">
        <v>56</v>
      </c>
      <c r="I783" s="4">
        <f>IFERROR(Table1[[#This Row],[pledged]]/Table1[[#This Row],[backers_count]],0)</f>
        <v>78.821428571428569</v>
      </c>
      <c r="J783" t="s">
        <v>98</v>
      </c>
      <c r="K783" t="s">
        <v>99</v>
      </c>
      <c r="L783">
        <v>1288501200</v>
      </c>
      <c r="M783" s="9">
        <f>(((Table1[[#This Row],[launched_at]]/60)/60)/24)+DATE(1970,1,1)</f>
        <v>40482.208333333336</v>
      </c>
      <c r="N783">
        <v>1292911200</v>
      </c>
      <c r="O783" s="9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LEFT(Table1[[#This Row],[category &amp; sub-category]],SEARCH("/",Table1[[#This Row],[category &amp; sub-category]],1)-1)</f>
        <v>theater</v>
      </c>
      <c r="T783" t="str">
        <f>RIGHT(Table1[[#This Row],[category &amp; sub-category]],LEN(Table1[[#This Row],[category &amp; sub-category]])-SEARCH("/",Table1[[#This Row],[category &amp; sub-category]],1))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(Table1[[#This Row],[pledged]]/Table1[[#This Row],[goal]])*100</f>
        <v>215.31372549019611</v>
      </c>
      <c r="G784" t="s">
        <v>20</v>
      </c>
      <c r="H784">
        <v>161</v>
      </c>
      <c r="I784" s="4">
        <f>IFERROR(Table1[[#This Row],[pledged]]/Table1[[#This Row],[backers_count]],0)</f>
        <v>68.204968944099377</v>
      </c>
      <c r="J784" t="s">
        <v>21</v>
      </c>
      <c r="K784" t="s">
        <v>22</v>
      </c>
      <c r="L784">
        <v>1298959200</v>
      </c>
      <c r="M784" s="9">
        <f>(((Table1[[#This Row],[launched_at]]/60)/60)/24)+DATE(1970,1,1)</f>
        <v>40603.25</v>
      </c>
      <c r="N784">
        <v>1301374800</v>
      </c>
      <c r="O784" s="9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LEFT(Table1[[#This Row],[category &amp; sub-category]],SEARCH("/",Table1[[#This Row],[category &amp; sub-category]],1)-1)</f>
        <v>film &amp; video</v>
      </c>
      <c r="T784" t="str">
        <f>RIGHT(Table1[[#This Row],[category &amp; sub-category]],LEN(Table1[[#This Row],[category &amp; sub-category]])-SEARCH("/",Table1[[#This Row],[category &amp; sub-category]],1))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(Table1[[#This Row],[pledged]]/Table1[[#This Row],[goal]])*100</f>
        <v>141.22972972972974</v>
      </c>
      <c r="G785" t="s">
        <v>20</v>
      </c>
      <c r="H785">
        <v>138</v>
      </c>
      <c r="I785" s="4">
        <f>IFERROR(Table1[[#This Row],[pledged]]/Table1[[#This Row],[backers_count]],0)</f>
        <v>75.731884057971016</v>
      </c>
      <c r="J785" t="s">
        <v>21</v>
      </c>
      <c r="K785" t="s">
        <v>22</v>
      </c>
      <c r="L785">
        <v>1387260000</v>
      </c>
      <c r="M785" s="9">
        <f>(((Table1[[#This Row],[launched_at]]/60)/60)/24)+DATE(1970,1,1)</f>
        <v>41625.25</v>
      </c>
      <c r="N785">
        <v>1387864800</v>
      </c>
      <c r="O785" s="9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LEFT(Table1[[#This Row],[category &amp; sub-category]],SEARCH("/",Table1[[#This Row],[category &amp; sub-category]],1)-1)</f>
        <v>music</v>
      </c>
      <c r="T785" t="str">
        <f>RIGHT(Table1[[#This Row],[category &amp; sub-category]],LEN(Table1[[#This Row],[category &amp; sub-category]])-SEARCH("/",Table1[[#This Row],[category &amp; sub-category]],1))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(Table1[[#This Row],[pledged]]/Table1[[#This Row],[goal]])*100</f>
        <v>115.33745781777279</v>
      </c>
      <c r="G786" t="s">
        <v>20</v>
      </c>
      <c r="H786">
        <v>3308</v>
      </c>
      <c r="I786" s="4">
        <f>IFERROR(Table1[[#This Row],[pledged]]/Table1[[#This Row],[backers_count]],0)</f>
        <v>30.996070133010882</v>
      </c>
      <c r="J786" t="s">
        <v>21</v>
      </c>
      <c r="K786" t="s">
        <v>22</v>
      </c>
      <c r="L786">
        <v>1457244000</v>
      </c>
      <c r="M786" s="9">
        <f>(((Table1[[#This Row],[launched_at]]/60)/60)/24)+DATE(1970,1,1)</f>
        <v>42435.25</v>
      </c>
      <c r="N786">
        <v>1458190800</v>
      </c>
      <c r="O786" s="9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LEFT(Table1[[#This Row],[category &amp; sub-category]],SEARCH("/",Table1[[#This Row],[category &amp; sub-category]],1)-1)</f>
        <v>technology</v>
      </c>
      <c r="T786" t="str">
        <f>RIGHT(Table1[[#This Row],[category &amp; sub-category]],LEN(Table1[[#This Row],[category &amp; sub-category]])-SEARCH("/",Table1[[#This Row],[category &amp; sub-category]],1))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(Table1[[#This Row],[pledged]]/Table1[[#This Row],[goal]])*100</f>
        <v>193.11940298507463</v>
      </c>
      <c r="G787" t="s">
        <v>20</v>
      </c>
      <c r="H787">
        <v>127</v>
      </c>
      <c r="I787" s="4">
        <f>IFERROR(Table1[[#This Row],[pledged]]/Table1[[#This Row],[backers_count]],0)</f>
        <v>101.88188976377953</v>
      </c>
      <c r="J787" t="s">
        <v>26</v>
      </c>
      <c r="K787" t="s">
        <v>27</v>
      </c>
      <c r="L787">
        <v>1556341200</v>
      </c>
      <c r="M787" s="9">
        <f>(((Table1[[#This Row],[launched_at]]/60)/60)/24)+DATE(1970,1,1)</f>
        <v>43582.208333333328</v>
      </c>
      <c r="N787">
        <v>1559278800</v>
      </c>
      <c r="O787" s="9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LEFT(Table1[[#This Row],[category &amp; sub-category]],SEARCH("/",Table1[[#This Row],[category &amp; sub-category]],1)-1)</f>
        <v>film &amp; video</v>
      </c>
      <c r="T787" t="str">
        <f>RIGHT(Table1[[#This Row],[category &amp; sub-category]],LEN(Table1[[#This Row],[category &amp; sub-category]])-SEARCH("/",Table1[[#This Row],[category &amp; sub-category]],1))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(Table1[[#This Row],[pledged]]/Table1[[#This Row],[goal]])*100</f>
        <v>729.73333333333335</v>
      </c>
      <c r="G788" t="s">
        <v>20</v>
      </c>
      <c r="H788">
        <v>207</v>
      </c>
      <c r="I788" s="4">
        <f>IFERROR(Table1[[#This Row],[pledged]]/Table1[[#This Row],[backers_count]],0)</f>
        <v>52.879227053140099</v>
      </c>
      <c r="J788" t="s">
        <v>107</v>
      </c>
      <c r="K788" t="s">
        <v>108</v>
      </c>
      <c r="L788">
        <v>1522126800</v>
      </c>
      <c r="M788" s="9">
        <f>(((Table1[[#This Row],[launched_at]]/60)/60)/24)+DATE(1970,1,1)</f>
        <v>43186.208333333328</v>
      </c>
      <c r="N788">
        <v>1522731600</v>
      </c>
      <c r="O788" s="9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LEFT(Table1[[#This Row],[category &amp; sub-category]],SEARCH("/",Table1[[#This Row],[category &amp; sub-category]],1)-1)</f>
        <v>music</v>
      </c>
      <c r="T788" t="str">
        <f>RIGHT(Table1[[#This Row],[category &amp; sub-category]],LEN(Table1[[#This Row],[category &amp; sub-category]])-SEARCH("/",Table1[[#This Row],[category &amp; sub-category]],1))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(Table1[[#This Row],[pledged]]/Table1[[#This Row],[goal]])*100</f>
        <v>99.66339869281046</v>
      </c>
      <c r="G789" t="s">
        <v>14</v>
      </c>
      <c r="H789">
        <v>859</v>
      </c>
      <c r="I789" s="4">
        <f>IFERROR(Table1[[#This Row],[pledged]]/Table1[[#This Row],[backers_count]],0)</f>
        <v>71.005820721769496</v>
      </c>
      <c r="J789" t="s">
        <v>15</v>
      </c>
      <c r="K789" t="s">
        <v>16</v>
      </c>
      <c r="L789">
        <v>1305954000</v>
      </c>
      <c r="M789" s="9">
        <f>(((Table1[[#This Row],[launched_at]]/60)/60)/24)+DATE(1970,1,1)</f>
        <v>40684.208333333336</v>
      </c>
      <c r="N789">
        <v>1306731600</v>
      </c>
      <c r="O789" s="9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LEFT(Table1[[#This Row],[category &amp; sub-category]],SEARCH("/",Table1[[#This Row],[category &amp; sub-category]],1)-1)</f>
        <v>music</v>
      </c>
      <c r="T789" t="str">
        <f>RIGHT(Table1[[#This Row],[category &amp; sub-category]],LEN(Table1[[#This Row],[category &amp; sub-category]])-SEARCH("/",Table1[[#This Row],[category &amp; sub-category]],1))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(Table1[[#This Row],[pledged]]/Table1[[#This Row],[goal]])*100</f>
        <v>88.166666666666671</v>
      </c>
      <c r="G790" t="s">
        <v>47</v>
      </c>
      <c r="H790">
        <v>31</v>
      </c>
      <c r="I790" s="4">
        <f>IFERROR(Table1[[#This Row],[pledged]]/Table1[[#This Row],[backers_count]],0)</f>
        <v>102.38709677419355</v>
      </c>
      <c r="J790" t="s">
        <v>21</v>
      </c>
      <c r="K790" t="s">
        <v>22</v>
      </c>
      <c r="L790">
        <v>1350709200</v>
      </c>
      <c r="M790" s="9">
        <f>(((Table1[[#This Row],[launched_at]]/60)/60)/24)+DATE(1970,1,1)</f>
        <v>41202.208333333336</v>
      </c>
      <c r="N790">
        <v>1352527200</v>
      </c>
      <c r="O790" s="9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LEFT(Table1[[#This Row],[category &amp; sub-category]],SEARCH("/",Table1[[#This Row],[category &amp; sub-category]],1)-1)</f>
        <v>film &amp; video</v>
      </c>
      <c r="T790" t="str">
        <f>RIGHT(Table1[[#This Row],[category &amp; sub-category]],LEN(Table1[[#This Row],[category &amp; sub-category]])-SEARCH("/",Table1[[#This Row],[category &amp; sub-category]],1))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(Table1[[#This Row],[pledged]]/Table1[[#This Row],[goal]])*100</f>
        <v>37.233333333333334</v>
      </c>
      <c r="G791" t="s">
        <v>14</v>
      </c>
      <c r="H791">
        <v>45</v>
      </c>
      <c r="I791" s="4">
        <f>IFERROR(Table1[[#This Row],[pledged]]/Table1[[#This Row],[backers_count]],0)</f>
        <v>74.466666666666669</v>
      </c>
      <c r="J791" t="s">
        <v>21</v>
      </c>
      <c r="K791" t="s">
        <v>22</v>
      </c>
      <c r="L791">
        <v>1401166800</v>
      </c>
      <c r="M791" s="9">
        <f>(((Table1[[#This Row],[launched_at]]/60)/60)/24)+DATE(1970,1,1)</f>
        <v>41786.208333333336</v>
      </c>
      <c r="N791">
        <v>1404363600</v>
      </c>
      <c r="O791" s="9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LEFT(Table1[[#This Row],[category &amp; sub-category]],SEARCH("/",Table1[[#This Row],[category &amp; sub-category]],1)-1)</f>
        <v>theater</v>
      </c>
      <c r="T791" t="str">
        <f>RIGHT(Table1[[#This Row],[category &amp; sub-category]],LEN(Table1[[#This Row],[category &amp; sub-category]])-SEARCH("/",Table1[[#This Row],[category &amp; sub-category]],1))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(Table1[[#This Row],[pledged]]/Table1[[#This Row],[goal]])*100</f>
        <v>30.540075309306079</v>
      </c>
      <c r="G792" t="s">
        <v>74</v>
      </c>
      <c r="H792">
        <v>1113</v>
      </c>
      <c r="I792" s="4">
        <f>IFERROR(Table1[[#This Row],[pledged]]/Table1[[#This Row],[backers_count]],0)</f>
        <v>51.009883198562441</v>
      </c>
      <c r="J792" t="s">
        <v>21</v>
      </c>
      <c r="K792" t="s">
        <v>22</v>
      </c>
      <c r="L792">
        <v>1266127200</v>
      </c>
      <c r="M792" s="9">
        <f>(((Table1[[#This Row],[launched_at]]/60)/60)/24)+DATE(1970,1,1)</f>
        <v>40223.25</v>
      </c>
      <c r="N792">
        <v>1266645600</v>
      </c>
      <c r="O792" s="9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LEFT(Table1[[#This Row],[category &amp; sub-category]],SEARCH("/",Table1[[#This Row],[category &amp; sub-category]],1)-1)</f>
        <v>theater</v>
      </c>
      <c r="T792" t="str">
        <f>RIGHT(Table1[[#This Row],[category &amp; sub-category]],LEN(Table1[[#This Row],[category &amp; sub-category]])-SEARCH("/",Table1[[#This Row],[category &amp; sub-category]],1))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(Table1[[#This Row],[pledged]]/Table1[[#This Row],[goal]])*100</f>
        <v>25.714285714285712</v>
      </c>
      <c r="G793" t="s">
        <v>14</v>
      </c>
      <c r="H793">
        <v>6</v>
      </c>
      <c r="I793" s="4">
        <f>IFERROR(Table1[[#This Row],[pledged]]/Table1[[#This Row],[backers_count]],0)</f>
        <v>90</v>
      </c>
      <c r="J793" t="s">
        <v>21</v>
      </c>
      <c r="K793" t="s">
        <v>22</v>
      </c>
      <c r="L793">
        <v>1481436000</v>
      </c>
      <c r="M793" s="9">
        <f>(((Table1[[#This Row],[launched_at]]/60)/60)/24)+DATE(1970,1,1)</f>
        <v>42715.25</v>
      </c>
      <c r="N793">
        <v>1482818400</v>
      </c>
      <c r="O793" s="9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LEFT(Table1[[#This Row],[category &amp; sub-category]],SEARCH("/",Table1[[#This Row],[category &amp; sub-category]],1)-1)</f>
        <v>food</v>
      </c>
      <c r="T793" t="str">
        <f>RIGHT(Table1[[#This Row],[category &amp; sub-category]],LEN(Table1[[#This Row],[category &amp; sub-category]])-SEARCH("/",Table1[[#This Row],[category &amp; sub-category]],1))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(Table1[[#This Row],[pledged]]/Table1[[#This Row],[goal]])*100</f>
        <v>34</v>
      </c>
      <c r="G794" t="s">
        <v>14</v>
      </c>
      <c r="H794">
        <v>7</v>
      </c>
      <c r="I794" s="4">
        <f>IFERROR(Table1[[#This Row],[pledged]]/Table1[[#This Row],[backers_count]],0)</f>
        <v>97.142857142857139</v>
      </c>
      <c r="J794" t="s">
        <v>21</v>
      </c>
      <c r="K794" t="s">
        <v>22</v>
      </c>
      <c r="L794">
        <v>1372222800</v>
      </c>
      <c r="M794" s="9">
        <f>(((Table1[[#This Row],[launched_at]]/60)/60)/24)+DATE(1970,1,1)</f>
        <v>41451.208333333336</v>
      </c>
      <c r="N794">
        <v>1374642000</v>
      </c>
      <c r="O794" s="9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LEFT(Table1[[#This Row],[category &amp; sub-category]],SEARCH("/",Table1[[#This Row],[category &amp; sub-category]],1)-1)</f>
        <v>theater</v>
      </c>
      <c r="T794" t="str">
        <f>RIGHT(Table1[[#This Row],[category &amp; sub-category]],LEN(Table1[[#This Row],[category &amp; sub-category]])-SEARCH("/",Table1[[#This Row],[category &amp; sub-category]],1))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(Table1[[#This Row],[pledged]]/Table1[[#This Row],[goal]])*100</f>
        <v>1185.909090909091</v>
      </c>
      <c r="G795" t="s">
        <v>20</v>
      </c>
      <c r="H795">
        <v>181</v>
      </c>
      <c r="I795" s="4">
        <f>IFERROR(Table1[[#This Row],[pledged]]/Table1[[#This Row],[backers_count]],0)</f>
        <v>72.071823204419886</v>
      </c>
      <c r="J795" t="s">
        <v>98</v>
      </c>
      <c r="K795" t="s">
        <v>99</v>
      </c>
      <c r="L795">
        <v>1372136400</v>
      </c>
      <c r="M795" s="9">
        <f>(((Table1[[#This Row],[launched_at]]/60)/60)/24)+DATE(1970,1,1)</f>
        <v>41450.208333333336</v>
      </c>
      <c r="N795">
        <v>1372482000</v>
      </c>
      <c r="O795" s="9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LEFT(Table1[[#This Row],[category &amp; sub-category]],SEARCH("/",Table1[[#This Row],[category &amp; sub-category]],1)-1)</f>
        <v>publishing</v>
      </c>
      <c r="T795" t="str">
        <f>RIGHT(Table1[[#This Row],[category &amp; sub-category]],LEN(Table1[[#This Row],[category &amp; sub-category]])-SEARCH("/",Table1[[#This Row],[category &amp; sub-category]],1))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(Table1[[#This Row],[pledged]]/Table1[[#This Row],[goal]])*100</f>
        <v>125.39393939393939</v>
      </c>
      <c r="G796" t="s">
        <v>20</v>
      </c>
      <c r="H796">
        <v>110</v>
      </c>
      <c r="I796" s="4">
        <f>IFERROR(Table1[[#This Row],[pledged]]/Table1[[#This Row],[backers_count]],0)</f>
        <v>75.236363636363635</v>
      </c>
      <c r="J796" t="s">
        <v>21</v>
      </c>
      <c r="K796" t="s">
        <v>22</v>
      </c>
      <c r="L796">
        <v>1513922400</v>
      </c>
      <c r="M796" s="9">
        <f>(((Table1[[#This Row],[launched_at]]/60)/60)/24)+DATE(1970,1,1)</f>
        <v>43091.25</v>
      </c>
      <c r="N796">
        <v>1514959200</v>
      </c>
      <c r="O796" s="9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LEFT(Table1[[#This Row],[category &amp; sub-category]],SEARCH("/",Table1[[#This Row],[category &amp; sub-category]],1)-1)</f>
        <v>music</v>
      </c>
      <c r="T796" t="str">
        <f>RIGHT(Table1[[#This Row],[category &amp; sub-category]],LEN(Table1[[#This Row],[category &amp; sub-category]])-SEARCH("/",Table1[[#This Row],[category &amp; sub-category]],1))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(Table1[[#This Row],[pledged]]/Table1[[#This Row],[goal]])*100</f>
        <v>14.394366197183098</v>
      </c>
      <c r="G797" t="s">
        <v>14</v>
      </c>
      <c r="H797">
        <v>31</v>
      </c>
      <c r="I797" s="4">
        <f>IFERROR(Table1[[#This Row],[pledged]]/Table1[[#This Row],[backers_count]],0)</f>
        <v>32.967741935483872</v>
      </c>
      <c r="J797" t="s">
        <v>21</v>
      </c>
      <c r="K797" t="s">
        <v>22</v>
      </c>
      <c r="L797">
        <v>1477976400</v>
      </c>
      <c r="M797" s="9">
        <f>(((Table1[[#This Row],[launched_at]]/60)/60)/24)+DATE(1970,1,1)</f>
        <v>42675.208333333328</v>
      </c>
      <c r="N797">
        <v>1478235600</v>
      </c>
      <c r="O797" s="9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LEFT(Table1[[#This Row],[category &amp; sub-category]],SEARCH("/",Table1[[#This Row],[category &amp; sub-category]],1)-1)</f>
        <v>film &amp; video</v>
      </c>
      <c r="T797" t="str">
        <f>RIGHT(Table1[[#This Row],[category &amp; sub-category]],LEN(Table1[[#This Row],[category &amp; sub-category]])-SEARCH("/",Table1[[#This Row],[category &amp; sub-category]],1))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(Table1[[#This Row],[pledged]]/Table1[[#This Row],[goal]])*100</f>
        <v>54.807692307692314</v>
      </c>
      <c r="G798" t="s">
        <v>14</v>
      </c>
      <c r="H798">
        <v>78</v>
      </c>
      <c r="I798" s="4">
        <f>IFERROR(Table1[[#This Row],[pledged]]/Table1[[#This Row],[backers_count]],0)</f>
        <v>54.807692307692307</v>
      </c>
      <c r="J798" t="s">
        <v>21</v>
      </c>
      <c r="K798" t="s">
        <v>22</v>
      </c>
      <c r="L798">
        <v>1407474000</v>
      </c>
      <c r="M798" s="9">
        <f>(((Table1[[#This Row],[launched_at]]/60)/60)/24)+DATE(1970,1,1)</f>
        <v>41859.208333333336</v>
      </c>
      <c r="N798">
        <v>1408078800</v>
      </c>
      <c r="O798" s="9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LEFT(Table1[[#This Row],[category &amp; sub-category]],SEARCH("/",Table1[[#This Row],[category &amp; sub-category]],1)-1)</f>
        <v>games</v>
      </c>
      <c r="T798" t="str">
        <f>RIGHT(Table1[[#This Row],[category &amp; sub-category]],LEN(Table1[[#This Row],[category &amp; sub-category]])-SEARCH("/",Table1[[#This Row],[category &amp; sub-category]],1))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(Table1[[#This Row],[pledged]]/Table1[[#This Row],[goal]])*100</f>
        <v>109.63157894736841</v>
      </c>
      <c r="G799" t="s">
        <v>20</v>
      </c>
      <c r="H799">
        <v>185</v>
      </c>
      <c r="I799" s="4">
        <f>IFERROR(Table1[[#This Row],[pledged]]/Table1[[#This Row],[backers_count]],0)</f>
        <v>45.037837837837834</v>
      </c>
      <c r="J799" t="s">
        <v>21</v>
      </c>
      <c r="K799" t="s">
        <v>22</v>
      </c>
      <c r="L799">
        <v>1546149600</v>
      </c>
      <c r="M799" s="9">
        <f>(((Table1[[#This Row],[launched_at]]/60)/60)/24)+DATE(1970,1,1)</f>
        <v>43464.25</v>
      </c>
      <c r="N799">
        <v>1548136800</v>
      </c>
      <c r="O799" s="9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LEFT(Table1[[#This Row],[category &amp; sub-category]],SEARCH("/",Table1[[#This Row],[category &amp; sub-category]],1)-1)</f>
        <v>technology</v>
      </c>
      <c r="T799" t="str">
        <f>RIGHT(Table1[[#This Row],[category &amp; sub-category]],LEN(Table1[[#This Row],[category &amp; sub-category]])-SEARCH("/",Table1[[#This Row],[category &amp; sub-category]],1))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(Table1[[#This Row],[pledged]]/Table1[[#This Row],[goal]])*100</f>
        <v>188.47058823529412</v>
      </c>
      <c r="G800" t="s">
        <v>20</v>
      </c>
      <c r="H800">
        <v>121</v>
      </c>
      <c r="I800" s="4">
        <f>IFERROR(Table1[[#This Row],[pledged]]/Table1[[#This Row],[backers_count]],0)</f>
        <v>52.958677685950413</v>
      </c>
      <c r="J800" t="s">
        <v>21</v>
      </c>
      <c r="K800" t="s">
        <v>22</v>
      </c>
      <c r="L800">
        <v>1338440400</v>
      </c>
      <c r="M800" s="9">
        <f>(((Table1[[#This Row],[launched_at]]/60)/60)/24)+DATE(1970,1,1)</f>
        <v>41060.208333333336</v>
      </c>
      <c r="N800">
        <v>1340859600</v>
      </c>
      <c r="O800" s="9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LEFT(Table1[[#This Row],[category &amp; sub-category]],SEARCH("/",Table1[[#This Row],[category &amp; sub-category]],1)-1)</f>
        <v>theater</v>
      </c>
      <c r="T800" t="str">
        <f>RIGHT(Table1[[#This Row],[category &amp; sub-category]],LEN(Table1[[#This Row],[category &amp; sub-category]])-SEARCH("/",Table1[[#This Row],[category &amp; sub-category]],1))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(Table1[[#This Row],[pledged]]/Table1[[#This Row],[goal]])*100</f>
        <v>87.008284023668637</v>
      </c>
      <c r="G801" t="s">
        <v>14</v>
      </c>
      <c r="H801">
        <v>1225</v>
      </c>
      <c r="I801" s="4">
        <f>IFERROR(Table1[[#This Row],[pledged]]/Table1[[#This Row],[backers_count]],0)</f>
        <v>60.017959183673469</v>
      </c>
      <c r="J801" t="s">
        <v>40</v>
      </c>
      <c r="K801" t="s">
        <v>41</v>
      </c>
      <c r="L801">
        <v>1454133600</v>
      </c>
      <c r="M801" s="9">
        <f>(((Table1[[#This Row],[launched_at]]/60)/60)/24)+DATE(1970,1,1)</f>
        <v>42399.25</v>
      </c>
      <c r="N801">
        <v>1454479200</v>
      </c>
      <c r="O801" s="9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LEFT(Table1[[#This Row],[category &amp; sub-category]],SEARCH("/",Table1[[#This Row],[category &amp; sub-category]],1)-1)</f>
        <v>theater</v>
      </c>
      <c r="T801" t="str">
        <f>RIGHT(Table1[[#This Row],[category &amp; sub-category]],LEN(Table1[[#This Row],[category &amp; sub-category]])-SEARCH("/",Table1[[#This Row],[category &amp; sub-category]],1))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(Table1[[#This Row],[pledged]]/Table1[[#This Row],[goal]])*100</f>
        <v>1</v>
      </c>
      <c r="G802" t="s">
        <v>14</v>
      </c>
      <c r="H802">
        <v>1</v>
      </c>
      <c r="I802" s="4">
        <f>IFERROR(Table1[[#This Row],[pledged]]/Table1[[#This Row],[backers_count]],0)</f>
        <v>1</v>
      </c>
      <c r="J802" t="s">
        <v>98</v>
      </c>
      <c r="K802" t="s">
        <v>99</v>
      </c>
      <c r="L802">
        <v>1434085200</v>
      </c>
      <c r="M802" s="9">
        <f>(((Table1[[#This Row],[launched_at]]/60)/60)/24)+DATE(1970,1,1)</f>
        <v>42167.208333333328</v>
      </c>
      <c r="N802">
        <v>1434430800</v>
      </c>
      <c r="O802" s="9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LEFT(Table1[[#This Row],[category &amp; sub-category]],SEARCH("/",Table1[[#This Row],[category &amp; sub-category]],1)-1)</f>
        <v>music</v>
      </c>
      <c r="T802" t="str">
        <f>RIGHT(Table1[[#This Row],[category &amp; sub-category]],LEN(Table1[[#This Row],[category &amp; sub-category]])-SEARCH("/",Table1[[#This Row],[category &amp; sub-category]],1))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(Table1[[#This Row],[pledged]]/Table1[[#This Row],[goal]])*100</f>
        <v>202.9130434782609</v>
      </c>
      <c r="G803" t="s">
        <v>20</v>
      </c>
      <c r="H803">
        <v>106</v>
      </c>
      <c r="I803" s="4">
        <f>IFERROR(Table1[[#This Row],[pledged]]/Table1[[#This Row],[backers_count]],0)</f>
        <v>44.028301886792455</v>
      </c>
      <c r="J803" t="s">
        <v>21</v>
      </c>
      <c r="K803" t="s">
        <v>22</v>
      </c>
      <c r="L803">
        <v>1577772000</v>
      </c>
      <c r="M803" s="9">
        <f>(((Table1[[#This Row],[launched_at]]/60)/60)/24)+DATE(1970,1,1)</f>
        <v>43830.25</v>
      </c>
      <c r="N803">
        <v>1579672800</v>
      </c>
      <c r="O803" s="9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LEFT(Table1[[#This Row],[category &amp; sub-category]],SEARCH("/",Table1[[#This Row],[category &amp; sub-category]],1)-1)</f>
        <v>photography</v>
      </c>
      <c r="T803" t="str">
        <f>RIGHT(Table1[[#This Row],[category &amp; sub-category]],LEN(Table1[[#This Row],[category &amp; sub-category]])-SEARCH("/",Table1[[#This Row],[category &amp; sub-category]],1))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(Table1[[#This Row],[pledged]]/Table1[[#This Row],[goal]])*100</f>
        <v>197.03225806451613</v>
      </c>
      <c r="G804" t="s">
        <v>20</v>
      </c>
      <c r="H804">
        <v>142</v>
      </c>
      <c r="I804" s="4">
        <f>IFERROR(Table1[[#This Row],[pledged]]/Table1[[#This Row],[backers_count]],0)</f>
        <v>86.028169014084511</v>
      </c>
      <c r="J804" t="s">
        <v>21</v>
      </c>
      <c r="K804" t="s">
        <v>22</v>
      </c>
      <c r="L804">
        <v>1562216400</v>
      </c>
      <c r="M804" s="9">
        <f>(((Table1[[#This Row],[launched_at]]/60)/60)/24)+DATE(1970,1,1)</f>
        <v>43650.208333333328</v>
      </c>
      <c r="N804">
        <v>1562389200</v>
      </c>
      <c r="O804" s="9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LEFT(Table1[[#This Row],[category &amp; sub-category]],SEARCH("/",Table1[[#This Row],[category &amp; sub-category]],1)-1)</f>
        <v>photography</v>
      </c>
      <c r="T804" t="str">
        <f>RIGHT(Table1[[#This Row],[category &amp; sub-category]],LEN(Table1[[#This Row],[category &amp; sub-category]])-SEARCH("/",Table1[[#This Row],[category &amp; sub-category]],1))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(Table1[[#This Row],[pledged]]/Table1[[#This Row],[goal]])*100</f>
        <v>107</v>
      </c>
      <c r="G805" t="s">
        <v>20</v>
      </c>
      <c r="H805">
        <v>233</v>
      </c>
      <c r="I805" s="4">
        <f>IFERROR(Table1[[#This Row],[pledged]]/Table1[[#This Row],[backers_count]],0)</f>
        <v>28.012875536480685</v>
      </c>
      <c r="J805" t="s">
        <v>21</v>
      </c>
      <c r="K805" t="s">
        <v>22</v>
      </c>
      <c r="L805">
        <v>1548568800</v>
      </c>
      <c r="M805" s="9">
        <f>(((Table1[[#This Row],[launched_at]]/60)/60)/24)+DATE(1970,1,1)</f>
        <v>43492.25</v>
      </c>
      <c r="N805">
        <v>1551506400</v>
      </c>
      <c r="O805" s="9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LEFT(Table1[[#This Row],[category &amp; sub-category]],SEARCH("/",Table1[[#This Row],[category &amp; sub-category]],1)-1)</f>
        <v>theater</v>
      </c>
      <c r="T805" t="str">
        <f>RIGHT(Table1[[#This Row],[category &amp; sub-category]],LEN(Table1[[#This Row],[category &amp; sub-category]])-SEARCH("/",Table1[[#This Row],[category &amp; sub-category]],1))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(Table1[[#This Row],[pledged]]/Table1[[#This Row],[goal]])*100</f>
        <v>268.73076923076923</v>
      </c>
      <c r="G806" t="s">
        <v>20</v>
      </c>
      <c r="H806">
        <v>218</v>
      </c>
      <c r="I806" s="4">
        <f>IFERROR(Table1[[#This Row],[pledged]]/Table1[[#This Row],[backers_count]],0)</f>
        <v>32.050458715596328</v>
      </c>
      <c r="J806" t="s">
        <v>21</v>
      </c>
      <c r="K806" t="s">
        <v>22</v>
      </c>
      <c r="L806">
        <v>1514872800</v>
      </c>
      <c r="M806" s="9">
        <f>(((Table1[[#This Row],[launched_at]]/60)/60)/24)+DATE(1970,1,1)</f>
        <v>43102.25</v>
      </c>
      <c r="N806">
        <v>1516600800</v>
      </c>
      <c r="O806" s="9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LEFT(Table1[[#This Row],[category &amp; sub-category]],SEARCH("/",Table1[[#This Row],[category &amp; sub-category]],1)-1)</f>
        <v>music</v>
      </c>
      <c r="T806" t="str">
        <f>RIGHT(Table1[[#This Row],[category &amp; sub-category]],LEN(Table1[[#This Row],[category &amp; sub-category]])-SEARCH("/",Table1[[#This Row],[category &amp; sub-category]],1))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(Table1[[#This Row],[pledged]]/Table1[[#This Row],[goal]])*100</f>
        <v>50.845360824742272</v>
      </c>
      <c r="G807" t="s">
        <v>14</v>
      </c>
      <c r="H807">
        <v>67</v>
      </c>
      <c r="I807" s="4">
        <f>IFERROR(Table1[[#This Row],[pledged]]/Table1[[#This Row],[backers_count]],0)</f>
        <v>73.611940298507463</v>
      </c>
      <c r="J807" t="s">
        <v>26</v>
      </c>
      <c r="K807" t="s">
        <v>27</v>
      </c>
      <c r="L807">
        <v>1416031200</v>
      </c>
      <c r="M807" s="9">
        <f>(((Table1[[#This Row],[launched_at]]/60)/60)/24)+DATE(1970,1,1)</f>
        <v>41958.25</v>
      </c>
      <c r="N807">
        <v>1420437600</v>
      </c>
      <c r="O807" s="9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LEFT(Table1[[#This Row],[category &amp; sub-category]],SEARCH("/",Table1[[#This Row],[category &amp; sub-category]],1)-1)</f>
        <v>film &amp; video</v>
      </c>
      <c r="T807" t="str">
        <f>RIGHT(Table1[[#This Row],[category &amp; sub-category]],LEN(Table1[[#This Row],[category &amp; sub-category]])-SEARCH("/",Table1[[#This Row],[category &amp; sub-category]],1))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(Table1[[#This Row],[pledged]]/Table1[[#This Row],[goal]])*100</f>
        <v>1180.2857142857142</v>
      </c>
      <c r="G808" t="s">
        <v>20</v>
      </c>
      <c r="H808">
        <v>76</v>
      </c>
      <c r="I808" s="4">
        <f>IFERROR(Table1[[#This Row],[pledged]]/Table1[[#This Row],[backers_count]],0)</f>
        <v>108.71052631578948</v>
      </c>
      <c r="J808" t="s">
        <v>21</v>
      </c>
      <c r="K808" t="s">
        <v>22</v>
      </c>
      <c r="L808">
        <v>1330927200</v>
      </c>
      <c r="M808" s="9">
        <f>(((Table1[[#This Row],[launched_at]]/60)/60)/24)+DATE(1970,1,1)</f>
        <v>40973.25</v>
      </c>
      <c r="N808">
        <v>1332997200</v>
      </c>
      <c r="O808" s="9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LEFT(Table1[[#This Row],[category &amp; sub-category]],SEARCH("/",Table1[[#This Row],[category &amp; sub-category]],1)-1)</f>
        <v>film &amp; video</v>
      </c>
      <c r="T808" t="str">
        <f>RIGHT(Table1[[#This Row],[category &amp; sub-category]],LEN(Table1[[#This Row],[category &amp; sub-category]])-SEARCH("/",Table1[[#This Row],[category &amp; sub-category]],1))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(Table1[[#This Row],[pledged]]/Table1[[#This Row],[goal]])*100</f>
        <v>264</v>
      </c>
      <c r="G809" t="s">
        <v>20</v>
      </c>
      <c r="H809">
        <v>43</v>
      </c>
      <c r="I809" s="4">
        <f>IFERROR(Table1[[#This Row],[pledged]]/Table1[[#This Row],[backers_count]],0)</f>
        <v>42.97674418604651</v>
      </c>
      <c r="J809" t="s">
        <v>21</v>
      </c>
      <c r="K809" t="s">
        <v>22</v>
      </c>
      <c r="L809">
        <v>1571115600</v>
      </c>
      <c r="M809" s="9">
        <f>(((Table1[[#This Row],[launched_at]]/60)/60)/24)+DATE(1970,1,1)</f>
        <v>43753.208333333328</v>
      </c>
      <c r="N809">
        <v>1574920800</v>
      </c>
      <c r="O809" s="9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LEFT(Table1[[#This Row],[category &amp; sub-category]],SEARCH("/",Table1[[#This Row],[category &amp; sub-category]],1)-1)</f>
        <v>theater</v>
      </c>
      <c r="T809" t="str">
        <f>RIGHT(Table1[[#This Row],[category &amp; sub-category]],LEN(Table1[[#This Row],[category &amp; sub-category]])-SEARCH("/",Table1[[#This Row],[category &amp; sub-category]],1))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(Table1[[#This Row],[pledged]]/Table1[[#This Row],[goal]])*100</f>
        <v>30.44230769230769</v>
      </c>
      <c r="G810" t="s">
        <v>14</v>
      </c>
      <c r="H810">
        <v>19</v>
      </c>
      <c r="I810" s="4">
        <f>IFERROR(Table1[[#This Row],[pledged]]/Table1[[#This Row],[backers_count]],0)</f>
        <v>83.315789473684205</v>
      </c>
      <c r="J810" t="s">
        <v>21</v>
      </c>
      <c r="K810" t="s">
        <v>22</v>
      </c>
      <c r="L810">
        <v>1463461200</v>
      </c>
      <c r="M810" s="9">
        <f>(((Table1[[#This Row],[launched_at]]/60)/60)/24)+DATE(1970,1,1)</f>
        <v>42507.208333333328</v>
      </c>
      <c r="N810">
        <v>1464930000</v>
      </c>
      <c r="O810" s="9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LEFT(Table1[[#This Row],[category &amp; sub-category]],SEARCH("/",Table1[[#This Row],[category &amp; sub-category]],1)-1)</f>
        <v>food</v>
      </c>
      <c r="T810" t="str">
        <f>RIGHT(Table1[[#This Row],[category &amp; sub-category]],LEN(Table1[[#This Row],[category &amp; sub-category]])-SEARCH("/",Table1[[#This Row],[category &amp; sub-category]],1))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(Table1[[#This Row],[pledged]]/Table1[[#This Row],[goal]])*100</f>
        <v>62.880681818181813</v>
      </c>
      <c r="G811" t="s">
        <v>14</v>
      </c>
      <c r="H811">
        <v>2108</v>
      </c>
      <c r="I811" s="4">
        <f>IFERROR(Table1[[#This Row],[pledged]]/Table1[[#This Row],[backers_count]],0)</f>
        <v>42</v>
      </c>
      <c r="J811" t="s">
        <v>98</v>
      </c>
      <c r="K811" t="s">
        <v>99</v>
      </c>
      <c r="L811">
        <v>1344920400</v>
      </c>
      <c r="M811" s="9">
        <f>(((Table1[[#This Row],[launched_at]]/60)/60)/24)+DATE(1970,1,1)</f>
        <v>41135.208333333336</v>
      </c>
      <c r="N811">
        <v>1345006800</v>
      </c>
      <c r="O811" s="9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LEFT(Table1[[#This Row],[category &amp; sub-category]],SEARCH("/",Table1[[#This Row],[category &amp; sub-category]],1)-1)</f>
        <v>film &amp; video</v>
      </c>
      <c r="T811" t="str">
        <f>RIGHT(Table1[[#This Row],[category &amp; sub-category]],LEN(Table1[[#This Row],[category &amp; sub-category]])-SEARCH("/",Table1[[#This Row],[category &amp; sub-category]],1))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(Table1[[#This Row],[pledged]]/Table1[[#This Row],[goal]])*100</f>
        <v>193.125</v>
      </c>
      <c r="G812" t="s">
        <v>20</v>
      </c>
      <c r="H812">
        <v>221</v>
      </c>
      <c r="I812" s="4">
        <f>IFERROR(Table1[[#This Row],[pledged]]/Table1[[#This Row],[backers_count]],0)</f>
        <v>55.927601809954751</v>
      </c>
      <c r="J812" t="s">
        <v>21</v>
      </c>
      <c r="K812" t="s">
        <v>22</v>
      </c>
      <c r="L812">
        <v>1511848800</v>
      </c>
      <c r="M812" s="9">
        <f>(((Table1[[#This Row],[launched_at]]/60)/60)/24)+DATE(1970,1,1)</f>
        <v>43067.25</v>
      </c>
      <c r="N812">
        <v>1512712800</v>
      </c>
      <c r="O812" s="9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LEFT(Table1[[#This Row],[category &amp; sub-category]],SEARCH("/",Table1[[#This Row],[category &amp; sub-category]],1)-1)</f>
        <v>theater</v>
      </c>
      <c r="T812" t="str">
        <f>RIGHT(Table1[[#This Row],[category &amp; sub-category]],LEN(Table1[[#This Row],[category &amp; sub-category]])-SEARCH("/",Table1[[#This Row],[category &amp; sub-category]],1))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(Table1[[#This Row],[pledged]]/Table1[[#This Row],[goal]])*100</f>
        <v>77.102702702702715</v>
      </c>
      <c r="G813" t="s">
        <v>14</v>
      </c>
      <c r="H813">
        <v>679</v>
      </c>
      <c r="I813" s="4">
        <f>IFERROR(Table1[[#This Row],[pledged]]/Table1[[#This Row],[backers_count]],0)</f>
        <v>105.03681885125184</v>
      </c>
      <c r="J813" t="s">
        <v>21</v>
      </c>
      <c r="K813" t="s">
        <v>22</v>
      </c>
      <c r="L813">
        <v>1452319200</v>
      </c>
      <c r="M813" s="9">
        <f>(((Table1[[#This Row],[launched_at]]/60)/60)/24)+DATE(1970,1,1)</f>
        <v>42378.25</v>
      </c>
      <c r="N813">
        <v>1452492000</v>
      </c>
      <c r="O813" s="9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LEFT(Table1[[#This Row],[category &amp; sub-category]],SEARCH("/",Table1[[#This Row],[category &amp; sub-category]],1)-1)</f>
        <v>games</v>
      </c>
      <c r="T813" t="str">
        <f>RIGHT(Table1[[#This Row],[category &amp; sub-category]],LEN(Table1[[#This Row],[category &amp; sub-category]])-SEARCH("/",Table1[[#This Row],[category &amp; sub-category]],1))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(Table1[[#This Row],[pledged]]/Table1[[#This Row],[goal]])*100</f>
        <v>225.52763819095478</v>
      </c>
      <c r="G814" t="s">
        <v>20</v>
      </c>
      <c r="H814">
        <v>2805</v>
      </c>
      <c r="I814" s="4">
        <f>IFERROR(Table1[[#This Row],[pledged]]/Table1[[#This Row],[backers_count]],0)</f>
        <v>48</v>
      </c>
      <c r="J814" t="s">
        <v>15</v>
      </c>
      <c r="K814" t="s">
        <v>16</v>
      </c>
      <c r="L814">
        <v>1523854800</v>
      </c>
      <c r="M814" s="9">
        <f>(((Table1[[#This Row],[launched_at]]/60)/60)/24)+DATE(1970,1,1)</f>
        <v>43206.208333333328</v>
      </c>
      <c r="N814">
        <v>1524286800</v>
      </c>
      <c r="O814" s="9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LEFT(Table1[[#This Row],[category &amp; sub-category]],SEARCH("/",Table1[[#This Row],[category &amp; sub-category]],1)-1)</f>
        <v>publishing</v>
      </c>
      <c r="T814" t="str">
        <f>RIGHT(Table1[[#This Row],[category &amp; sub-category]],LEN(Table1[[#This Row],[category &amp; sub-category]])-SEARCH("/",Table1[[#This Row],[category &amp; sub-category]],1))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(Table1[[#This Row],[pledged]]/Table1[[#This Row],[goal]])*100</f>
        <v>239.40625</v>
      </c>
      <c r="G815" t="s">
        <v>20</v>
      </c>
      <c r="H815">
        <v>68</v>
      </c>
      <c r="I815" s="4">
        <f>IFERROR(Table1[[#This Row],[pledged]]/Table1[[#This Row],[backers_count]],0)</f>
        <v>112.66176470588235</v>
      </c>
      <c r="J815" t="s">
        <v>21</v>
      </c>
      <c r="K815" t="s">
        <v>22</v>
      </c>
      <c r="L815">
        <v>1346043600</v>
      </c>
      <c r="M815" s="9">
        <f>(((Table1[[#This Row],[launched_at]]/60)/60)/24)+DATE(1970,1,1)</f>
        <v>41148.208333333336</v>
      </c>
      <c r="N815">
        <v>1346907600</v>
      </c>
      <c r="O815" s="9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LEFT(Table1[[#This Row],[category &amp; sub-category]],SEARCH("/",Table1[[#This Row],[category &amp; sub-category]],1)-1)</f>
        <v>games</v>
      </c>
      <c r="T815" t="str">
        <f>RIGHT(Table1[[#This Row],[category &amp; sub-category]],LEN(Table1[[#This Row],[category &amp; sub-category]])-SEARCH("/",Table1[[#This Row],[category &amp; sub-category]],1))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(Table1[[#This Row],[pledged]]/Table1[[#This Row],[goal]])*100</f>
        <v>92.1875</v>
      </c>
      <c r="G816" t="s">
        <v>14</v>
      </c>
      <c r="H816">
        <v>36</v>
      </c>
      <c r="I816" s="4">
        <f>IFERROR(Table1[[#This Row],[pledged]]/Table1[[#This Row],[backers_count]],0)</f>
        <v>81.944444444444443</v>
      </c>
      <c r="J816" t="s">
        <v>36</v>
      </c>
      <c r="K816" t="s">
        <v>37</v>
      </c>
      <c r="L816">
        <v>1464325200</v>
      </c>
      <c r="M816" s="9">
        <f>(((Table1[[#This Row],[launched_at]]/60)/60)/24)+DATE(1970,1,1)</f>
        <v>42517.208333333328</v>
      </c>
      <c r="N816">
        <v>1464498000</v>
      </c>
      <c r="O816" s="9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LEFT(Table1[[#This Row],[category &amp; sub-category]],SEARCH("/",Table1[[#This Row],[category &amp; sub-category]],1)-1)</f>
        <v>music</v>
      </c>
      <c r="T816" t="str">
        <f>RIGHT(Table1[[#This Row],[category &amp; sub-category]],LEN(Table1[[#This Row],[category &amp; sub-category]])-SEARCH("/",Table1[[#This Row],[category &amp; sub-category]],1))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(Table1[[#This Row],[pledged]]/Table1[[#This Row],[goal]])*100</f>
        <v>130.23333333333335</v>
      </c>
      <c r="G817" t="s">
        <v>20</v>
      </c>
      <c r="H817">
        <v>183</v>
      </c>
      <c r="I817" s="4">
        <f>IFERROR(Table1[[#This Row],[pledged]]/Table1[[#This Row],[backers_count]],0)</f>
        <v>64.049180327868854</v>
      </c>
      <c r="J817" t="s">
        <v>15</v>
      </c>
      <c r="K817" t="s">
        <v>16</v>
      </c>
      <c r="L817">
        <v>1511935200</v>
      </c>
      <c r="M817" s="9">
        <f>(((Table1[[#This Row],[launched_at]]/60)/60)/24)+DATE(1970,1,1)</f>
        <v>43068.25</v>
      </c>
      <c r="N817">
        <v>1514181600</v>
      </c>
      <c r="O817" s="9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LEFT(Table1[[#This Row],[category &amp; sub-category]],SEARCH("/",Table1[[#This Row],[category &amp; sub-category]],1)-1)</f>
        <v>music</v>
      </c>
      <c r="T817" t="str">
        <f>RIGHT(Table1[[#This Row],[category &amp; sub-category]],LEN(Table1[[#This Row],[category &amp; sub-category]])-SEARCH("/",Table1[[#This Row],[category &amp; sub-category]],1))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(Table1[[#This Row],[pledged]]/Table1[[#This Row],[goal]])*100</f>
        <v>615.21739130434787</v>
      </c>
      <c r="G818" t="s">
        <v>20</v>
      </c>
      <c r="H818">
        <v>133</v>
      </c>
      <c r="I818" s="4">
        <f>IFERROR(Table1[[#This Row],[pledged]]/Table1[[#This Row],[backers_count]],0)</f>
        <v>106.39097744360902</v>
      </c>
      <c r="J818" t="s">
        <v>21</v>
      </c>
      <c r="K818" t="s">
        <v>22</v>
      </c>
      <c r="L818">
        <v>1392012000</v>
      </c>
      <c r="M818" s="9">
        <f>(((Table1[[#This Row],[launched_at]]/60)/60)/24)+DATE(1970,1,1)</f>
        <v>41680.25</v>
      </c>
      <c r="N818">
        <v>1392184800</v>
      </c>
      <c r="O818" s="9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LEFT(Table1[[#This Row],[category &amp; sub-category]],SEARCH("/",Table1[[#This Row],[category &amp; sub-category]],1)-1)</f>
        <v>theater</v>
      </c>
      <c r="T818" t="str">
        <f>RIGHT(Table1[[#This Row],[category &amp; sub-category]],LEN(Table1[[#This Row],[category &amp; sub-category]])-SEARCH("/",Table1[[#This Row],[category &amp; sub-category]],1))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(Table1[[#This Row],[pledged]]/Table1[[#This Row],[goal]])*100</f>
        <v>368.79532163742692</v>
      </c>
      <c r="G819" t="s">
        <v>20</v>
      </c>
      <c r="H819">
        <v>2489</v>
      </c>
      <c r="I819" s="4">
        <f>IFERROR(Table1[[#This Row],[pledged]]/Table1[[#This Row],[backers_count]],0)</f>
        <v>76.011249497790274</v>
      </c>
      <c r="J819" t="s">
        <v>107</v>
      </c>
      <c r="K819" t="s">
        <v>108</v>
      </c>
      <c r="L819">
        <v>1556946000</v>
      </c>
      <c r="M819" s="9">
        <f>(((Table1[[#This Row],[launched_at]]/60)/60)/24)+DATE(1970,1,1)</f>
        <v>43589.208333333328</v>
      </c>
      <c r="N819">
        <v>1559365200</v>
      </c>
      <c r="O819" s="9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LEFT(Table1[[#This Row],[category &amp; sub-category]],SEARCH("/",Table1[[#This Row],[category &amp; sub-category]],1)-1)</f>
        <v>publishing</v>
      </c>
      <c r="T819" t="str">
        <f>RIGHT(Table1[[#This Row],[category &amp; sub-category]],LEN(Table1[[#This Row],[category &amp; sub-category]])-SEARCH("/",Table1[[#This Row],[category &amp; sub-category]],1))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(Table1[[#This Row],[pledged]]/Table1[[#This Row],[goal]])*100</f>
        <v>1094.8571428571429</v>
      </c>
      <c r="G820" t="s">
        <v>20</v>
      </c>
      <c r="H820">
        <v>69</v>
      </c>
      <c r="I820" s="4">
        <f>IFERROR(Table1[[#This Row],[pledged]]/Table1[[#This Row],[backers_count]],0)</f>
        <v>111.07246376811594</v>
      </c>
      <c r="J820" t="s">
        <v>21</v>
      </c>
      <c r="K820" t="s">
        <v>22</v>
      </c>
      <c r="L820">
        <v>1548050400</v>
      </c>
      <c r="M820" s="9">
        <f>(((Table1[[#This Row],[launched_at]]/60)/60)/24)+DATE(1970,1,1)</f>
        <v>43486.25</v>
      </c>
      <c r="N820">
        <v>1549173600</v>
      </c>
      <c r="O820" s="9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LEFT(Table1[[#This Row],[category &amp; sub-category]],SEARCH("/",Table1[[#This Row],[category &amp; sub-category]],1)-1)</f>
        <v>theater</v>
      </c>
      <c r="T820" t="str">
        <f>RIGHT(Table1[[#This Row],[category &amp; sub-category]],LEN(Table1[[#This Row],[category &amp; sub-category]])-SEARCH("/",Table1[[#This Row],[category &amp; sub-category]],1))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(Table1[[#This Row],[pledged]]/Table1[[#This Row],[goal]])*100</f>
        <v>50.662921348314605</v>
      </c>
      <c r="G821" t="s">
        <v>14</v>
      </c>
      <c r="H821">
        <v>47</v>
      </c>
      <c r="I821" s="4">
        <f>IFERROR(Table1[[#This Row],[pledged]]/Table1[[#This Row],[backers_count]],0)</f>
        <v>95.936170212765958</v>
      </c>
      <c r="J821" t="s">
        <v>21</v>
      </c>
      <c r="K821" t="s">
        <v>22</v>
      </c>
      <c r="L821">
        <v>1353736800</v>
      </c>
      <c r="M821" s="9">
        <f>(((Table1[[#This Row],[launched_at]]/60)/60)/24)+DATE(1970,1,1)</f>
        <v>41237.25</v>
      </c>
      <c r="N821">
        <v>1355032800</v>
      </c>
      <c r="O821" s="9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LEFT(Table1[[#This Row],[category &amp; sub-category]],SEARCH("/",Table1[[#This Row],[category &amp; sub-category]],1)-1)</f>
        <v>games</v>
      </c>
      <c r="T821" t="str">
        <f>RIGHT(Table1[[#This Row],[category &amp; sub-category]],LEN(Table1[[#This Row],[category &amp; sub-category]])-SEARCH("/",Table1[[#This Row],[category &amp; sub-category]],1))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(Table1[[#This Row],[pledged]]/Table1[[#This Row],[goal]])*100</f>
        <v>800.6</v>
      </c>
      <c r="G822" t="s">
        <v>20</v>
      </c>
      <c r="H822">
        <v>279</v>
      </c>
      <c r="I822" s="4">
        <f>IFERROR(Table1[[#This Row],[pledged]]/Table1[[#This Row],[backers_count]],0)</f>
        <v>43.043010752688176</v>
      </c>
      <c r="J822" t="s">
        <v>40</v>
      </c>
      <c r="K822" t="s">
        <v>41</v>
      </c>
      <c r="L822">
        <v>1532840400</v>
      </c>
      <c r="M822" s="9">
        <f>(((Table1[[#This Row],[launched_at]]/60)/60)/24)+DATE(1970,1,1)</f>
        <v>43310.208333333328</v>
      </c>
      <c r="N822">
        <v>1533963600</v>
      </c>
      <c r="O822" s="9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LEFT(Table1[[#This Row],[category &amp; sub-category]],SEARCH("/",Table1[[#This Row],[category &amp; sub-category]],1)-1)</f>
        <v>music</v>
      </c>
      <c r="T822" t="str">
        <f>RIGHT(Table1[[#This Row],[category &amp; sub-category]],LEN(Table1[[#This Row],[category &amp; sub-category]])-SEARCH("/",Table1[[#This Row],[category &amp; sub-category]],1))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(Table1[[#This Row],[pledged]]/Table1[[#This Row],[goal]])*100</f>
        <v>291.28571428571428</v>
      </c>
      <c r="G823" t="s">
        <v>20</v>
      </c>
      <c r="H823">
        <v>210</v>
      </c>
      <c r="I823" s="4">
        <f>IFERROR(Table1[[#This Row],[pledged]]/Table1[[#This Row],[backers_count]],0)</f>
        <v>67.966666666666669</v>
      </c>
      <c r="J823" t="s">
        <v>21</v>
      </c>
      <c r="K823" t="s">
        <v>22</v>
      </c>
      <c r="L823">
        <v>1488261600</v>
      </c>
      <c r="M823" s="9">
        <f>(((Table1[[#This Row],[launched_at]]/60)/60)/24)+DATE(1970,1,1)</f>
        <v>42794.25</v>
      </c>
      <c r="N823">
        <v>1489381200</v>
      </c>
      <c r="O823" s="9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LEFT(Table1[[#This Row],[category &amp; sub-category]],SEARCH("/",Table1[[#This Row],[category &amp; sub-category]],1)-1)</f>
        <v>film &amp; video</v>
      </c>
      <c r="T823" t="str">
        <f>RIGHT(Table1[[#This Row],[category &amp; sub-category]],LEN(Table1[[#This Row],[category &amp; sub-category]])-SEARCH("/",Table1[[#This Row],[category &amp; sub-category]],1))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(Table1[[#This Row],[pledged]]/Table1[[#This Row],[goal]])*100</f>
        <v>349.9666666666667</v>
      </c>
      <c r="G824" t="s">
        <v>20</v>
      </c>
      <c r="H824">
        <v>2100</v>
      </c>
      <c r="I824" s="4">
        <f>IFERROR(Table1[[#This Row],[pledged]]/Table1[[#This Row],[backers_count]],0)</f>
        <v>89.991428571428571</v>
      </c>
      <c r="J824" t="s">
        <v>21</v>
      </c>
      <c r="K824" t="s">
        <v>22</v>
      </c>
      <c r="L824">
        <v>1393567200</v>
      </c>
      <c r="M824" s="9">
        <f>(((Table1[[#This Row],[launched_at]]/60)/60)/24)+DATE(1970,1,1)</f>
        <v>41698.25</v>
      </c>
      <c r="N824">
        <v>1395032400</v>
      </c>
      <c r="O824" s="9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LEFT(Table1[[#This Row],[category &amp; sub-category]],SEARCH("/",Table1[[#This Row],[category &amp; sub-category]],1)-1)</f>
        <v>music</v>
      </c>
      <c r="T824" t="str">
        <f>RIGHT(Table1[[#This Row],[category &amp; sub-category]],LEN(Table1[[#This Row],[category &amp; sub-category]])-SEARCH("/",Table1[[#This Row],[category &amp; sub-category]],1))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(Table1[[#This Row],[pledged]]/Table1[[#This Row],[goal]])*100</f>
        <v>357.07317073170731</v>
      </c>
      <c r="G825" t="s">
        <v>20</v>
      </c>
      <c r="H825">
        <v>252</v>
      </c>
      <c r="I825" s="4">
        <f>IFERROR(Table1[[#This Row],[pledged]]/Table1[[#This Row],[backers_count]],0)</f>
        <v>58.095238095238095</v>
      </c>
      <c r="J825" t="s">
        <v>21</v>
      </c>
      <c r="K825" t="s">
        <v>22</v>
      </c>
      <c r="L825">
        <v>1410325200</v>
      </c>
      <c r="M825" s="9">
        <f>(((Table1[[#This Row],[launched_at]]/60)/60)/24)+DATE(1970,1,1)</f>
        <v>41892.208333333336</v>
      </c>
      <c r="N825">
        <v>1412485200</v>
      </c>
      <c r="O825" s="9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LEFT(Table1[[#This Row],[category &amp; sub-category]],SEARCH("/",Table1[[#This Row],[category &amp; sub-category]],1)-1)</f>
        <v>music</v>
      </c>
      <c r="T825" t="str">
        <f>RIGHT(Table1[[#This Row],[category &amp; sub-category]],LEN(Table1[[#This Row],[category &amp; sub-category]])-SEARCH("/",Table1[[#This Row],[category &amp; sub-category]],1))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(Table1[[#This Row],[pledged]]/Table1[[#This Row],[goal]])*100</f>
        <v>126.48941176470588</v>
      </c>
      <c r="G826" t="s">
        <v>20</v>
      </c>
      <c r="H826">
        <v>1280</v>
      </c>
      <c r="I826" s="4">
        <f>IFERROR(Table1[[#This Row],[pledged]]/Table1[[#This Row],[backers_count]],0)</f>
        <v>83.996875000000003</v>
      </c>
      <c r="J826" t="s">
        <v>21</v>
      </c>
      <c r="K826" t="s">
        <v>22</v>
      </c>
      <c r="L826">
        <v>1276923600</v>
      </c>
      <c r="M826" s="9">
        <f>(((Table1[[#This Row],[launched_at]]/60)/60)/24)+DATE(1970,1,1)</f>
        <v>40348.208333333336</v>
      </c>
      <c r="N826">
        <v>1279688400</v>
      </c>
      <c r="O826" s="9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LEFT(Table1[[#This Row],[category &amp; sub-category]],SEARCH("/",Table1[[#This Row],[category &amp; sub-category]],1)-1)</f>
        <v>publishing</v>
      </c>
      <c r="T826" t="str">
        <f>RIGHT(Table1[[#This Row],[category &amp; sub-category]],LEN(Table1[[#This Row],[category &amp; sub-category]])-SEARCH("/",Table1[[#This Row],[category &amp; sub-category]],1))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(Table1[[#This Row],[pledged]]/Table1[[#This Row],[goal]])*100</f>
        <v>387.5</v>
      </c>
      <c r="G827" t="s">
        <v>20</v>
      </c>
      <c r="H827">
        <v>157</v>
      </c>
      <c r="I827" s="4">
        <f>IFERROR(Table1[[#This Row],[pledged]]/Table1[[#This Row],[backers_count]],0)</f>
        <v>88.853503184713375</v>
      </c>
      <c r="J827" t="s">
        <v>40</v>
      </c>
      <c r="K827" t="s">
        <v>41</v>
      </c>
      <c r="L827">
        <v>1500958800</v>
      </c>
      <c r="M827" s="9">
        <f>(((Table1[[#This Row],[launched_at]]/60)/60)/24)+DATE(1970,1,1)</f>
        <v>42941.208333333328</v>
      </c>
      <c r="N827">
        <v>1501995600</v>
      </c>
      <c r="O827" s="9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LEFT(Table1[[#This Row],[category &amp; sub-category]],SEARCH("/",Table1[[#This Row],[category &amp; sub-category]],1)-1)</f>
        <v>film &amp; video</v>
      </c>
      <c r="T827" t="str">
        <f>RIGHT(Table1[[#This Row],[category &amp; sub-category]],LEN(Table1[[#This Row],[category &amp; sub-category]])-SEARCH("/",Table1[[#This Row],[category &amp; sub-category]],1))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(Table1[[#This Row],[pledged]]/Table1[[#This Row],[goal]])*100</f>
        <v>457.03571428571428</v>
      </c>
      <c r="G828" t="s">
        <v>20</v>
      </c>
      <c r="H828">
        <v>194</v>
      </c>
      <c r="I828" s="4">
        <f>IFERROR(Table1[[#This Row],[pledged]]/Table1[[#This Row],[backers_count]],0)</f>
        <v>65.963917525773198</v>
      </c>
      <c r="J828" t="s">
        <v>21</v>
      </c>
      <c r="K828" t="s">
        <v>22</v>
      </c>
      <c r="L828">
        <v>1292220000</v>
      </c>
      <c r="M828" s="9">
        <f>(((Table1[[#This Row],[launched_at]]/60)/60)/24)+DATE(1970,1,1)</f>
        <v>40525.25</v>
      </c>
      <c r="N828">
        <v>1294639200</v>
      </c>
      <c r="O828" s="9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LEFT(Table1[[#This Row],[category &amp; sub-category]],SEARCH("/",Table1[[#This Row],[category &amp; sub-category]],1)-1)</f>
        <v>theater</v>
      </c>
      <c r="T828" t="str">
        <f>RIGHT(Table1[[#This Row],[category &amp; sub-category]],LEN(Table1[[#This Row],[category &amp; sub-category]])-SEARCH("/",Table1[[#This Row],[category &amp; sub-category]],1))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(Table1[[#This Row],[pledged]]/Table1[[#This Row],[goal]])*100</f>
        <v>266.69565217391306</v>
      </c>
      <c r="G829" t="s">
        <v>20</v>
      </c>
      <c r="H829">
        <v>82</v>
      </c>
      <c r="I829" s="4">
        <f>IFERROR(Table1[[#This Row],[pledged]]/Table1[[#This Row],[backers_count]],0)</f>
        <v>74.804878048780495</v>
      </c>
      <c r="J829" t="s">
        <v>26</v>
      </c>
      <c r="K829" t="s">
        <v>27</v>
      </c>
      <c r="L829">
        <v>1304398800</v>
      </c>
      <c r="M829" s="9">
        <f>(((Table1[[#This Row],[launched_at]]/60)/60)/24)+DATE(1970,1,1)</f>
        <v>40666.208333333336</v>
      </c>
      <c r="N829">
        <v>1305435600</v>
      </c>
      <c r="O829" s="9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LEFT(Table1[[#This Row],[category &amp; sub-category]],SEARCH("/",Table1[[#This Row],[category &amp; sub-category]],1)-1)</f>
        <v>film &amp; video</v>
      </c>
      <c r="T829" t="str">
        <f>RIGHT(Table1[[#This Row],[category &amp; sub-category]],LEN(Table1[[#This Row],[category &amp; sub-category]])-SEARCH("/",Table1[[#This Row],[category &amp; sub-category]],1))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(Table1[[#This Row],[pledged]]/Table1[[#This Row],[goal]])*100</f>
        <v>69</v>
      </c>
      <c r="G830" t="s">
        <v>14</v>
      </c>
      <c r="H830">
        <v>70</v>
      </c>
      <c r="I830" s="4">
        <f>IFERROR(Table1[[#This Row],[pledged]]/Table1[[#This Row],[backers_count]],0)</f>
        <v>69.98571428571428</v>
      </c>
      <c r="J830" t="s">
        <v>21</v>
      </c>
      <c r="K830" t="s">
        <v>22</v>
      </c>
      <c r="L830">
        <v>1535432400</v>
      </c>
      <c r="M830" s="9">
        <f>(((Table1[[#This Row],[launched_at]]/60)/60)/24)+DATE(1970,1,1)</f>
        <v>43340.208333333328</v>
      </c>
      <c r="N830">
        <v>1537592400</v>
      </c>
      <c r="O830" s="9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LEFT(Table1[[#This Row],[category &amp; sub-category]],SEARCH("/",Table1[[#This Row],[category &amp; sub-category]],1)-1)</f>
        <v>theater</v>
      </c>
      <c r="T830" t="str">
        <f>RIGHT(Table1[[#This Row],[category &amp; sub-category]],LEN(Table1[[#This Row],[category &amp; sub-category]])-SEARCH("/",Table1[[#This Row],[category &amp; sub-category]],1))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(Table1[[#This Row],[pledged]]/Table1[[#This Row],[goal]])*100</f>
        <v>51.34375</v>
      </c>
      <c r="G831" t="s">
        <v>14</v>
      </c>
      <c r="H831">
        <v>154</v>
      </c>
      <c r="I831" s="4">
        <f>IFERROR(Table1[[#This Row],[pledged]]/Table1[[#This Row],[backers_count]],0)</f>
        <v>32.006493506493506</v>
      </c>
      <c r="J831" t="s">
        <v>21</v>
      </c>
      <c r="K831" t="s">
        <v>22</v>
      </c>
      <c r="L831">
        <v>1433826000</v>
      </c>
      <c r="M831" s="9">
        <f>(((Table1[[#This Row],[launched_at]]/60)/60)/24)+DATE(1970,1,1)</f>
        <v>42164.208333333328</v>
      </c>
      <c r="N831">
        <v>1435122000</v>
      </c>
      <c r="O831" s="9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LEFT(Table1[[#This Row],[category &amp; sub-category]],SEARCH("/",Table1[[#This Row],[category &amp; sub-category]],1)-1)</f>
        <v>theater</v>
      </c>
      <c r="T831" t="str">
        <f>RIGHT(Table1[[#This Row],[category &amp; sub-category]],LEN(Table1[[#This Row],[category &amp; sub-category]])-SEARCH("/",Table1[[#This Row],[category &amp; sub-category]],1))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(Table1[[#This Row],[pledged]]/Table1[[#This Row],[goal]])*100</f>
        <v>1.1710526315789473</v>
      </c>
      <c r="G832" t="s">
        <v>14</v>
      </c>
      <c r="H832">
        <v>22</v>
      </c>
      <c r="I832" s="4">
        <f>IFERROR(Table1[[#This Row],[pledged]]/Table1[[#This Row],[backers_count]],0)</f>
        <v>64.727272727272734</v>
      </c>
      <c r="J832" t="s">
        <v>21</v>
      </c>
      <c r="K832" t="s">
        <v>22</v>
      </c>
      <c r="L832">
        <v>1514959200</v>
      </c>
      <c r="M832" s="9">
        <f>(((Table1[[#This Row],[launched_at]]/60)/60)/24)+DATE(1970,1,1)</f>
        <v>43103.25</v>
      </c>
      <c r="N832">
        <v>1520056800</v>
      </c>
      <c r="O832" s="9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LEFT(Table1[[#This Row],[category &amp; sub-category]],SEARCH("/",Table1[[#This Row],[category &amp; sub-category]],1)-1)</f>
        <v>theater</v>
      </c>
      <c r="T832" t="str">
        <f>RIGHT(Table1[[#This Row],[category &amp; sub-category]],LEN(Table1[[#This Row],[category &amp; sub-category]])-SEARCH("/",Table1[[#This Row],[category &amp; sub-category]],1))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(Table1[[#This Row],[pledged]]/Table1[[#This Row],[goal]])*100</f>
        <v>108.97734294541709</v>
      </c>
      <c r="G833" t="s">
        <v>20</v>
      </c>
      <c r="H833">
        <v>4233</v>
      </c>
      <c r="I833" s="4">
        <f>IFERROR(Table1[[#This Row],[pledged]]/Table1[[#This Row],[backers_count]],0)</f>
        <v>24.998110087408456</v>
      </c>
      <c r="J833" t="s">
        <v>21</v>
      </c>
      <c r="K833" t="s">
        <v>22</v>
      </c>
      <c r="L833">
        <v>1332738000</v>
      </c>
      <c r="M833" s="9">
        <f>(((Table1[[#This Row],[launched_at]]/60)/60)/24)+DATE(1970,1,1)</f>
        <v>40994.208333333336</v>
      </c>
      <c r="N833">
        <v>1335675600</v>
      </c>
      <c r="O833" s="9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LEFT(Table1[[#This Row],[category &amp; sub-category]],SEARCH("/",Table1[[#This Row],[category &amp; sub-category]],1)-1)</f>
        <v>photography</v>
      </c>
      <c r="T833" t="str">
        <f>RIGHT(Table1[[#This Row],[category &amp; sub-category]],LEN(Table1[[#This Row],[category &amp; sub-category]])-SEARCH("/",Table1[[#This Row],[category &amp; sub-category]],1))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(Table1[[#This Row],[pledged]]/Table1[[#This Row],[goal]])*100</f>
        <v>315.17592592592592</v>
      </c>
      <c r="G834" t="s">
        <v>20</v>
      </c>
      <c r="H834">
        <v>1297</v>
      </c>
      <c r="I834" s="4">
        <f>IFERROR(Table1[[#This Row],[pledged]]/Table1[[#This Row],[backers_count]],0)</f>
        <v>104.97764070932922</v>
      </c>
      <c r="J834" t="s">
        <v>36</v>
      </c>
      <c r="K834" t="s">
        <v>37</v>
      </c>
      <c r="L834">
        <v>1445490000</v>
      </c>
      <c r="M834" s="9">
        <f>(((Table1[[#This Row],[launched_at]]/60)/60)/24)+DATE(1970,1,1)</f>
        <v>42299.208333333328</v>
      </c>
      <c r="N834">
        <v>1448431200</v>
      </c>
      <c r="O834" s="9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LEFT(Table1[[#This Row],[category &amp; sub-category]],SEARCH("/",Table1[[#This Row],[category &amp; sub-category]],1)-1)</f>
        <v>publishing</v>
      </c>
      <c r="T834" t="str">
        <f>RIGHT(Table1[[#This Row],[category &amp; sub-category]],LEN(Table1[[#This Row],[category &amp; sub-category]])-SEARCH("/",Table1[[#This Row],[category &amp; sub-category]],1))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(Table1[[#This Row],[pledged]]/Table1[[#This Row],[goal]])*100</f>
        <v>157.69117647058823</v>
      </c>
      <c r="G835" t="s">
        <v>20</v>
      </c>
      <c r="H835">
        <v>165</v>
      </c>
      <c r="I835" s="4">
        <f>IFERROR(Table1[[#This Row],[pledged]]/Table1[[#This Row],[backers_count]],0)</f>
        <v>64.987878787878785</v>
      </c>
      <c r="J835" t="s">
        <v>36</v>
      </c>
      <c r="K835" t="s">
        <v>37</v>
      </c>
      <c r="L835">
        <v>1297663200</v>
      </c>
      <c r="M835" s="9">
        <f>(((Table1[[#This Row],[launched_at]]/60)/60)/24)+DATE(1970,1,1)</f>
        <v>40588.25</v>
      </c>
      <c r="N835">
        <v>1298613600</v>
      </c>
      <c r="O835" s="9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LEFT(Table1[[#This Row],[category &amp; sub-category]],SEARCH("/",Table1[[#This Row],[category &amp; sub-category]],1)-1)</f>
        <v>publishing</v>
      </c>
      <c r="T835" t="str">
        <f>RIGHT(Table1[[#This Row],[category &amp; sub-category]],LEN(Table1[[#This Row],[category &amp; sub-category]])-SEARCH("/",Table1[[#This Row],[category &amp; sub-category]],1))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(Table1[[#This Row],[pledged]]/Table1[[#This Row],[goal]])*100</f>
        <v>153.8082191780822</v>
      </c>
      <c r="G836" t="s">
        <v>20</v>
      </c>
      <c r="H836">
        <v>119</v>
      </c>
      <c r="I836" s="4">
        <f>IFERROR(Table1[[#This Row],[pledged]]/Table1[[#This Row],[backers_count]],0)</f>
        <v>94.352941176470594</v>
      </c>
      <c r="J836" t="s">
        <v>21</v>
      </c>
      <c r="K836" t="s">
        <v>22</v>
      </c>
      <c r="L836">
        <v>1371963600</v>
      </c>
      <c r="M836" s="9">
        <f>(((Table1[[#This Row],[launched_at]]/60)/60)/24)+DATE(1970,1,1)</f>
        <v>41448.208333333336</v>
      </c>
      <c r="N836">
        <v>1372482000</v>
      </c>
      <c r="O836" s="9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LEFT(Table1[[#This Row],[category &amp; sub-category]],SEARCH("/",Table1[[#This Row],[category &amp; sub-category]],1)-1)</f>
        <v>theater</v>
      </c>
      <c r="T836" t="str">
        <f>RIGHT(Table1[[#This Row],[category &amp; sub-category]],LEN(Table1[[#This Row],[category &amp; sub-category]])-SEARCH("/",Table1[[#This Row],[category &amp; sub-category]],1))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(Table1[[#This Row],[pledged]]/Table1[[#This Row],[goal]])*100</f>
        <v>89.738979118329468</v>
      </c>
      <c r="G837" t="s">
        <v>14</v>
      </c>
      <c r="H837">
        <v>1758</v>
      </c>
      <c r="I837" s="4">
        <f>IFERROR(Table1[[#This Row],[pledged]]/Table1[[#This Row],[backers_count]],0)</f>
        <v>44.001706484641637</v>
      </c>
      <c r="J837" t="s">
        <v>21</v>
      </c>
      <c r="K837" t="s">
        <v>22</v>
      </c>
      <c r="L837">
        <v>1425103200</v>
      </c>
      <c r="M837" s="9">
        <f>(((Table1[[#This Row],[launched_at]]/60)/60)/24)+DATE(1970,1,1)</f>
        <v>42063.25</v>
      </c>
      <c r="N837">
        <v>1425621600</v>
      </c>
      <c r="O837" s="9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LEFT(Table1[[#This Row],[category &amp; sub-category]],SEARCH("/",Table1[[#This Row],[category &amp; sub-category]],1)-1)</f>
        <v>technology</v>
      </c>
      <c r="T837" t="str">
        <f>RIGHT(Table1[[#This Row],[category &amp; sub-category]],LEN(Table1[[#This Row],[category &amp; sub-category]])-SEARCH("/",Table1[[#This Row],[category &amp; sub-category]],1))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(Table1[[#This Row],[pledged]]/Table1[[#This Row],[goal]])*100</f>
        <v>75.135802469135797</v>
      </c>
      <c r="G838" t="s">
        <v>14</v>
      </c>
      <c r="H838">
        <v>94</v>
      </c>
      <c r="I838" s="4">
        <f>IFERROR(Table1[[#This Row],[pledged]]/Table1[[#This Row],[backers_count]],0)</f>
        <v>64.744680851063833</v>
      </c>
      <c r="J838" t="s">
        <v>21</v>
      </c>
      <c r="K838" t="s">
        <v>22</v>
      </c>
      <c r="L838">
        <v>1265349600</v>
      </c>
      <c r="M838" s="9">
        <f>(((Table1[[#This Row],[launched_at]]/60)/60)/24)+DATE(1970,1,1)</f>
        <v>40214.25</v>
      </c>
      <c r="N838">
        <v>1266300000</v>
      </c>
      <c r="O838" s="9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LEFT(Table1[[#This Row],[category &amp; sub-category]],SEARCH("/",Table1[[#This Row],[category &amp; sub-category]],1)-1)</f>
        <v>music</v>
      </c>
      <c r="T838" t="str">
        <f>RIGHT(Table1[[#This Row],[category &amp; sub-category]],LEN(Table1[[#This Row],[category &amp; sub-category]])-SEARCH("/",Table1[[#This Row],[category &amp; sub-category]],1))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(Table1[[#This Row],[pledged]]/Table1[[#This Row],[goal]])*100</f>
        <v>852.88135593220341</v>
      </c>
      <c r="G839" t="s">
        <v>20</v>
      </c>
      <c r="H839">
        <v>1797</v>
      </c>
      <c r="I839" s="4">
        <f>IFERROR(Table1[[#This Row],[pledged]]/Table1[[#This Row],[backers_count]],0)</f>
        <v>84.00667779632721</v>
      </c>
      <c r="J839" t="s">
        <v>21</v>
      </c>
      <c r="K839" t="s">
        <v>22</v>
      </c>
      <c r="L839">
        <v>1301202000</v>
      </c>
      <c r="M839" s="9">
        <f>(((Table1[[#This Row],[launched_at]]/60)/60)/24)+DATE(1970,1,1)</f>
        <v>40629.208333333336</v>
      </c>
      <c r="N839">
        <v>1305867600</v>
      </c>
      <c r="O839" s="9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LEFT(Table1[[#This Row],[category &amp; sub-category]],SEARCH("/",Table1[[#This Row],[category &amp; sub-category]],1)-1)</f>
        <v>music</v>
      </c>
      <c r="T839" t="str">
        <f>RIGHT(Table1[[#This Row],[category &amp; sub-category]],LEN(Table1[[#This Row],[category &amp; sub-category]])-SEARCH("/",Table1[[#This Row],[category &amp; sub-category]],1))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(Table1[[#This Row],[pledged]]/Table1[[#This Row],[goal]])*100</f>
        <v>138.90625</v>
      </c>
      <c r="G840" t="s">
        <v>20</v>
      </c>
      <c r="H840">
        <v>261</v>
      </c>
      <c r="I840" s="4">
        <f>IFERROR(Table1[[#This Row],[pledged]]/Table1[[#This Row],[backers_count]],0)</f>
        <v>34.061302681992338</v>
      </c>
      <c r="J840" t="s">
        <v>21</v>
      </c>
      <c r="K840" t="s">
        <v>22</v>
      </c>
      <c r="L840">
        <v>1538024400</v>
      </c>
      <c r="M840" s="9">
        <f>(((Table1[[#This Row],[launched_at]]/60)/60)/24)+DATE(1970,1,1)</f>
        <v>43370.208333333328</v>
      </c>
      <c r="N840">
        <v>1538802000</v>
      </c>
      <c r="O840" s="9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LEFT(Table1[[#This Row],[category &amp; sub-category]],SEARCH("/",Table1[[#This Row],[category &amp; sub-category]],1)-1)</f>
        <v>theater</v>
      </c>
      <c r="T840" t="str">
        <f>RIGHT(Table1[[#This Row],[category &amp; sub-category]],LEN(Table1[[#This Row],[category &amp; sub-category]])-SEARCH("/",Table1[[#This Row],[category &amp; sub-category]],1))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(Table1[[#This Row],[pledged]]/Table1[[#This Row],[goal]])*100</f>
        <v>190.18181818181819</v>
      </c>
      <c r="G841" t="s">
        <v>20</v>
      </c>
      <c r="H841">
        <v>157</v>
      </c>
      <c r="I841" s="4">
        <f>IFERROR(Table1[[#This Row],[pledged]]/Table1[[#This Row],[backers_count]],0)</f>
        <v>93.273885350318466</v>
      </c>
      <c r="J841" t="s">
        <v>21</v>
      </c>
      <c r="K841" t="s">
        <v>22</v>
      </c>
      <c r="L841">
        <v>1395032400</v>
      </c>
      <c r="M841" s="9">
        <f>(((Table1[[#This Row],[launched_at]]/60)/60)/24)+DATE(1970,1,1)</f>
        <v>41715.208333333336</v>
      </c>
      <c r="N841">
        <v>1398920400</v>
      </c>
      <c r="O841" s="9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LEFT(Table1[[#This Row],[category &amp; sub-category]],SEARCH("/",Table1[[#This Row],[category &amp; sub-category]],1)-1)</f>
        <v>film &amp; video</v>
      </c>
      <c r="T841" t="str">
        <f>RIGHT(Table1[[#This Row],[category &amp; sub-category]],LEN(Table1[[#This Row],[category &amp; sub-category]])-SEARCH("/",Table1[[#This Row],[category &amp; sub-category]],1))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(Table1[[#This Row],[pledged]]/Table1[[#This Row],[goal]])*100</f>
        <v>100.24333619948409</v>
      </c>
      <c r="G842" t="s">
        <v>20</v>
      </c>
      <c r="H842">
        <v>3533</v>
      </c>
      <c r="I842" s="4">
        <f>IFERROR(Table1[[#This Row],[pledged]]/Table1[[#This Row],[backers_count]],0)</f>
        <v>32.998301726577978</v>
      </c>
      <c r="J842" t="s">
        <v>21</v>
      </c>
      <c r="K842" t="s">
        <v>22</v>
      </c>
      <c r="L842">
        <v>1405486800</v>
      </c>
      <c r="M842" s="9">
        <f>(((Table1[[#This Row],[launched_at]]/60)/60)/24)+DATE(1970,1,1)</f>
        <v>41836.208333333336</v>
      </c>
      <c r="N842">
        <v>1405659600</v>
      </c>
      <c r="O842" s="9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LEFT(Table1[[#This Row],[category &amp; sub-category]],SEARCH("/",Table1[[#This Row],[category &amp; sub-category]],1)-1)</f>
        <v>theater</v>
      </c>
      <c r="T842" t="str">
        <f>RIGHT(Table1[[#This Row],[category &amp; sub-category]],LEN(Table1[[#This Row],[category &amp; sub-category]])-SEARCH("/",Table1[[#This Row],[category &amp; sub-category]],1))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(Table1[[#This Row],[pledged]]/Table1[[#This Row],[goal]])*100</f>
        <v>142.75824175824175</v>
      </c>
      <c r="G843" t="s">
        <v>20</v>
      </c>
      <c r="H843">
        <v>155</v>
      </c>
      <c r="I843" s="4">
        <f>IFERROR(Table1[[#This Row],[pledged]]/Table1[[#This Row],[backers_count]],0)</f>
        <v>83.812903225806451</v>
      </c>
      <c r="J843" t="s">
        <v>21</v>
      </c>
      <c r="K843" t="s">
        <v>22</v>
      </c>
      <c r="L843">
        <v>1455861600</v>
      </c>
      <c r="M843" s="9">
        <f>(((Table1[[#This Row],[launched_at]]/60)/60)/24)+DATE(1970,1,1)</f>
        <v>42419.25</v>
      </c>
      <c r="N843">
        <v>1457244000</v>
      </c>
      <c r="O843" s="9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LEFT(Table1[[#This Row],[category &amp; sub-category]],SEARCH("/",Table1[[#This Row],[category &amp; sub-category]],1)-1)</f>
        <v>technology</v>
      </c>
      <c r="T843" t="str">
        <f>RIGHT(Table1[[#This Row],[category &amp; sub-category]],LEN(Table1[[#This Row],[category &amp; sub-category]])-SEARCH("/",Table1[[#This Row],[category &amp; sub-category]],1))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(Table1[[#This Row],[pledged]]/Table1[[#This Row],[goal]])*100</f>
        <v>563.13333333333333</v>
      </c>
      <c r="G844" t="s">
        <v>20</v>
      </c>
      <c r="H844">
        <v>132</v>
      </c>
      <c r="I844" s="4">
        <f>IFERROR(Table1[[#This Row],[pledged]]/Table1[[#This Row],[backers_count]],0)</f>
        <v>63.992424242424242</v>
      </c>
      <c r="J844" t="s">
        <v>107</v>
      </c>
      <c r="K844" t="s">
        <v>108</v>
      </c>
      <c r="L844">
        <v>1529038800</v>
      </c>
      <c r="M844" s="9">
        <f>(((Table1[[#This Row],[launched_at]]/60)/60)/24)+DATE(1970,1,1)</f>
        <v>43266.208333333328</v>
      </c>
      <c r="N844">
        <v>1529298000</v>
      </c>
      <c r="O844" s="9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LEFT(Table1[[#This Row],[category &amp; sub-category]],SEARCH("/",Table1[[#This Row],[category &amp; sub-category]],1)-1)</f>
        <v>technology</v>
      </c>
      <c r="T844" t="str">
        <f>RIGHT(Table1[[#This Row],[category &amp; sub-category]],LEN(Table1[[#This Row],[category &amp; sub-category]])-SEARCH("/",Table1[[#This Row],[category &amp; sub-category]],1))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(Table1[[#This Row],[pledged]]/Table1[[#This Row],[goal]])*100</f>
        <v>30.715909090909086</v>
      </c>
      <c r="G845" t="s">
        <v>14</v>
      </c>
      <c r="H845">
        <v>33</v>
      </c>
      <c r="I845" s="4">
        <f>IFERROR(Table1[[#This Row],[pledged]]/Table1[[#This Row],[backers_count]],0)</f>
        <v>81.909090909090907</v>
      </c>
      <c r="J845" t="s">
        <v>21</v>
      </c>
      <c r="K845" t="s">
        <v>22</v>
      </c>
      <c r="L845">
        <v>1535259600</v>
      </c>
      <c r="M845" s="9">
        <f>(((Table1[[#This Row],[launched_at]]/60)/60)/24)+DATE(1970,1,1)</f>
        <v>43338.208333333328</v>
      </c>
      <c r="N845">
        <v>1535778000</v>
      </c>
      <c r="O845" s="9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LEFT(Table1[[#This Row],[category &amp; sub-category]],SEARCH("/",Table1[[#This Row],[category &amp; sub-category]],1)-1)</f>
        <v>photography</v>
      </c>
      <c r="T845" t="str">
        <f>RIGHT(Table1[[#This Row],[category &amp; sub-category]],LEN(Table1[[#This Row],[category &amp; sub-category]])-SEARCH("/",Table1[[#This Row],[category &amp; sub-category]],1))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(Table1[[#This Row],[pledged]]/Table1[[#This Row],[goal]])*100</f>
        <v>99.39772727272728</v>
      </c>
      <c r="G846" t="s">
        <v>74</v>
      </c>
      <c r="H846">
        <v>94</v>
      </c>
      <c r="I846" s="4">
        <f>IFERROR(Table1[[#This Row],[pledged]]/Table1[[#This Row],[backers_count]],0)</f>
        <v>93.053191489361708</v>
      </c>
      <c r="J846" t="s">
        <v>21</v>
      </c>
      <c r="K846" t="s">
        <v>22</v>
      </c>
      <c r="L846">
        <v>1327212000</v>
      </c>
      <c r="M846" s="9">
        <f>(((Table1[[#This Row],[launched_at]]/60)/60)/24)+DATE(1970,1,1)</f>
        <v>40930.25</v>
      </c>
      <c r="N846">
        <v>1327471200</v>
      </c>
      <c r="O846" s="9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LEFT(Table1[[#This Row],[category &amp; sub-category]],SEARCH("/",Table1[[#This Row],[category &amp; sub-category]],1)-1)</f>
        <v>film &amp; video</v>
      </c>
      <c r="T846" t="str">
        <f>RIGHT(Table1[[#This Row],[category &amp; sub-category]],LEN(Table1[[#This Row],[category &amp; sub-category]])-SEARCH("/",Table1[[#This Row],[category &amp; sub-category]],1))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(Table1[[#This Row],[pledged]]/Table1[[#This Row],[goal]])*100</f>
        <v>197.54935622317598</v>
      </c>
      <c r="G847" t="s">
        <v>20</v>
      </c>
      <c r="H847">
        <v>1354</v>
      </c>
      <c r="I847" s="4">
        <f>IFERROR(Table1[[#This Row],[pledged]]/Table1[[#This Row],[backers_count]],0)</f>
        <v>101.98449039881831</v>
      </c>
      <c r="J847" t="s">
        <v>40</v>
      </c>
      <c r="K847" t="s">
        <v>41</v>
      </c>
      <c r="L847">
        <v>1526360400</v>
      </c>
      <c r="M847" s="9">
        <f>(((Table1[[#This Row],[launched_at]]/60)/60)/24)+DATE(1970,1,1)</f>
        <v>43235.208333333328</v>
      </c>
      <c r="N847">
        <v>1529557200</v>
      </c>
      <c r="O847" s="9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LEFT(Table1[[#This Row],[category &amp; sub-category]],SEARCH("/",Table1[[#This Row],[category &amp; sub-category]],1)-1)</f>
        <v>technology</v>
      </c>
      <c r="T847" t="str">
        <f>RIGHT(Table1[[#This Row],[category &amp; sub-category]],LEN(Table1[[#This Row],[category &amp; sub-category]])-SEARCH("/",Table1[[#This Row],[category &amp; sub-category]],1))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(Table1[[#This Row],[pledged]]/Table1[[#This Row],[goal]])*100</f>
        <v>508.5</v>
      </c>
      <c r="G848" t="s">
        <v>20</v>
      </c>
      <c r="H848">
        <v>48</v>
      </c>
      <c r="I848" s="4">
        <f>IFERROR(Table1[[#This Row],[pledged]]/Table1[[#This Row],[backers_count]],0)</f>
        <v>105.9375</v>
      </c>
      <c r="J848" t="s">
        <v>21</v>
      </c>
      <c r="K848" t="s">
        <v>22</v>
      </c>
      <c r="L848">
        <v>1532149200</v>
      </c>
      <c r="M848" s="9">
        <f>(((Table1[[#This Row],[launched_at]]/60)/60)/24)+DATE(1970,1,1)</f>
        <v>43302.208333333328</v>
      </c>
      <c r="N848">
        <v>1535259600</v>
      </c>
      <c r="O848" s="9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LEFT(Table1[[#This Row],[category &amp; sub-category]],SEARCH("/",Table1[[#This Row],[category &amp; sub-category]],1)-1)</f>
        <v>technology</v>
      </c>
      <c r="T848" t="str">
        <f>RIGHT(Table1[[#This Row],[category &amp; sub-category]],LEN(Table1[[#This Row],[category &amp; sub-category]])-SEARCH("/",Table1[[#This Row],[category &amp; sub-category]],1))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(Table1[[#This Row],[pledged]]/Table1[[#This Row],[goal]])*100</f>
        <v>237.74468085106383</v>
      </c>
      <c r="G849" t="s">
        <v>20</v>
      </c>
      <c r="H849">
        <v>110</v>
      </c>
      <c r="I849" s="4">
        <f>IFERROR(Table1[[#This Row],[pledged]]/Table1[[#This Row],[backers_count]],0)</f>
        <v>101.58181818181818</v>
      </c>
      <c r="J849" t="s">
        <v>21</v>
      </c>
      <c r="K849" t="s">
        <v>22</v>
      </c>
      <c r="L849">
        <v>1515304800</v>
      </c>
      <c r="M849" s="9">
        <f>(((Table1[[#This Row],[launched_at]]/60)/60)/24)+DATE(1970,1,1)</f>
        <v>43107.25</v>
      </c>
      <c r="N849">
        <v>1515564000</v>
      </c>
      <c r="O849" s="9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LEFT(Table1[[#This Row],[category &amp; sub-category]],SEARCH("/",Table1[[#This Row],[category &amp; sub-category]],1)-1)</f>
        <v>food</v>
      </c>
      <c r="T849" t="str">
        <f>RIGHT(Table1[[#This Row],[category &amp; sub-category]],LEN(Table1[[#This Row],[category &amp; sub-category]])-SEARCH("/",Table1[[#This Row],[category &amp; sub-category]],1))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(Table1[[#This Row],[pledged]]/Table1[[#This Row],[goal]])*100</f>
        <v>338.46875</v>
      </c>
      <c r="G850" t="s">
        <v>20</v>
      </c>
      <c r="H850">
        <v>172</v>
      </c>
      <c r="I850" s="4">
        <f>IFERROR(Table1[[#This Row],[pledged]]/Table1[[#This Row],[backers_count]],0)</f>
        <v>62.970930232558139</v>
      </c>
      <c r="J850" t="s">
        <v>21</v>
      </c>
      <c r="K850" t="s">
        <v>22</v>
      </c>
      <c r="L850">
        <v>1276318800</v>
      </c>
      <c r="M850" s="9">
        <f>(((Table1[[#This Row],[launched_at]]/60)/60)/24)+DATE(1970,1,1)</f>
        <v>40341.208333333336</v>
      </c>
      <c r="N850">
        <v>1277096400</v>
      </c>
      <c r="O850" s="9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LEFT(Table1[[#This Row],[category &amp; sub-category]],SEARCH("/",Table1[[#This Row],[category &amp; sub-category]],1)-1)</f>
        <v>film &amp; video</v>
      </c>
      <c r="T850" t="str">
        <f>RIGHT(Table1[[#This Row],[category &amp; sub-category]],LEN(Table1[[#This Row],[category &amp; sub-category]])-SEARCH("/",Table1[[#This Row],[category &amp; sub-category]],1))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(Table1[[#This Row],[pledged]]/Table1[[#This Row],[goal]])*100</f>
        <v>133.08955223880596</v>
      </c>
      <c r="G851" t="s">
        <v>20</v>
      </c>
      <c r="H851">
        <v>307</v>
      </c>
      <c r="I851" s="4">
        <f>IFERROR(Table1[[#This Row],[pledged]]/Table1[[#This Row],[backers_count]],0)</f>
        <v>29.045602605863191</v>
      </c>
      <c r="J851" t="s">
        <v>21</v>
      </c>
      <c r="K851" t="s">
        <v>22</v>
      </c>
      <c r="L851">
        <v>1328767200</v>
      </c>
      <c r="M851" s="9">
        <f>(((Table1[[#This Row],[launched_at]]/60)/60)/24)+DATE(1970,1,1)</f>
        <v>40948.25</v>
      </c>
      <c r="N851">
        <v>1329026400</v>
      </c>
      <c r="O851" s="9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LEFT(Table1[[#This Row],[category &amp; sub-category]],SEARCH("/",Table1[[#This Row],[category &amp; sub-category]],1)-1)</f>
        <v>music</v>
      </c>
      <c r="T851" t="str">
        <f>RIGHT(Table1[[#This Row],[category &amp; sub-category]],LEN(Table1[[#This Row],[category &amp; sub-category]])-SEARCH("/",Table1[[#This Row],[category &amp; sub-category]],1))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(Table1[[#This Row],[pledged]]/Table1[[#This Row],[goal]])*100</f>
        <v>1</v>
      </c>
      <c r="G852" t="s">
        <v>14</v>
      </c>
      <c r="H852">
        <v>1</v>
      </c>
      <c r="I852" s="4">
        <f>IFERROR(Table1[[#This Row],[pledged]]/Table1[[#This Row],[backers_count]],0)</f>
        <v>1</v>
      </c>
      <c r="J852" t="s">
        <v>21</v>
      </c>
      <c r="K852" t="s">
        <v>22</v>
      </c>
      <c r="L852">
        <v>1321682400</v>
      </c>
      <c r="M852" s="9">
        <f>(((Table1[[#This Row],[launched_at]]/60)/60)/24)+DATE(1970,1,1)</f>
        <v>40866.25</v>
      </c>
      <c r="N852">
        <v>1322978400</v>
      </c>
      <c r="O852" s="9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LEFT(Table1[[#This Row],[category &amp; sub-category]],SEARCH("/",Table1[[#This Row],[category &amp; sub-category]],1)-1)</f>
        <v>music</v>
      </c>
      <c r="T852" t="str">
        <f>RIGHT(Table1[[#This Row],[category &amp; sub-category]],LEN(Table1[[#This Row],[category &amp; sub-category]])-SEARCH("/",Table1[[#This Row],[category &amp; sub-category]],1))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(Table1[[#This Row],[pledged]]/Table1[[#This Row],[goal]])*100</f>
        <v>207.79999999999998</v>
      </c>
      <c r="G853" t="s">
        <v>20</v>
      </c>
      <c r="H853">
        <v>160</v>
      </c>
      <c r="I853" s="4">
        <f>IFERROR(Table1[[#This Row],[pledged]]/Table1[[#This Row],[backers_count]],0)</f>
        <v>77.924999999999997</v>
      </c>
      <c r="J853" t="s">
        <v>21</v>
      </c>
      <c r="K853" t="s">
        <v>22</v>
      </c>
      <c r="L853">
        <v>1335934800</v>
      </c>
      <c r="M853" s="9">
        <f>(((Table1[[#This Row],[launched_at]]/60)/60)/24)+DATE(1970,1,1)</f>
        <v>41031.208333333336</v>
      </c>
      <c r="N853">
        <v>1338786000</v>
      </c>
      <c r="O853" s="9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LEFT(Table1[[#This Row],[category &amp; sub-category]],SEARCH("/",Table1[[#This Row],[category &amp; sub-category]],1)-1)</f>
        <v>music</v>
      </c>
      <c r="T853" t="str">
        <f>RIGHT(Table1[[#This Row],[category &amp; sub-category]],LEN(Table1[[#This Row],[category &amp; sub-category]])-SEARCH("/",Table1[[#This Row],[category &amp; sub-category]],1))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(Table1[[#This Row],[pledged]]/Table1[[#This Row],[goal]])*100</f>
        <v>51.122448979591837</v>
      </c>
      <c r="G854" t="s">
        <v>14</v>
      </c>
      <c r="H854">
        <v>31</v>
      </c>
      <c r="I854" s="4">
        <f>IFERROR(Table1[[#This Row],[pledged]]/Table1[[#This Row],[backers_count]],0)</f>
        <v>80.806451612903231</v>
      </c>
      <c r="J854" t="s">
        <v>21</v>
      </c>
      <c r="K854" t="s">
        <v>22</v>
      </c>
      <c r="L854">
        <v>1310792400</v>
      </c>
      <c r="M854" s="9">
        <f>(((Table1[[#This Row],[launched_at]]/60)/60)/24)+DATE(1970,1,1)</f>
        <v>40740.208333333336</v>
      </c>
      <c r="N854">
        <v>1311656400</v>
      </c>
      <c r="O854" s="9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LEFT(Table1[[#This Row],[category &amp; sub-category]],SEARCH("/",Table1[[#This Row],[category &amp; sub-category]],1)-1)</f>
        <v>games</v>
      </c>
      <c r="T854" t="str">
        <f>RIGHT(Table1[[#This Row],[category &amp; sub-category]],LEN(Table1[[#This Row],[category &amp; sub-category]])-SEARCH("/",Table1[[#This Row],[category &amp; sub-category]],1))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(Table1[[#This Row],[pledged]]/Table1[[#This Row],[goal]])*100</f>
        <v>652.05847953216369</v>
      </c>
      <c r="G855" t="s">
        <v>20</v>
      </c>
      <c r="H855">
        <v>1467</v>
      </c>
      <c r="I855" s="4">
        <f>IFERROR(Table1[[#This Row],[pledged]]/Table1[[#This Row],[backers_count]],0)</f>
        <v>76.006816632583508</v>
      </c>
      <c r="J855" t="s">
        <v>15</v>
      </c>
      <c r="K855" t="s">
        <v>16</v>
      </c>
      <c r="L855">
        <v>1308546000</v>
      </c>
      <c r="M855" s="9">
        <f>(((Table1[[#This Row],[launched_at]]/60)/60)/24)+DATE(1970,1,1)</f>
        <v>40714.208333333336</v>
      </c>
      <c r="N855">
        <v>1308978000</v>
      </c>
      <c r="O855" s="9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LEFT(Table1[[#This Row],[category &amp; sub-category]],SEARCH("/",Table1[[#This Row],[category &amp; sub-category]],1)-1)</f>
        <v>music</v>
      </c>
      <c r="T855" t="str">
        <f>RIGHT(Table1[[#This Row],[category &amp; sub-category]],LEN(Table1[[#This Row],[category &amp; sub-category]])-SEARCH("/",Table1[[#This Row],[category &amp; sub-category]],1))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(Table1[[#This Row],[pledged]]/Table1[[#This Row],[goal]])*100</f>
        <v>113.63099415204678</v>
      </c>
      <c r="G856" t="s">
        <v>20</v>
      </c>
      <c r="H856">
        <v>2662</v>
      </c>
      <c r="I856" s="4">
        <f>IFERROR(Table1[[#This Row],[pledged]]/Table1[[#This Row],[backers_count]],0)</f>
        <v>72.993613824192337</v>
      </c>
      <c r="J856" t="s">
        <v>15</v>
      </c>
      <c r="K856" t="s">
        <v>16</v>
      </c>
      <c r="L856">
        <v>1574056800</v>
      </c>
      <c r="M856" s="9">
        <f>(((Table1[[#This Row],[launched_at]]/60)/60)/24)+DATE(1970,1,1)</f>
        <v>43787.25</v>
      </c>
      <c r="N856">
        <v>1576389600</v>
      </c>
      <c r="O856" s="9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LEFT(Table1[[#This Row],[category &amp; sub-category]],SEARCH("/",Table1[[#This Row],[category &amp; sub-category]],1)-1)</f>
        <v>publishing</v>
      </c>
      <c r="T856" t="str">
        <f>RIGHT(Table1[[#This Row],[category &amp; sub-category]],LEN(Table1[[#This Row],[category &amp; sub-category]])-SEARCH("/",Table1[[#This Row],[category &amp; sub-category]],1))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(Table1[[#This Row],[pledged]]/Table1[[#This Row],[goal]])*100</f>
        <v>102.37606837606839</v>
      </c>
      <c r="G857" t="s">
        <v>20</v>
      </c>
      <c r="H857">
        <v>452</v>
      </c>
      <c r="I857" s="4">
        <f>IFERROR(Table1[[#This Row],[pledged]]/Table1[[#This Row],[backers_count]],0)</f>
        <v>53</v>
      </c>
      <c r="J857" t="s">
        <v>26</v>
      </c>
      <c r="K857" t="s">
        <v>27</v>
      </c>
      <c r="L857">
        <v>1308373200</v>
      </c>
      <c r="M857" s="9">
        <f>(((Table1[[#This Row],[launched_at]]/60)/60)/24)+DATE(1970,1,1)</f>
        <v>40712.208333333336</v>
      </c>
      <c r="N857">
        <v>1311051600</v>
      </c>
      <c r="O857" s="9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LEFT(Table1[[#This Row],[category &amp; sub-category]],SEARCH("/",Table1[[#This Row],[category &amp; sub-category]],1)-1)</f>
        <v>theater</v>
      </c>
      <c r="T857" t="str">
        <f>RIGHT(Table1[[#This Row],[category &amp; sub-category]],LEN(Table1[[#This Row],[category &amp; sub-category]])-SEARCH("/",Table1[[#This Row],[category &amp; sub-category]],1))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(Table1[[#This Row],[pledged]]/Table1[[#This Row],[goal]])*100</f>
        <v>356.58333333333331</v>
      </c>
      <c r="G858" t="s">
        <v>20</v>
      </c>
      <c r="H858">
        <v>158</v>
      </c>
      <c r="I858" s="4">
        <f>IFERROR(Table1[[#This Row],[pledged]]/Table1[[#This Row],[backers_count]],0)</f>
        <v>54.164556962025316</v>
      </c>
      <c r="J858" t="s">
        <v>21</v>
      </c>
      <c r="K858" t="s">
        <v>22</v>
      </c>
      <c r="L858">
        <v>1335243600</v>
      </c>
      <c r="M858" s="9">
        <f>(((Table1[[#This Row],[launched_at]]/60)/60)/24)+DATE(1970,1,1)</f>
        <v>41023.208333333336</v>
      </c>
      <c r="N858">
        <v>1336712400</v>
      </c>
      <c r="O858" s="9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LEFT(Table1[[#This Row],[category &amp; sub-category]],SEARCH("/",Table1[[#This Row],[category &amp; sub-category]],1)-1)</f>
        <v>food</v>
      </c>
      <c r="T858" t="str">
        <f>RIGHT(Table1[[#This Row],[category &amp; sub-category]],LEN(Table1[[#This Row],[category &amp; sub-category]])-SEARCH("/",Table1[[#This Row],[category &amp; sub-category]],1))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(Table1[[#This Row],[pledged]]/Table1[[#This Row],[goal]])*100</f>
        <v>139.86792452830187</v>
      </c>
      <c r="G859" t="s">
        <v>20</v>
      </c>
      <c r="H859">
        <v>225</v>
      </c>
      <c r="I859" s="4">
        <f>IFERROR(Table1[[#This Row],[pledged]]/Table1[[#This Row],[backers_count]],0)</f>
        <v>32.946666666666665</v>
      </c>
      <c r="J859" t="s">
        <v>98</v>
      </c>
      <c r="K859" t="s">
        <v>99</v>
      </c>
      <c r="L859">
        <v>1328421600</v>
      </c>
      <c r="M859" s="9">
        <f>(((Table1[[#This Row],[launched_at]]/60)/60)/24)+DATE(1970,1,1)</f>
        <v>40944.25</v>
      </c>
      <c r="N859">
        <v>1330408800</v>
      </c>
      <c r="O859" s="9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LEFT(Table1[[#This Row],[category &amp; sub-category]],SEARCH("/",Table1[[#This Row],[category &amp; sub-category]],1)-1)</f>
        <v>film &amp; video</v>
      </c>
      <c r="T859" t="str">
        <f>RIGHT(Table1[[#This Row],[category &amp; sub-category]],LEN(Table1[[#This Row],[category &amp; sub-category]])-SEARCH("/",Table1[[#This Row],[category &amp; sub-category]],1))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(Table1[[#This Row],[pledged]]/Table1[[#This Row],[goal]])*100</f>
        <v>69.45</v>
      </c>
      <c r="G860" t="s">
        <v>14</v>
      </c>
      <c r="H860">
        <v>35</v>
      </c>
      <c r="I860" s="4">
        <f>IFERROR(Table1[[#This Row],[pledged]]/Table1[[#This Row],[backers_count]],0)</f>
        <v>79.371428571428567</v>
      </c>
      <c r="J860" t="s">
        <v>21</v>
      </c>
      <c r="K860" t="s">
        <v>22</v>
      </c>
      <c r="L860">
        <v>1524286800</v>
      </c>
      <c r="M860" s="9">
        <f>(((Table1[[#This Row],[launched_at]]/60)/60)/24)+DATE(1970,1,1)</f>
        <v>43211.208333333328</v>
      </c>
      <c r="N860">
        <v>1524891600</v>
      </c>
      <c r="O860" s="9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LEFT(Table1[[#This Row],[category &amp; sub-category]],SEARCH("/",Table1[[#This Row],[category &amp; sub-category]],1)-1)</f>
        <v>food</v>
      </c>
      <c r="T860" t="str">
        <f>RIGHT(Table1[[#This Row],[category &amp; sub-category]],LEN(Table1[[#This Row],[category &amp; sub-category]])-SEARCH("/",Table1[[#This Row],[category &amp; sub-category]],1))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(Table1[[#This Row],[pledged]]/Table1[[#This Row],[goal]])*100</f>
        <v>35.534246575342465</v>
      </c>
      <c r="G861" t="s">
        <v>14</v>
      </c>
      <c r="H861">
        <v>63</v>
      </c>
      <c r="I861" s="4">
        <f>IFERROR(Table1[[#This Row],[pledged]]/Table1[[#This Row],[backers_count]],0)</f>
        <v>41.174603174603178</v>
      </c>
      <c r="J861" t="s">
        <v>21</v>
      </c>
      <c r="K861" t="s">
        <v>22</v>
      </c>
      <c r="L861">
        <v>1362117600</v>
      </c>
      <c r="M861" s="9">
        <f>(((Table1[[#This Row],[launched_at]]/60)/60)/24)+DATE(1970,1,1)</f>
        <v>41334.25</v>
      </c>
      <c r="N861">
        <v>1363669200</v>
      </c>
      <c r="O861" s="9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LEFT(Table1[[#This Row],[category &amp; sub-category]],SEARCH("/",Table1[[#This Row],[category &amp; sub-category]],1)-1)</f>
        <v>theater</v>
      </c>
      <c r="T861" t="str">
        <f>RIGHT(Table1[[#This Row],[category &amp; sub-category]],LEN(Table1[[#This Row],[category &amp; sub-category]])-SEARCH("/",Table1[[#This Row],[category &amp; sub-category]],1))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(Table1[[#This Row],[pledged]]/Table1[[#This Row],[goal]])*100</f>
        <v>251.65</v>
      </c>
      <c r="G862" t="s">
        <v>20</v>
      </c>
      <c r="H862">
        <v>65</v>
      </c>
      <c r="I862" s="4">
        <f>IFERROR(Table1[[#This Row],[pledged]]/Table1[[#This Row],[backers_count]],0)</f>
        <v>77.430769230769229</v>
      </c>
      <c r="J862" t="s">
        <v>21</v>
      </c>
      <c r="K862" t="s">
        <v>22</v>
      </c>
      <c r="L862">
        <v>1550556000</v>
      </c>
      <c r="M862" s="9">
        <f>(((Table1[[#This Row],[launched_at]]/60)/60)/24)+DATE(1970,1,1)</f>
        <v>43515.25</v>
      </c>
      <c r="N862">
        <v>1551420000</v>
      </c>
      <c r="O862" s="9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LEFT(Table1[[#This Row],[category &amp; sub-category]],SEARCH("/",Table1[[#This Row],[category &amp; sub-category]],1)-1)</f>
        <v>technology</v>
      </c>
      <c r="T862" t="str">
        <f>RIGHT(Table1[[#This Row],[category &amp; sub-category]],LEN(Table1[[#This Row],[category &amp; sub-category]])-SEARCH("/",Table1[[#This Row],[category &amp; sub-category]],1))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(Table1[[#This Row],[pledged]]/Table1[[#This Row],[goal]])*100</f>
        <v>105.87500000000001</v>
      </c>
      <c r="G863" t="s">
        <v>20</v>
      </c>
      <c r="H863">
        <v>163</v>
      </c>
      <c r="I863" s="4">
        <f>IFERROR(Table1[[#This Row],[pledged]]/Table1[[#This Row],[backers_count]],0)</f>
        <v>57.159509202453989</v>
      </c>
      <c r="J863" t="s">
        <v>21</v>
      </c>
      <c r="K863" t="s">
        <v>22</v>
      </c>
      <c r="L863">
        <v>1269147600</v>
      </c>
      <c r="M863" s="9">
        <f>(((Table1[[#This Row],[launched_at]]/60)/60)/24)+DATE(1970,1,1)</f>
        <v>40258.208333333336</v>
      </c>
      <c r="N863">
        <v>1269838800</v>
      </c>
      <c r="O863" s="9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LEFT(Table1[[#This Row],[category &amp; sub-category]],SEARCH("/",Table1[[#This Row],[category &amp; sub-category]],1)-1)</f>
        <v>theater</v>
      </c>
      <c r="T863" t="str">
        <f>RIGHT(Table1[[#This Row],[category &amp; sub-category]],LEN(Table1[[#This Row],[category &amp; sub-category]])-SEARCH("/",Table1[[#This Row],[category &amp; sub-category]],1))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(Table1[[#This Row],[pledged]]/Table1[[#This Row],[goal]])*100</f>
        <v>187.42857142857144</v>
      </c>
      <c r="G864" t="s">
        <v>20</v>
      </c>
      <c r="H864">
        <v>85</v>
      </c>
      <c r="I864" s="4">
        <f>IFERROR(Table1[[#This Row],[pledged]]/Table1[[#This Row],[backers_count]],0)</f>
        <v>77.17647058823529</v>
      </c>
      <c r="J864" t="s">
        <v>21</v>
      </c>
      <c r="K864" t="s">
        <v>22</v>
      </c>
      <c r="L864">
        <v>1312174800</v>
      </c>
      <c r="M864" s="9">
        <f>(((Table1[[#This Row],[launched_at]]/60)/60)/24)+DATE(1970,1,1)</f>
        <v>40756.208333333336</v>
      </c>
      <c r="N864">
        <v>1312520400</v>
      </c>
      <c r="O864" s="9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LEFT(Table1[[#This Row],[category &amp; sub-category]],SEARCH("/",Table1[[#This Row],[category &amp; sub-category]],1)-1)</f>
        <v>theater</v>
      </c>
      <c r="T864" t="str">
        <f>RIGHT(Table1[[#This Row],[category &amp; sub-category]],LEN(Table1[[#This Row],[category &amp; sub-category]])-SEARCH("/",Table1[[#This Row],[category &amp; sub-category]],1))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(Table1[[#This Row],[pledged]]/Table1[[#This Row],[goal]])*100</f>
        <v>386.78571428571428</v>
      </c>
      <c r="G865" t="s">
        <v>20</v>
      </c>
      <c r="H865">
        <v>217</v>
      </c>
      <c r="I865" s="4">
        <f>IFERROR(Table1[[#This Row],[pledged]]/Table1[[#This Row],[backers_count]],0)</f>
        <v>24.953917050691246</v>
      </c>
      <c r="J865" t="s">
        <v>21</v>
      </c>
      <c r="K865" t="s">
        <v>22</v>
      </c>
      <c r="L865">
        <v>1434517200</v>
      </c>
      <c r="M865" s="9">
        <f>(((Table1[[#This Row],[launched_at]]/60)/60)/24)+DATE(1970,1,1)</f>
        <v>42172.208333333328</v>
      </c>
      <c r="N865">
        <v>1436504400</v>
      </c>
      <c r="O865" s="9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LEFT(Table1[[#This Row],[category &amp; sub-category]],SEARCH("/",Table1[[#This Row],[category &amp; sub-category]],1)-1)</f>
        <v>film &amp; video</v>
      </c>
      <c r="T865" t="str">
        <f>RIGHT(Table1[[#This Row],[category &amp; sub-category]],LEN(Table1[[#This Row],[category &amp; sub-category]])-SEARCH("/",Table1[[#This Row],[category &amp; sub-category]],1))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(Table1[[#This Row],[pledged]]/Table1[[#This Row],[goal]])*100</f>
        <v>347.07142857142856</v>
      </c>
      <c r="G866" t="s">
        <v>20</v>
      </c>
      <c r="H866">
        <v>150</v>
      </c>
      <c r="I866" s="4">
        <f>IFERROR(Table1[[#This Row],[pledged]]/Table1[[#This Row],[backers_count]],0)</f>
        <v>97.18</v>
      </c>
      <c r="J866" t="s">
        <v>21</v>
      </c>
      <c r="K866" t="s">
        <v>22</v>
      </c>
      <c r="L866">
        <v>1471582800</v>
      </c>
      <c r="M866" s="9">
        <f>(((Table1[[#This Row],[launched_at]]/60)/60)/24)+DATE(1970,1,1)</f>
        <v>42601.208333333328</v>
      </c>
      <c r="N866">
        <v>1472014800</v>
      </c>
      <c r="O866" s="9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LEFT(Table1[[#This Row],[category &amp; sub-category]],SEARCH("/",Table1[[#This Row],[category &amp; sub-category]],1)-1)</f>
        <v>film &amp; video</v>
      </c>
      <c r="T866" t="str">
        <f>RIGHT(Table1[[#This Row],[category &amp; sub-category]],LEN(Table1[[#This Row],[category &amp; sub-category]])-SEARCH("/",Table1[[#This Row],[category &amp; sub-category]],1))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(Table1[[#This Row],[pledged]]/Table1[[#This Row],[goal]])*100</f>
        <v>185.82098765432099</v>
      </c>
      <c r="G867" t="s">
        <v>20</v>
      </c>
      <c r="H867">
        <v>3272</v>
      </c>
      <c r="I867" s="4">
        <f>IFERROR(Table1[[#This Row],[pledged]]/Table1[[#This Row],[backers_count]],0)</f>
        <v>46.000916870415651</v>
      </c>
      <c r="J867" t="s">
        <v>21</v>
      </c>
      <c r="K867" t="s">
        <v>22</v>
      </c>
      <c r="L867">
        <v>1410757200</v>
      </c>
      <c r="M867" s="9">
        <f>(((Table1[[#This Row],[launched_at]]/60)/60)/24)+DATE(1970,1,1)</f>
        <v>41897.208333333336</v>
      </c>
      <c r="N867">
        <v>1411534800</v>
      </c>
      <c r="O867" s="9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sub-category]],SEARCH("/",Table1[[#This Row],[category &amp; sub-category]],1)-1)</f>
        <v>theater</v>
      </c>
      <c r="T867" t="str">
        <f>RIGHT(Table1[[#This Row],[category &amp; sub-category]],LEN(Table1[[#This Row],[category &amp; sub-category]])-SEARCH("/",Table1[[#This Row],[category &amp; sub-category]],1))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(Table1[[#This Row],[pledged]]/Table1[[#This Row],[goal]])*100</f>
        <v>43.241247264770237</v>
      </c>
      <c r="G868" t="s">
        <v>74</v>
      </c>
      <c r="H868">
        <v>898</v>
      </c>
      <c r="I868" s="4">
        <f>IFERROR(Table1[[#This Row],[pledged]]/Table1[[#This Row],[backers_count]],0)</f>
        <v>88.023385300668153</v>
      </c>
      <c r="J868" t="s">
        <v>21</v>
      </c>
      <c r="K868" t="s">
        <v>22</v>
      </c>
      <c r="L868">
        <v>1304830800</v>
      </c>
      <c r="M868" s="9">
        <f>(((Table1[[#This Row],[launched_at]]/60)/60)/24)+DATE(1970,1,1)</f>
        <v>40671.208333333336</v>
      </c>
      <c r="N868">
        <v>1304917200</v>
      </c>
      <c r="O868" s="9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LEFT(Table1[[#This Row],[category &amp; sub-category]],SEARCH("/",Table1[[#This Row],[category &amp; sub-category]],1)-1)</f>
        <v>photography</v>
      </c>
      <c r="T868" t="str">
        <f>RIGHT(Table1[[#This Row],[category &amp; sub-category]],LEN(Table1[[#This Row],[category &amp; sub-category]])-SEARCH("/",Table1[[#This Row],[category &amp; sub-category]],1))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(Table1[[#This Row],[pledged]]/Table1[[#This Row],[goal]])*100</f>
        <v>162.4375</v>
      </c>
      <c r="G869" t="s">
        <v>20</v>
      </c>
      <c r="H869">
        <v>300</v>
      </c>
      <c r="I869" s="4">
        <f>IFERROR(Table1[[#This Row],[pledged]]/Table1[[#This Row],[backers_count]],0)</f>
        <v>25.99</v>
      </c>
      <c r="J869" t="s">
        <v>21</v>
      </c>
      <c r="K869" t="s">
        <v>22</v>
      </c>
      <c r="L869">
        <v>1539061200</v>
      </c>
      <c r="M869" s="9">
        <f>(((Table1[[#This Row],[launched_at]]/60)/60)/24)+DATE(1970,1,1)</f>
        <v>43382.208333333328</v>
      </c>
      <c r="N869">
        <v>1539579600</v>
      </c>
      <c r="O869" s="9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LEFT(Table1[[#This Row],[category &amp; sub-category]],SEARCH("/",Table1[[#This Row],[category &amp; sub-category]],1)-1)</f>
        <v>food</v>
      </c>
      <c r="T869" t="str">
        <f>RIGHT(Table1[[#This Row],[category &amp; sub-category]],LEN(Table1[[#This Row],[category &amp; sub-category]])-SEARCH("/",Table1[[#This Row],[category &amp; sub-category]],1))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(Table1[[#This Row],[pledged]]/Table1[[#This Row],[goal]])*100</f>
        <v>184.84285714285716</v>
      </c>
      <c r="G870" t="s">
        <v>20</v>
      </c>
      <c r="H870">
        <v>126</v>
      </c>
      <c r="I870" s="4">
        <f>IFERROR(Table1[[#This Row],[pledged]]/Table1[[#This Row],[backers_count]],0)</f>
        <v>102.69047619047619</v>
      </c>
      <c r="J870" t="s">
        <v>21</v>
      </c>
      <c r="K870" t="s">
        <v>22</v>
      </c>
      <c r="L870">
        <v>1381554000</v>
      </c>
      <c r="M870" s="9">
        <f>(((Table1[[#This Row],[launched_at]]/60)/60)/24)+DATE(1970,1,1)</f>
        <v>41559.208333333336</v>
      </c>
      <c r="N870">
        <v>1382504400</v>
      </c>
      <c r="O870" s="9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LEFT(Table1[[#This Row],[category &amp; sub-category]],SEARCH("/",Table1[[#This Row],[category &amp; sub-category]],1)-1)</f>
        <v>theater</v>
      </c>
      <c r="T870" t="str">
        <f>RIGHT(Table1[[#This Row],[category &amp; sub-category]],LEN(Table1[[#This Row],[category &amp; sub-category]])-SEARCH("/",Table1[[#This Row],[category &amp; sub-category]],1))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(Table1[[#This Row],[pledged]]/Table1[[#This Row],[goal]])*100</f>
        <v>23.703520691785052</v>
      </c>
      <c r="G871" t="s">
        <v>14</v>
      </c>
      <c r="H871">
        <v>526</v>
      </c>
      <c r="I871" s="4">
        <f>IFERROR(Table1[[#This Row],[pledged]]/Table1[[#This Row],[backers_count]],0)</f>
        <v>72.958174904942965</v>
      </c>
      <c r="J871" t="s">
        <v>21</v>
      </c>
      <c r="K871" t="s">
        <v>22</v>
      </c>
      <c r="L871">
        <v>1277096400</v>
      </c>
      <c r="M871" s="9">
        <f>(((Table1[[#This Row],[launched_at]]/60)/60)/24)+DATE(1970,1,1)</f>
        <v>40350.208333333336</v>
      </c>
      <c r="N871">
        <v>1278306000</v>
      </c>
      <c r="O871" s="9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LEFT(Table1[[#This Row],[category &amp; sub-category]],SEARCH("/",Table1[[#This Row],[category &amp; sub-category]],1)-1)</f>
        <v>film &amp; video</v>
      </c>
      <c r="T871" t="str">
        <f>RIGHT(Table1[[#This Row],[category &amp; sub-category]],LEN(Table1[[#This Row],[category &amp; sub-category]])-SEARCH("/",Table1[[#This Row],[category &amp; sub-category]],1))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(Table1[[#This Row],[pledged]]/Table1[[#This Row],[goal]])*100</f>
        <v>89.870129870129873</v>
      </c>
      <c r="G872" t="s">
        <v>14</v>
      </c>
      <c r="H872">
        <v>121</v>
      </c>
      <c r="I872" s="4">
        <f>IFERROR(Table1[[#This Row],[pledged]]/Table1[[#This Row],[backers_count]],0)</f>
        <v>57.190082644628099</v>
      </c>
      <c r="J872" t="s">
        <v>21</v>
      </c>
      <c r="K872" t="s">
        <v>22</v>
      </c>
      <c r="L872">
        <v>1440392400</v>
      </c>
      <c r="M872" s="9">
        <f>(((Table1[[#This Row],[launched_at]]/60)/60)/24)+DATE(1970,1,1)</f>
        <v>42240.208333333328</v>
      </c>
      <c r="N872">
        <v>1442552400</v>
      </c>
      <c r="O872" s="9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LEFT(Table1[[#This Row],[category &amp; sub-category]],SEARCH("/",Table1[[#This Row],[category &amp; sub-category]],1)-1)</f>
        <v>theater</v>
      </c>
      <c r="T872" t="str">
        <f>RIGHT(Table1[[#This Row],[category &amp; sub-category]],LEN(Table1[[#This Row],[category &amp; sub-category]])-SEARCH("/",Table1[[#This Row],[category &amp; sub-category]],1))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(Table1[[#This Row],[pledged]]/Table1[[#This Row],[goal]])*100</f>
        <v>272.6041958041958</v>
      </c>
      <c r="G873" t="s">
        <v>20</v>
      </c>
      <c r="H873">
        <v>2320</v>
      </c>
      <c r="I873" s="4">
        <f>IFERROR(Table1[[#This Row],[pledged]]/Table1[[#This Row],[backers_count]],0)</f>
        <v>84.013793103448279</v>
      </c>
      <c r="J873" t="s">
        <v>21</v>
      </c>
      <c r="K873" t="s">
        <v>22</v>
      </c>
      <c r="L873">
        <v>1509512400</v>
      </c>
      <c r="M873" s="9">
        <f>(((Table1[[#This Row],[launched_at]]/60)/60)/24)+DATE(1970,1,1)</f>
        <v>43040.208333333328</v>
      </c>
      <c r="N873">
        <v>1511071200</v>
      </c>
      <c r="O873" s="9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LEFT(Table1[[#This Row],[category &amp; sub-category]],SEARCH("/",Table1[[#This Row],[category &amp; sub-category]],1)-1)</f>
        <v>theater</v>
      </c>
      <c r="T873" t="str">
        <f>RIGHT(Table1[[#This Row],[category &amp; sub-category]],LEN(Table1[[#This Row],[category &amp; sub-category]])-SEARCH("/",Table1[[#This Row],[category &amp; sub-category]],1))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(Table1[[#This Row],[pledged]]/Table1[[#This Row],[goal]])*100</f>
        <v>170.04255319148936</v>
      </c>
      <c r="G874" t="s">
        <v>20</v>
      </c>
      <c r="H874">
        <v>81</v>
      </c>
      <c r="I874" s="4">
        <f>IFERROR(Table1[[#This Row],[pledged]]/Table1[[#This Row],[backers_count]],0)</f>
        <v>98.666666666666671</v>
      </c>
      <c r="J874" t="s">
        <v>26</v>
      </c>
      <c r="K874" t="s">
        <v>27</v>
      </c>
      <c r="L874">
        <v>1535950800</v>
      </c>
      <c r="M874" s="9">
        <f>(((Table1[[#This Row],[launched_at]]/60)/60)/24)+DATE(1970,1,1)</f>
        <v>43346.208333333328</v>
      </c>
      <c r="N874">
        <v>1536382800</v>
      </c>
      <c r="O874" s="9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LEFT(Table1[[#This Row],[category &amp; sub-category]],SEARCH("/",Table1[[#This Row],[category &amp; sub-category]],1)-1)</f>
        <v>film &amp; video</v>
      </c>
      <c r="T874" t="str">
        <f>RIGHT(Table1[[#This Row],[category &amp; sub-category]],LEN(Table1[[#This Row],[category &amp; sub-category]])-SEARCH("/",Table1[[#This Row],[category &amp; sub-category]],1))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(Table1[[#This Row],[pledged]]/Table1[[#This Row],[goal]])*100</f>
        <v>188.28503562945369</v>
      </c>
      <c r="G875" t="s">
        <v>20</v>
      </c>
      <c r="H875">
        <v>1887</v>
      </c>
      <c r="I875" s="4">
        <f>IFERROR(Table1[[#This Row],[pledged]]/Table1[[#This Row],[backers_count]],0)</f>
        <v>42.007419183889773</v>
      </c>
      <c r="J875" t="s">
        <v>21</v>
      </c>
      <c r="K875" t="s">
        <v>22</v>
      </c>
      <c r="L875">
        <v>1389160800</v>
      </c>
      <c r="M875" s="9">
        <f>(((Table1[[#This Row],[launched_at]]/60)/60)/24)+DATE(1970,1,1)</f>
        <v>41647.25</v>
      </c>
      <c r="N875">
        <v>1389592800</v>
      </c>
      <c r="O875" s="9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LEFT(Table1[[#This Row],[category &amp; sub-category]],SEARCH("/",Table1[[#This Row],[category &amp; sub-category]],1)-1)</f>
        <v>photography</v>
      </c>
      <c r="T875" t="str">
        <f>RIGHT(Table1[[#This Row],[category &amp; sub-category]],LEN(Table1[[#This Row],[category &amp; sub-category]])-SEARCH("/",Table1[[#This Row],[category &amp; sub-category]],1))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(Table1[[#This Row],[pledged]]/Table1[[#This Row],[goal]])*100</f>
        <v>346.93532338308455</v>
      </c>
      <c r="G876" t="s">
        <v>20</v>
      </c>
      <c r="H876">
        <v>4358</v>
      </c>
      <c r="I876" s="4">
        <f>IFERROR(Table1[[#This Row],[pledged]]/Table1[[#This Row],[backers_count]],0)</f>
        <v>32.002753556677376</v>
      </c>
      <c r="J876" t="s">
        <v>21</v>
      </c>
      <c r="K876" t="s">
        <v>22</v>
      </c>
      <c r="L876">
        <v>1271998800</v>
      </c>
      <c r="M876" s="9">
        <f>(((Table1[[#This Row],[launched_at]]/60)/60)/24)+DATE(1970,1,1)</f>
        <v>40291.208333333336</v>
      </c>
      <c r="N876">
        <v>1275282000</v>
      </c>
      <c r="O876" s="9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LEFT(Table1[[#This Row],[category &amp; sub-category]],SEARCH("/",Table1[[#This Row],[category &amp; sub-category]],1)-1)</f>
        <v>photography</v>
      </c>
      <c r="T876" t="str">
        <f>RIGHT(Table1[[#This Row],[category &amp; sub-category]],LEN(Table1[[#This Row],[category &amp; sub-category]])-SEARCH("/",Table1[[#This Row],[category &amp; sub-category]],1))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(Table1[[#This Row],[pledged]]/Table1[[#This Row],[goal]])*100</f>
        <v>69.177215189873422</v>
      </c>
      <c r="G877" t="s">
        <v>14</v>
      </c>
      <c r="H877">
        <v>67</v>
      </c>
      <c r="I877" s="4">
        <f>IFERROR(Table1[[#This Row],[pledged]]/Table1[[#This Row],[backers_count]],0)</f>
        <v>81.567164179104481</v>
      </c>
      <c r="J877" t="s">
        <v>21</v>
      </c>
      <c r="K877" t="s">
        <v>22</v>
      </c>
      <c r="L877">
        <v>1294898400</v>
      </c>
      <c r="M877" s="9">
        <f>(((Table1[[#This Row],[launched_at]]/60)/60)/24)+DATE(1970,1,1)</f>
        <v>40556.25</v>
      </c>
      <c r="N877">
        <v>1294984800</v>
      </c>
      <c r="O877" s="9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LEFT(Table1[[#This Row],[category &amp; sub-category]],SEARCH("/",Table1[[#This Row],[category &amp; sub-category]],1)-1)</f>
        <v>music</v>
      </c>
      <c r="T877" t="str">
        <f>RIGHT(Table1[[#This Row],[category &amp; sub-category]],LEN(Table1[[#This Row],[category &amp; sub-category]])-SEARCH("/",Table1[[#This Row],[category &amp; sub-category]],1))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(Table1[[#This Row],[pledged]]/Table1[[#This Row],[goal]])*100</f>
        <v>25.433734939759034</v>
      </c>
      <c r="G878" t="s">
        <v>14</v>
      </c>
      <c r="H878">
        <v>57</v>
      </c>
      <c r="I878" s="4">
        <f>IFERROR(Table1[[#This Row],[pledged]]/Table1[[#This Row],[backers_count]],0)</f>
        <v>37.035087719298247</v>
      </c>
      <c r="J878" t="s">
        <v>15</v>
      </c>
      <c r="K878" t="s">
        <v>16</v>
      </c>
      <c r="L878">
        <v>1559970000</v>
      </c>
      <c r="M878" s="9">
        <f>(((Table1[[#This Row],[launched_at]]/60)/60)/24)+DATE(1970,1,1)</f>
        <v>43624.208333333328</v>
      </c>
      <c r="N878">
        <v>1562043600</v>
      </c>
      <c r="O878" s="9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LEFT(Table1[[#This Row],[category &amp; sub-category]],SEARCH("/",Table1[[#This Row],[category &amp; sub-category]],1)-1)</f>
        <v>photography</v>
      </c>
      <c r="T878" t="str">
        <f>RIGHT(Table1[[#This Row],[category &amp; sub-category]],LEN(Table1[[#This Row],[category &amp; sub-category]])-SEARCH("/",Table1[[#This Row],[category &amp; sub-category]],1))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(Table1[[#This Row],[pledged]]/Table1[[#This Row],[goal]])*100</f>
        <v>77.400977995110026</v>
      </c>
      <c r="G879" t="s">
        <v>14</v>
      </c>
      <c r="H879">
        <v>1229</v>
      </c>
      <c r="I879" s="4">
        <f>IFERROR(Table1[[#This Row],[pledged]]/Table1[[#This Row],[backers_count]],0)</f>
        <v>103.033360455655</v>
      </c>
      <c r="J879" t="s">
        <v>21</v>
      </c>
      <c r="K879" t="s">
        <v>22</v>
      </c>
      <c r="L879">
        <v>1469509200</v>
      </c>
      <c r="M879" s="9">
        <f>(((Table1[[#This Row],[launched_at]]/60)/60)/24)+DATE(1970,1,1)</f>
        <v>42577.208333333328</v>
      </c>
      <c r="N879">
        <v>1469595600</v>
      </c>
      <c r="O879" s="9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LEFT(Table1[[#This Row],[category &amp; sub-category]],SEARCH("/",Table1[[#This Row],[category &amp; sub-category]],1)-1)</f>
        <v>food</v>
      </c>
      <c r="T879" t="str">
        <f>RIGHT(Table1[[#This Row],[category &amp; sub-category]],LEN(Table1[[#This Row],[category &amp; sub-category]])-SEARCH("/",Table1[[#This Row],[category &amp; sub-category]],1))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(Table1[[#This Row],[pledged]]/Table1[[#This Row],[goal]])*100</f>
        <v>37.481481481481481</v>
      </c>
      <c r="G880" t="s">
        <v>14</v>
      </c>
      <c r="H880">
        <v>12</v>
      </c>
      <c r="I880" s="4">
        <f>IFERROR(Table1[[#This Row],[pledged]]/Table1[[#This Row],[backers_count]],0)</f>
        <v>84.333333333333329</v>
      </c>
      <c r="J880" t="s">
        <v>107</v>
      </c>
      <c r="K880" t="s">
        <v>108</v>
      </c>
      <c r="L880">
        <v>1579068000</v>
      </c>
      <c r="M880" s="9">
        <f>(((Table1[[#This Row],[launched_at]]/60)/60)/24)+DATE(1970,1,1)</f>
        <v>43845.25</v>
      </c>
      <c r="N880">
        <v>1581141600</v>
      </c>
      <c r="O880" s="9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LEFT(Table1[[#This Row],[category &amp; sub-category]],SEARCH("/",Table1[[#This Row],[category &amp; sub-category]],1)-1)</f>
        <v>music</v>
      </c>
      <c r="T880" t="str">
        <f>RIGHT(Table1[[#This Row],[category &amp; sub-category]],LEN(Table1[[#This Row],[category &amp; sub-category]])-SEARCH("/",Table1[[#This Row],[category &amp; sub-category]],1))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(Table1[[#This Row],[pledged]]/Table1[[#This Row],[goal]])*100</f>
        <v>543.79999999999995</v>
      </c>
      <c r="G881" t="s">
        <v>20</v>
      </c>
      <c r="H881">
        <v>53</v>
      </c>
      <c r="I881" s="4">
        <f>IFERROR(Table1[[#This Row],[pledged]]/Table1[[#This Row],[backers_count]],0)</f>
        <v>102.60377358490567</v>
      </c>
      <c r="J881" t="s">
        <v>21</v>
      </c>
      <c r="K881" t="s">
        <v>22</v>
      </c>
      <c r="L881">
        <v>1487743200</v>
      </c>
      <c r="M881" s="9">
        <f>(((Table1[[#This Row],[launched_at]]/60)/60)/24)+DATE(1970,1,1)</f>
        <v>42788.25</v>
      </c>
      <c r="N881">
        <v>1488520800</v>
      </c>
      <c r="O881" s="9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LEFT(Table1[[#This Row],[category &amp; sub-category]],SEARCH("/",Table1[[#This Row],[category &amp; sub-category]],1)-1)</f>
        <v>publishing</v>
      </c>
      <c r="T881" t="str">
        <f>RIGHT(Table1[[#This Row],[category &amp; sub-category]],LEN(Table1[[#This Row],[category &amp; sub-category]])-SEARCH("/",Table1[[#This Row],[category &amp; sub-category]],1))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(Table1[[#This Row],[pledged]]/Table1[[#This Row],[goal]])*100</f>
        <v>228.52189349112427</v>
      </c>
      <c r="G882" t="s">
        <v>20</v>
      </c>
      <c r="H882">
        <v>2414</v>
      </c>
      <c r="I882" s="4">
        <f>IFERROR(Table1[[#This Row],[pledged]]/Table1[[#This Row],[backers_count]],0)</f>
        <v>79.992129246064621</v>
      </c>
      <c r="J882" t="s">
        <v>21</v>
      </c>
      <c r="K882" t="s">
        <v>22</v>
      </c>
      <c r="L882">
        <v>1563685200</v>
      </c>
      <c r="M882" s="9">
        <f>(((Table1[[#This Row],[launched_at]]/60)/60)/24)+DATE(1970,1,1)</f>
        <v>43667.208333333328</v>
      </c>
      <c r="N882">
        <v>1563858000</v>
      </c>
      <c r="O882" s="9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LEFT(Table1[[#This Row],[category &amp; sub-category]],SEARCH("/",Table1[[#This Row],[category &amp; sub-category]],1)-1)</f>
        <v>music</v>
      </c>
      <c r="T882" t="str">
        <f>RIGHT(Table1[[#This Row],[category &amp; sub-category]],LEN(Table1[[#This Row],[category &amp; sub-category]])-SEARCH("/",Table1[[#This Row],[category &amp; sub-category]],1))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(Table1[[#This Row],[pledged]]/Table1[[#This Row],[goal]])*100</f>
        <v>38.948339483394832</v>
      </c>
      <c r="G883" t="s">
        <v>14</v>
      </c>
      <c r="H883">
        <v>452</v>
      </c>
      <c r="I883" s="4">
        <f>IFERROR(Table1[[#This Row],[pledged]]/Table1[[#This Row],[backers_count]],0)</f>
        <v>70.055309734513273</v>
      </c>
      <c r="J883" t="s">
        <v>21</v>
      </c>
      <c r="K883" t="s">
        <v>22</v>
      </c>
      <c r="L883">
        <v>1436418000</v>
      </c>
      <c r="M883" s="9">
        <f>(((Table1[[#This Row],[launched_at]]/60)/60)/24)+DATE(1970,1,1)</f>
        <v>42194.208333333328</v>
      </c>
      <c r="N883">
        <v>1438923600</v>
      </c>
      <c r="O883" s="9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LEFT(Table1[[#This Row],[category &amp; sub-category]],SEARCH("/",Table1[[#This Row],[category &amp; sub-category]],1)-1)</f>
        <v>theater</v>
      </c>
      <c r="T883" t="str">
        <f>RIGHT(Table1[[#This Row],[category &amp; sub-category]],LEN(Table1[[#This Row],[category &amp; sub-category]])-SEARCH("/",Table1[[#This Row],[category &amp; sub-category]],1))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(Table1[[#This Row],[pledged]]/Table1[[#This Row],[goal]])*100</f>
        <v>370</v>
      </c>
      <c r="G884" t="s">
        <v>20</v>
      </c>
      <c r="H884">
        <v>80</v>
      </c>
      <c r="I884" s="4">
        <f>IFERROR(Table1[[#This Row],[pledged]]/Table1[[#This Row],[backers_count]],0)</f>
        <v>37</v>
      </c>
      <c r="J884" t="s">
        <v>21</v>
      </c>
      <c r="K884" t="s">
        <v>22</v>
      </c>
      <c r="L884">
        <v>1421820000</v>
      </c>
      <c r="M884" s="9">
        <f>(((Table1[[#This Row],[launched_at]]/60)/60)/24)+DATE(1970,1,1)</f>
        <v>42025.25</v>
      </c>
      <c r="N884">
        <v>1422165600</v>
      </c>
      <c r="O884" s="9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LEFT(Table1[[#This Row],[category &amp; sub-category]],SEARCH("/",Table1[[#This Row],[category &amp; sub-category]],1)-1)</f>
        <v>theater</v>
      </c>
      <c r="T884" t="str">
        <f>RIGHT(Table1[[#This Row],[category &amp; sub-category]],LEN(Table1[[#This Row],[category &amp; sub-category]])-SEARCH("/",Table1[[#This Row],[category &amp; sub-category]],1))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(Table1[[#This Row],[pledged]]/Table1[[#This Row],[goal]])*100</f>
        <v>237.91176470588232</v>
      </c>
      <c r="G885" t="s">
        <v>20</v>
      </c>
      <c r="H885">
        <v>193</v>
      </c>
      <c r="I885" s="4">
        <f>IFERROR(Table1[[#This Row],[pledged]]/Table1[[#This Row],[backers_count]],0)</f>
        <v>41.911917098445599</v>
      </c>
      <c r="J885" t="s">
        <v>21</v>
      </c>
      <c r="K885" t="s">
        <v>22</v>
      </c>
      <c r="L885">
        <v>1274763600</v>
      </c>
      <c r="M885" s="9">
        <f>(((Table1[[#This Row],[launched_at]]/60)/60)/24)+DATE(1970,1,1)</f>
        <v>40323.208333333336</v>
      </c>
      <c r="N885">
        <v>1277874000</v>
      </c>
      <c r="O885" s="9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LEFT(Table1[[#This Row],[category &amp; sub-category]],SEARCH("/",Table1[[#This Row],[category &amp; sub-category]],1)-1)</f>
        <v>film &amp; video</v>
      </c>
      <c r="T885" t="str">
        <f>RIGHT(Table1[[#This Row],[category &amp; sub-category]],LEN(Table1[[#This Row],[category &amp; sub-category]])-SEARCH("/",Table1[[#This Row],[category &amp; sub-category]],1))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(Table1[[#This Row],[pledged]]/Table1[[#This Row],[goal]])*100</f>
        <v>64.036299765807954</v>
      </c>
      <c r="G886" t="s">
        <v>14</v>
      </c>
      <c r="H886">
        <v>1886</v>
      </c>
      <c r="I886" s="4">
        <f>IFERROR(Table1[[#This Row],[pledged]]/Table1[[#This Row],[backers_count]],0)</f>
        <v>57.992576882290564</v>
      </c>
      <c r="J886" t="s">
        <v>21</v>
      </c>
      <c r="K886" t="s">
        <v>22</v>
      </c>
      <c r="L886">
        <v>1399179600</v>
      </c>
      <c r="M886" s="9">
        <f>(((Table1[[#This Row],[launched_at]]/60)/60)/24)+DATE(1970,1,1)</f>
        <v>41763.208333333336</v>
      </c>
      <c r="N886">
        <v>1399352400</v>
      </c>
      <c r="O886" s="9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LEFT(Table1[[#This Row],[category &amp; sub-category]],SEARCH("/",Table1[[#This Row],[category &amp; sub-category]],1)-1)</f>
        <v>theater</v>
      </c>
      <c r="T886" t="str">
        <f>RIGHT(Table1[[#This Row],[category &amp; sub-category]],LEN(Table1[[#This Row],[category &amp; sub-category]])-SEARCH("/",Table1[[#This Row],[category &amp; sub-category]],1))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(Table1[[#This Row],[pledged]]/Table1[[#This Row],[goal]])*100</f>
        <v>118.27777777777777</v>
      </c>
      <c r="G887" t="s">
        <v>20</v>
      </c>
      <c r="H887">
        <v>52</v>
      </c>
      <c r="I887" s="4">
        <f>IFERROR(Table1[[#This Row],[pledged]]/Table1[[#This Row],[backers_count]],0)</f>
        <v>40.942307692307693</v>
      </c>
      <c r="J887" t="s">
        <v>21</v>
      </c>
      <c r="K887" t="s">
        <v>22</v>
      </c>
      <c r="L887">
        <v>1275800400</v>
      </c>
      <c r="M887" s="9">
        <f>(((Table1[[#This Row],[launched_at]]/60)/60)/24)+DATE(1970,1,1)</f>
        <v>40335.208333333336</v>
      </c>
      <c r="N887">
        <v>1279083600</v>
      </c>
      <c r="O887" s="9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LEFT(Table1[[#This Row],[category &amp; sub-category]],SEARCH("/",Table1[[#This Row],[category &amp; sub-category]],1)-1)</f>
        <v>theater</v>
      </c>
      <c r="T887" t="str">
        <f>RIGHT(Table1[[#This Row],[category &amp; sub-category]],LEN(Table1[[#This Row],[category &amp; sub-category]])-SEARCH("/",Table1[[#This Row],[category &amp; sub-category]],1))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(Table1[[#This Row],[pledged]]/Table1[[#This Row],[goal]])*100</f>
        <v>84.824037184594957</v>
      </c>
      <c r="G888" t="s">
        <v>14</v>
      </c>
      <c r="H888">
        <v>1825</v>
      </c>
      <c r="I888" s="4">
        <f>IFERROR(Table1[[#This Row],[pledged]]/Table1[[#This Row],[backers_count]],0)</f>
        <v>69.9972602739726</v>
      </c>
      <c r="J888" t="s">
        <v>21</v>
      </c>
      <c r="K888" t="s">
        <v>22</v>
      </c>
      <c r="L888">
        <v>1282798800</v>
      </c>
      <c r="M888" s="9">
        <f>(((Table1[[#This Row],[launched_at]]/60)/60)/24)+DATE(1970,1,1)</f>
        <v>40416.208333333336</v>
      </c>
      <c r="N888">
        <v>1284354000</v>
      </c>
      <c r="O888" s="9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LEFT(Table1[[#This Row],[category &amp; sub-category]],SEARCH("/",Table1[[#This Row],[category &amp; sub-category]],1)-1)</f>
        <v>music</v>
      </c>
      <c r="T888" t="str">
        <f>RIGHT(Table1[[#This Row],[category &amp; sub-category]],LEN(Table1[[#This Row],[category &amp; sub-category]])-SEARCH("/",Table1[[#This Row],[category &amp; sub-category]],1))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(Table1[[#This Row],[pledged]]/Table1[[#This Row],[goal]])*100</f>
        <v>29.346153846153843</v>
      </c>
      <c r="G889" t="s">
        <v>14</v>
      </c>
      <c r="H889">
        <v>31</v>
      </c>
      <c r="I889" s="4">
        <f>IFERROR(Table1[[#This Row],[pledged]]/Table1[[#This Row],[backers_count]],0)</f>
        <v>73.838709677419359</v>
      </c>
      <c r="J889" t="s">
        <v>21</v>
      </c>
      <c r="K889" t="s">
        <v>22</v>
      </c>
      <c r="L889">
        <v>1437109200</v>
      </c>
      <c r="M889" s="9">
        <f>(((Table1[[#This Row],[launched_at]]/60)/60)/24)+DATE(1970,1,1)</f>
        <v>42202.208333333328</v>
      </c>
      <c r="N889">
        <v>1441170000</v>
      </c>
      <c r="O889" s="9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LEFT(Table1[[#This Row],[category &amp; sub-category]],SEARCH("/",Table1[[#This Row],[category &amp; sub-category]],1)-1)</f>
        <v>theater</v>
      </c>
      <c r="T889" t="str">
        <f>RIGHT(Table1[[#This Row],[category &amp; sub-category]],LEN(Table1[[#This Row],[category &amp; sub-category]])-SEARCH("/",Table1[[#This Row],[category &amp; sub-category]],1))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(Table1[[#This Row],[pledged]]/Table1[[#This Row],[goal]])*100</f>
        <v>209.89655172413794</v>
      </c>
      <c r="G890" t="s">
        <v>20</v>
      </c>
      <c r="H890">
        <v>290</v>
      </c>
      <c r="I890" s="4">
        <f>IFERROR(Table1[[#This Row],[pledged]]/Table1[[#This Row],[backers_count]],0)</f>
        <v>41.979310344827589</v>
      </c>
      <c r="J890" t="s">
        <v>21</v>
      </c>
      <c r="K890" t="s">
        <v>22</v>
      </c>
      <c r="L890">
        <v>1491886800</v>
      </c>
      <c r="M890" s="9">
        <f>(((Table1[[#This Row],[launched_at]]/60)/60)/24)+DATE(1970,1,1)</f>
        <v>42836.208333333328</v>
      </c>
      <c r="N890">
        <v>1493528400</v>
      </c>
      <c r="O890" s="9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LEFT(Table1[[#This Row],[category &amp; sub-category]],SEARCH("/",Table1[[#This Row],[category &amp; sub-category]],1)-1)</f>
        <v>theater</v>
      </c>
      <c r="T890" t="str">
        <f>RIGHT(Table1[[#This Row],[category &amp; sub-category]],LEN(Table1[[#This Row],[category &amp; sub-category]])-SEARCH("/",Table1[[#This Row],[category &amp; sub-category]],1))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(Table1[[#This Row],[pledged]]/Table1[[#This Row],[goal]])*100</f>
        <v>169.78571428571431</v>
      </c>
      <c r="G891" t="s">
        <v>20</v>
      </c>
      <c r="H891">
        <v>122</v>
      </c>
      <c r="I891" s="4">
        <f>IFERROR(Table1[[#This Row],[pledged]]/Table1[[#This Row],[backers_count]],0)</f>
        <v>77.93442622950819</v>
      </c>
      <c r="J891" t="s">
        <v>21</v>
      </c>
      <c r="K891" t="s">
        <v>22</v>
      </c>
      <c r="L891">
        <v>1394600400</v>
      </c>
      <c r="M891" s="9">
        <f>(((Table1[[#This Row],[launched_at]]/60)/60)/24)+DATE(1970,1,1)</f>
        <v>41710.208333333336</v>
      </c>
      <c r="N891">
        <v>1395205200</v>
      </c>
      <c r="O891" s="9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LEFT(Table1[[#This Row],[category &amp; sub-category]],SEARCH("/",Table1[[#This Row],[category &amp; sub-category]],1)-1)</f>
        <v>music</v>
      </c>
      <c r="T891" t="str">
        <f>RIGHT(Table1[[#This Row],[category &amp; sub-category]],LEN(Table1[[#This Row],[category &amp; sub-category]])-SEARCH("/",Table1[[#This Row],[category &amp; sub-category]],1))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(Table1[[#This Row],[pledged]]/Table1[[#This Row],[goal]])*100</f>
        <v>115.95907738095239</v>
      </c>
      <c r="G892" t="s">
        <v>20</v>
      </c>
      <c r="H892">
        <v>1470</v>
      </c>
      <c r="I892" s="4">
        <f>IFERROR(Table1[[#This Row],[pledged]]/Table1[[#This Row],[backers_count]],0)</f>
        <v>106.01972789115646</v>
      </c>
      <c r="J892" t="s">
        <v>21</v>
      </c>
      <c r="K892" t="s">
        <v>22</v>
      </c>
      <c r="L892">
        <v>1561352400</v>
      </c>
      <c r="M892" s="9">
        <f>(((Table1[[#This Row],[launched_at]]/60)/60)/24)+DATE(1970,1,1)</f>
        <v>43640.208333333328</v>
      </c>
      <c r="N892">
        <v>1561438800</v>
      </c>
      <c r="O892" s="9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LEFT(Table1[[#This Row],[category &amp; sub-category]],SEARCH("/",Table1[[#This Row],[category &amp; sub-category]],1)-1)</f>
        <v>music</v>
      </c>
      <c r="T892" t="str">
        <f>RIGHT(Table1[[#This Row],[category &amp; sub-category]],LEN(Table1[[#This Row],[category &amp; sub-category]])-SEARCH("/",Table1[[#This Row],[category &amp; sub-category]],1))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(Table1[[#This Row],[pledged]]/Table1[[#This Row],[goal]])*100</f>
        <v>258.59999999999997</v>
      </c>
      <c r="G893" t="s">
        <v>20</v>
      </c>
      <c r="H893">
        <v>165</v>
      </c>
      <c r="I893" s="4">
        <f>IFERROR(Table1[[#This Row],[pledged]]/Table1[[#This Row],[backers_count]],0)</f>
        <v>47.018181818181816</v>
      </c>
      <c r="J893" t="s">
        <v>15</v>
      </c>
      <c r="K893" t="s">
        <v>16</v>
      </c>
      <c r="L893">
        <v>1322892000</v>
      </c>
      <c r="M893" s="9">
        <f>(((Table1[[#This Row],[launched_at]]/60)/60)/24)+DATE(1970,1,1)</f>
        <v>40880.25</v>
      </c>
      <c r="N893">
        <v>1326693600</v>
      </c>
      <c r="O893" s="9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LEFT(Table1[[#This Row],[category &amp; sub-category]],SEARCH("/",Table1[[#This Row],[category &amp; sub-category]],1)-1)</f>
        <v>film &amp; video</v>
      </c>
      <c r="T893" t="str">
        <f>RIGHT(Table1[[#This Row],[category &amp; sub-category]],LEN(Table1[[#This Row],[category &amp; sub-category]])-SEARCH("/",Table1[[#This Row],[category &amp; sub-category]],1))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(Table1[[#This Row],[pledged]]/Table1[[#This Row],[goal]])*100</f>
        <v>230.58333333333331</v>
      </c>
      <c r="G894" t="s">
        <v>20</v>
      </c>
      <c r="H894">
        <v>182</v>
      </c>
      <c r="I894" s="4">
        <f>IFERROR(Table1[[#This Row],[pledged]]/Table1[[#This Row],[backers_count]],0)</f>
        <v>76.016483516483518</v>
      </c>
      <c r="J894" t="s">
        <v>21</v>
      </c>
      <c r="K894" t="s">
        <v>22</v>
      </c>
      <c r="L894">
        <v>1274418000</v>
      </c>
      <c r="M894" s="9">
        <f>(((Table1[[#This Row],[launched_at]]/60)/60)/24)+DATE(1970,1,1)</f>
        <v>40319.208333333336</v>
      </c>
      <c r="N894">
        <v>1277960400</v>
      </c>
      <c r="O894" s="9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LEFT(Table1[[#This Row],[category &amp; sub-category]],SEARCH("/",Table1[[#This Row],[category &amp; sub-category]],1)-1)</f>
        <v>publishing</v>
      </c>
      <c r="T894" t="str">
        <f>RIGHT(Table1[[#This Row],[category &amp; sub-category]],LEN(Table1[[#This Row],[category &amp; sub-category]])-SEARCH("/",Table1[[#This Row],[category &amp; sub-category]],1))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(Table1[[#This Row],[pledged]]/Table1[[#This Row],[goal]])*100</f>
        <v>128.21428571428572</v>
      </c>
      <c r="G895" t="s">
        <v>20</v>
      </c>
      <c r="H895">
        <v>199</v>
      </c>
      <c r="I895" s="4">
        <f>IFERROR(Table1[[#This Row],[pledged]]/Table1[[#This Row],[backers_count]],0)</f>
        <v>54.120603015075375</v>
      </c>
      <c r="J895" t="s">
        <v>107</v>
      </c>
      <c r="K895" t="s">
        <v>108</v>
      </c>
      <c r="L895">
        <v>1434344400</v>
      </c>
      <c r="M895" s="9">
        <f>(((Table1[[#This Row],[launched_at]]/60)/60)/24)+DATE(1970,1,1)</f>
        <v>42170.208333333328</v>
      </c>
      <c r="N895">
        <v>1434690000</v>
      </c>
      <c r="O895" s="9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LEFT(Table1[[#This Row],[category &amp; sub-category]],SEARCH("/",Table1[[#This Row],[category &amp; sub-category]],1)-1)</f>
        <v>film &amp; video</v>
      </c>
      <c r="T895" t="str">
        <f>RIGHT(Table1[[#This Row],[category &amp; sub-category]],LEN(Table1[[#This Row],[category &amp; sub-category]])-SEARCH("/",Table1[[#This Row],[category &amp; sub-category]],1))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(Table1[[#This Row],[pledged]]/Table1[[#This Row],[goal]])*100</f>
        <v>188.70588235294116</v>
      </c>
      <c r="G896" t="s">
        <v>20</v>
      </c>
      <c r="H896">
        <v>56</v>
      </c>
      <c r="I896" s="4">
        <f>IFERROR(Table1[[#This Row],[pledged]]/Table1[[#This Row],[backers_count]],0)</f>
        <v>57.285714285714285</v>
      </c>
      <c r="J896" t="s">
        <v>40</v>
      </c>
      <c r="K896" t="s">
        <v>41</v>
      </c>
      <c r="L896">
        <v>1373518800</v>
      </c>
      <c r="M896" s="9">
        <f>(((Table1[[#This Row],[launched_at]]/60)/60)/24)+DATE(1970,1,1)</f>
        <v>41466.208333333336</v>
      </c>
      <c r="N896">
        <v>1376110800</v>
      </c>
      <c r="O896" s="9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LEFT(Table1[[#This Row],[category &amp; sub-category]],SEARCH("/",Table1[[#This Row],[category &amp; sub-category]],1)-1)</f>
        <v>film &amp; video</v>
      </c>
      <c r="T896" t="str">
        <f>RIGHT(Table1[[#This Row],[category &amp; sub-category]],LEN(Table1[[#This Row],[category &amp; sub-category]])-SEARCH("/",Table1[[#This Row],[category &amp; sub-category]],1))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(Table1[[#This Row],[pledged]]/Table1[[#This Row],[goal]])*100</f>
        <v>6.9511889862327907</v>
      </c>
      <c r="G897" t="s">
        <v>14</v>
      </c>
      <c r="H897">
        <v>107</v>
      </c>
      <c r="I897" s="4">
        <f>IFERROR(Table1[[#This Row],[pledged]]/Table1[[#This Row],[backers_count]],0)</f>
        <v>103.81308411214954</v>
      </c>
      <c r="J897" t="s">
        <v>21</v>
      </c>
      <c r="K897" t="s">
        <v>22</v>
      </c>
      <c r="L897">
        <v>1517637600</v>
      </c>
      <c r="M897" s="9">
        <f>(((Table1[[#This Row],[launched_at]]/60)/60)/24)+DATE(1970,1,1)</f>
        <v>43134.25</v>
      </c>
      <c r="N897">
        <v>1518415200</v>
      </c>
      <c r="O897" s="9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LEFT(Table1[[#This Row],[category &amp; sub-category]],SEARCH("/",Table1[[#This Row],[category &amp; sub-category]],1)-1)</f>
        <v>theater</v>
      </c>
      <c r="T897" t="str">
        <f>RIGHT(Table1[[#This Row],[category &amp; sub-category]],LEN(Table1[[#This Row],[category &amp; sub-category]])-SEARCH("/",Table1[[#This Row],[category &amp; sub-category]],1))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(Table1[[#This Row],[pledged]]/Table1[[#This Row],[goal]])*100</f>
        <v>774.43434343434342</v>
      </c>
      <c r="G898" t="s">
        <v>20</v>
      </c>
      <c r="H898">
        <v>1460</v>
      </c>
      <c r="I898" s="4">
        <f>IFERROR(Table1[[#This Row],[pledged]]/Table1[[#This Row],[backers_count]],0)</f>
        <v>105.02602739726028</v>
      </c>
      <c r="J898" t="s">
        <v>26</v>
      </c>
      <c r="K898" t="s">
        <v>27</v>
      </c>
      <c r="L898">
        <v>1310619600</v>
      </c>
      <c r="M898" s="9">
        <f>(((Table1[[#This Row],[launched_at]]/60)/60)/24)+DATE(1970,1,1)</f>
        <v>40738.208333333336</v>
      </c>
      <c r="N898">
        <v>1310878800</v>
      </c>
      <c r="O898" s="9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LEFT(Table1[[#This Row],[category &amp; sub-category]],SEARCH("/",Table1[[#This Row],[category &amp; sub-category]],1)-1)</f>
        <v>food</v>
      </c>
      <c r="T898" t="str">
        <f>RIGHT(Table1[[#This Row],[category &amp; sub-category]],LEN(Table1[[#This Row],[category &amp; sub-category]])-SEARCH("/",Table1[[#This Row],[category &amp; sub-category]],1))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(Table1[[#This Row],[pledged]]/Table1[[#This Row],[goal]])*100</f>
        <v>27.693181818181817</v>
      </c>
      <c r="G899" t="s">
        <v>14</v>
      </c>
      <c r="H899">
        <v>27</v>
      </c>
      <c r="I899" s="4">
        <f>IFERROR(Table1[[#This Row],[pledged]]/Table1[[#This Row],[backers_count]],0)</f>
        <v>90.259259259259252</v>
      </c>
      <c r="J899" t="s">
        <v>21</v>
      </c>
      <c r="K899" t="s">
        <v>22</v>
      </c>
      <c r="L899">
        <v>1556427600</v>
      </c>
      <c r="M899" s="9">
        <f>(((Table1[[#This Row],[launched_at]]/60)/60)/24)+DATE(1970,1,1)</f>
        <v>43583.208333333328</v>
      </c>
      <c r="N899">
        <v>1556600400</v>
      </c>
      <c r="O899" s="9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LEFT(Table1[[#This Row],[category &amp; sub-category]],SEARCH("/",Table1[[#This Row],[category &amp; sub-category]],1)-1)</f>
        <v>theater</v>
      </c>
      <c r="T899" t="str">
        <f>RIGHT(Table1[[#This Row],[category &amp; sub-category]],LEN(Table1[[#This Row],[category &amp; sub-category]])-SEARCH("/",Table1[[#This Row],[category &amp; sub-category]],1))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(Table1[[#This Row],[pledged]]/Table1[[#This Row],[goal]])*100</f>
        <v>52.479620323841424</v>
      </c>
      <c r="G900" t="s">
        <v>14</v>
      </c>
      <c r="H900">
        <v>1221</v>
      </c>
      <c r="I900" s="4">
        <f>IFERROR(Table1[[#This Row],[pledged]]/Table1[[#This Row],[backers_count]],0)</f>
        <v>76.978705978705975</v>
      </c>
      <c r="J900" t="s">
        <v>21</v>
      </c>
      <c r="K900" t="s">
        <v>22</v>
      </c>
      <c r="L900">
        <v>1576476000</v>
      </c>
      <c r="M900" s="9">
        <f>(((Table1[[#This Row],[launched_at]]/60)/60)/24)+DATE(1970,1,1)</f>
        <v>43815.25</v>
      </c>
      <c r="N900">
        <v>1576994400</v>
      </c>
      <c r="O900" s="9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LEFT(Table1[[#This Row],[category &amp; sub-category]],SEARCH("/",Table1[[#This Row],[category &amp; sub-category]],1)-1)</f>
        <v>film &amp; video</v>
      </c>
      <c r="T900" t="str">
        <f>RIGHT(Table1[[#This Row],[category &amp; sub-category]],LEN(Table1[[#This Row],[category &amp; sub-category]])-SEARCH("/",Table1[[#This Row],[category &amp; sub-category]],1))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(Table1[[#This Row],[pledged]]/Table1[[#This Row],[goal]])*100</f>
        <v>407.09677419354841</v>
      </c>
      <c r="G901" t="s">
        <v>20</v>
      </c>
      <c r="H901">
        <v>123</v>
      </c>
      <c r="I901" s="4">
        <f>IFERROR(Table1[[#This Row],[pledged]]/Table1[[#This Row],[backers_count]],0)</f>
        <v>102.60162601626017</v>
      </c>
      <c r="J901" t="s">
        <v>98</v>
      </c>
      <c r="K901" t="s">
        <v>99</v>
      </c>
      <c r="L901">
        <v>1381122000</v>
      </c>
      <c r="M901" s="9">
        <f>(((Table1[[#This Row],[launched_at]]/60)/60)/24)+DATE(1970,1,1)</f>
        <v>41554.208333333336</v>
      </c>
      <c r="N901">
        <v>1382677200</v>
      </c>
      <c r="O901" s="9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LEFT(Table1[[#This Row],[category &amp; sub-category]],SEARCH("/",Table1[[#This Row],[category &amp; sub-category]],1)-1)</f>
        <v>music</v>
      </c>
      <c r="T901" t="str">
        <f>RIGHT(Table1[[#This Row],[category &amp; sub-category]],LEN(Table1[[#This Row],[category &amp; sub-category]])-SEARCH("/",Table1[[#This Row],[category &amp; sub-category]],1))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(Table1[[#This Row],[pledged]]/Table1[[#This Row],[goal]])*100</f>
        <v>2</v>
      </c>
      <c r="G902" t="s">
        <v>14</v>
      </c>
      <c r="H902">
        <v>1</v>
      </c>
      <c r="I902" s="4">
        <f>IFERROR(Table1[[#This Row],[pledged]]/Table1[[#This Row],[backers_count]],0)</f>
        <v>2</v>
      </c>
      <c r="J902" t="s">
        <v>21</v>
      </c>
      <c r="K902" t="s">
        <v>22</v>
      </c>
      <c r="L902">
        <v>1411102800</v>
      </c>
      <c r="M902" s="9">
        <f>(((Table1[[#This Row],[launched_at]]/60)/60)/24)+DATE(1970,1,1)</f>
        <v>41901.208333333336</v>
      </c>
      <c r="N902">
        <v>1411189200</v>
      </c>
      <c r="O902" s="9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LEFT(Table1[[#This Row],[category &amp; sub-category]],SEARCH("/",Table1[[#This Row],[category &amp; sub-category]],1)-1)</f>
        <v>technology</v>
      </c>
      <c r="T902" t="str">
        <f>RIGHT(Table1[[#This Row],[category &amp; sub-category]],LEN(Table1[[#This Row],[category &amp; sub-category]])-SEARCH("/",Table1[[#This Row],[category &amp; sub-category]],1))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(Table1[[#This Row],[pledged]]/Table1[[#This Row],[goal]])*100</f>
        <v>156.17857142857144</v>
      </c>
      <c r="G903" t="s">
        <v>20</v>
      </c>
      <c r="H903">
        <v>159</v>
      </c>
      <c r="I903" s="4">
        <f>IFERROR(Table1[[#This Row],[pledged]]/Table1[[#This Row],[backers_count]],0)</f>
        <v>55.0062893081761</v>
      </c>
      <c r="J903" t="s">
        <v>21</v>
      </c>
      <c r="K903" t="s">
        <v>22</v>
      </c>
      <c r="L903">
        <v>1531803600</v>
      </c>
      <c r="M903" s="9">
        <f>(((Table1[[#This Row],[launched_at]]/60)/60)/24)+DATE(1970,1,1)</f>
        <v>43298.208333333328</v>
      </c>
      <c r="N903">
        <v>1534654800</v>
      </c>
      <c r="O903" s="9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LEFT(Table1[[#This Row],[category &amp; sub-category]],SEARCH("/",Table1[[#This Row],[category &amp; sub-category]],1)-1)</f>
        <v>music</v>
      </c>
      <c r="T903" t="str">
        <f>RIGHT(Table1[[#This Row],[category &amp; sub-category]],LEN(Table1[[#This Row],[category &amp; sub-category]])-SEARCH("/",Table1[[#This Row],[category &amp; sub-category]],1))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(Table1[[#This Row],[pledged]]/Table1[[#This Row],[goal]])*100</f>
        <v>252.42857142857144</v>
      </c>
      <c r="G904" t="s">
        <v>20</v>
      </c>
      <c r="H904">
        <v>110</v>
      </c>
      <c r="I904" s="4">
        <f>IFERROR(Table1[[#This Row],[pledged]]/Table1[[#This Row],[backers_count]],0)</f>
        <v>32.127272727272725</v>
      </c>
      <c r="J904" t="s">
        <v>21</v>
      </c>
      <c r="K904" t="s">
        <v>22</v>
      </c>
      <c r="L904">
        <v>1454133600</v>
      </c>
      <c r="M904" s="9">
        <f>(((Table1[[#This Row],[launched_at]]/60)/60)/24)+DATE(1970,1,1)</f>
        <v>42399.25</v>
      </c>
      <c r="N904">
        <v>1457762400</v>
      </c>
      <c r="O904" s="9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LEFT(Table1[[#This Row],[category &amp; sub-category]],SEARCH("/",Table1[[#This Row],[category &amp; sub-category]],1)-1)</f>
        <v>technology</v>
      </c>
      <c r="T904" t="str">
        <f>RIGHT(Table1[[#This Row],[category &amp; sub-category]],LEN(Table1[[#This Row],[category &amp; sub-category]])-SEARCH("/",Table1[[#This Row],[category &amp; sub-category]],1))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(Table1[[#This Row],[pledged]]/Table1[[#This Row],[goal]])*100</f>
        <v>1.729268292682927</v>
      </c>
      <c r="G905" t="s">
        <v>47</v>
      </c>
      <c r="H905">
        <v>14</v>
      </c>
      <c r="I905" s="4">
        <f>IFERROR(Table1[[#This Row],[pledged]]/Table1[[#This Row],[backers_count]],0)</f>
        <v>50.642857142857146</v>
      </c>
      <c r="J905" t="s">
        <v>21</v>
      </c>
      <c r="K905" t="s">
        <v>22</v>
      </c>
      <c r="L905">
        <v>1336194000</v>
      </c>
      <c r="M905" s="9">
        <f>(((Table1[[#This Row],[launched_at]]/60)/60)/24)+DATE(1970,1,1)</f>
        <v>41034.208333333336</v>
      </c>
      <c r="N905">
        <v>1337490000</v>
      </c>
      <c r="O905" s="9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LEFT(Table1[[#This Row],[category &amp; sub-category]],SEARCH("/",Table1[[#This Row],[category &amp; sub-category]],1)-1)</f>
        <v>publishing</v>
      </c>
      <c r="T905" t="str">
        <f>RIGHT(Table1[[#This Row],[category &amp; sub-category]],LEN(Table1[[#This Row],[category &amp; sub-category]])-SEARCH("/",Table1[[#This Row],[category &amp; sub-category]],1))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(Table1[[#This Row],[pledged]]/Table1[[#This Row],[goal]])*100</f>
        <v>12.230769230769232</v>
      </c>
      <c r="G906" t="s">
        <v>14</v>
      </c>
      <c r="H906">
        <v>16</v>
      </c>
      <c r="I906" s="4">
        <f>IFERROR(Table1[[#This Row],[pledged]]/Table1[[#This Row],[backers_count]],0)</f>
        <v>49.6875</v>
      </c>
      <c r="J906" t="s">
        <v>21</v>
      </c>
      <c r="K906" t="s">
        <v>22</v>
      </c>
      <c r="L906">
        <v>1349326800</v>
      </c>
      <c r="M906" s="9">
        <f>(((Table1[[#This Row],[launched_at]]/60)/60)/24)+DATE(1970,1,1)</f>
        <v>41186.208333333336</v>
      </c>
      <c r="N906">
        <v>1349672400</v>
      </c>
      <c r="O906" s="9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LEFT(Table1[[#This Row],[category &amp; sub-category]],SEARCH("/",Table1[[#This Row],[category &amp; sub-category]],1)-1)</f>
        <v>publishing</v>
      </c>
      <c r="T906" t="str">
        <f>RIGHT(Table1[[#This Row],[category &amp; sub-category]],LEN(Table1[[#This Row],[category &amp; sub-category]])-SEARCH("/",Table1[[#This Row],[category &amp; sub-category]],1))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(Table1[[#This Row],[pledged]]/Table1[[#This Row],[goal]])*100</f>
        <v>163.98734177215189</v>
      </c>
      <c r="G907" t="s">
        <v>20</v>
      </c>
      <c r="H907">
        <v>236</v>
      </c>
      <c r="I907" s="4">
        <f>IFERROR(Table1[[#This Row],[pledged]]/Table1[[#This Row],[backers_count]],0)</f>
        <v>54.894067796610166</v>
      </c>
      <c r="J907" t="s">
        <v>21</v>
      </c>
      <c r="K907" t="s">
        <v>22</v>
      </c>
      <c r="L907">
        <v>1379566800</v>
      </c>
      <c r="M907" s="9">
        <f>(((Table1[[#This Row],[launched_at]]/60)/60)/24)+DATE(1970,1,1)</f>
        <v>41536.208333333336</v>
      </c>
      <c r="N907">
        <v>1379826000</v>
      </c>
      <c r="O907" s="9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LEFT(Table1[[#This Row],[category &amp; sub-category]],SEARCH("/",Table1[[#This Row],[category &amp; sub-category]],1)-1)</f>
        <v>theater</v>
      </c>
      <c r="T907" t="str">
        <f>RIGHT(Table1[[#This Row],[category &amp; sub-category]],LEN(Table1[[#This Row],[category &amp; sub-category]])-SEARCH("/",Table1[[#This Row],[category &amp; sub-category]],1))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(Table1[[#This Row],[pledged]]/Table1[[#This Row],[goal]])*100</f>
        <v>162.98181818181817</v>
      </c>
      <c r="G908" t="s">
        <v>20</v>
      </c>
      <c r="H908">
        <v>191</v>
      </c>
      <c r="I908" s="4">
        <f>IFERROR(Table1[[#This Row],[pledged]]/Table1[[#This Row],[backers_count]],0)</f>
        <v>46.931937172774866</v>
      </c>
      <c r="J908" t="s">
        <v>21</v>
      </c>
      <c r="K908" t="s">
        <v>22</v>
      </c>
      <c r="L908">
        <v>1494651600</v>
      </c>
      <c r="M908" s="9">
        <f>(((Table1[[#This Row],[launched_at]]/60)/60)/24)+DATE(1970,1,1)</f>
        <v>42868.208333333328</v>
      </c>
      <c r="N908">
        <v>1497762000</v>
      </c>
      <c r="O908" s="9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LEFT(Table1[[#This Row],[category &amp; sub-category]],SEARCH("/",Table1[[#This Row],[category &amp; sub-category]],1)-1)</f>
        <v>film &amp; video</v>
      </c>
      <c r="T908" t="str">
        <f>RIGHT(Table1[[#This Row],[category &amp; sub-category]],LEN(Table1[[#This Row],[category &amp; sub-category]])-SEARCH("/",Table1[[#This Row],[category &amp; sub-category]],1))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(Table1[[#This Row],[pledged]]/Table1[[#This Row],[goal]])*100</f>
        <v>20.252747252747252</v>
      </c>
      <c r="G909" t="s">
        <v>14</v>
      </c>
      <c r="H909">
        <v>41</v>
      </c>
      <c r="I909" s="4">
        <f>IFERROR(Table1[[#This Row],[pledged]]/Table1[[#This Row],[backers_count]],0)</f>
        <v>44.951219512195124</v>
      </c>
      <c r="J909" t="s">
        <v>21</v>
      </c>
      <c r="K909" t="s">
        <v>22</v>
      </c>
      <c r="L909">
        <v>1303880400</v>
      </c>
      <c r="M909" s="9">
        <f>(((Table1[[#This Row],[launched_at]]/60)/60)/24)+DATE(1970,1,1)</f>
        <v>40660.208333333336</v>
      </c>
      <c r="N909">
        <v>1304485200</v>
      </c>
      <c r="O909" s="9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LEFT(Table1[[#This Row],[category &amp; sub-category]],SEARCH("/",Table1[[#This Row],[category &amp; sub-category]],1)-1)</f>
        <v>theater</v>
      </c>
      <c r="T909" t="str">
        <f>RIGHT(Table1[[#This Row],[category &amp; sub-category]],LEN(Table1[[#This Row],[category &amp; sub-category]])-SEARCH("/",Table1[[#This Row],[category &amp; sub-category]],1))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(Table1[[#This Row],[pledged]]/Table1[[#This Row],[goal]])*100</f>
        <v>319.24083769633506</v>
      </c>
      <c r="G910" t="s">
        <v>20</v>
      </c>
      <c r="H910">
        <v>3934</v>
      </c>
      <c r="I910" s="4">
        <f>IFERROR(Table1[[#This Row],[pledged]]/Table1[[#This Row],[backers_count]],0)</f>
        <v>30.99898322318251</v>
      </c>
      <c r="J910" t="s">
        <v>21</v>
      </c>
      <c r="K910" t="s">
        <v>22</v>
      </c>
      <c r="L910">
        <v>1335934800</v>
      </c>
      <c r="M910" s="9">
        <f>(((Table1[[#This Row],[launched_at]]/60)/60)/24)+DATE(1970,1,1)</f>
        <v>41031.208333333336</v>
      </c>
      <c r="N910">
        <v>1336885200</v>
      </c>
      <c r="O910" s="9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LEFT(Table1[[#This Row],[category &amp; sub-category]],SEARCH("/",Table1[[#This Row],[category &amp; sub-category]],1)-1)</f>
        <v>games</v>
      </c>
      <c r="T910" t="str">
        <f>RIGHT(Table1[[#This Row],[category &amp; sub-category]],LEN(Table1[[#This Row],[category &amp; sub-category]])-SEARCH("/",Table1[[#This Row],[category &amp; sub-category]],1))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(Table1[[#This Row],[pledged]]/Table1[[#This Row],[goal]])*100</f>
        <v>478.94444444444446</v>
      </c>
      <c r="G911" t="s">
        <v>20</v>
      </c>
      <c r="H911">
        <v>80</v>
      </c>
      <c r="I911" s="4">
        <f>IFERROR(Table1[[#This Row],[pledged]]/Table1[[#This Row],[backers_count]],0)</f>
        <v>107.7625</v>
      </c>
      <c r="J911" t="s">
        <v>15</v>
      </c>
      <c r="K911" t="s">
        <v>16</v>
      </c>
      <c r="L911">
        <v>1528088400</v>
      </c>
      <c r="M911" s="9">
        <f>(((Table1[[#This Row],[launched_at]]/60)/60)/24)+DATE(1970,1,1)</f>
        <v>43255.208333333328</v>
      </c>
      <c r="N911">
        <v>1530421200</v>
      </c>
      <c r="O911" s="9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LEFT(Table1[[#This Row],[category &amp; sub-category]],SEARCH("/",Table1[[#This Row],[category &amp; sub-category]],1)-1)</f>
        <v>theater</v>
      </c>
      <c r="T911" t="str">
        <f>RIGHT(Table1[[#This Row],[category &amp; sub-category]],LEN(Table1[[#This Row],[category &amp; sub-category]])-SEARCH("/",Table1[[#This Row],[category &amp; sub-category]],1))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(Table1[[#This Row],[pledged]]/Table1[[#This Row],[goal]])*100</f>
        <v>19.556634304207122</v>
      </c>
      <c r="G912" t="s">
        <v>74</v>
      </c>
      <c r="H912">
        <v>296</v>
      </c>
      <c r="I912" s="4">
        <f>IFERROR(Table1[[#This Row],[pledged]]/Table1[[#This Row],[backers_count]],0)</f>
        <v>102.07770270270271</v>
      </c>
      <c r="J912" t="s">
        <v>21</v>
      </c>
      <c r="K912" t="s">
        <v>22</v>
      </c>
      <c r="L912">
        <v>1421906400</v>
      </c>
      <c r="M912" s="9">
        <f>(((Table1[[#This Row],[launched_at]]/60)/60)/24)+DATE(1970,1,1)</f>
        <v>42026.25</v>
      </c>
      <c r="N912">
        <v>1421992800</v>
      </c>
      <c r="O912" s="9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LEFT(Table1[[#This Row],[category &amp; sub-category]],SEARCH("/",Table1[[#This Row],[category &amp; sub-category]],1)-1)</f>
        <v>theater</v>
      </c>
      <c r="T912" t="str">
        <f>RIGHT(Table1[[#This Row],[category &amp; sub-category]],LEN(Table1[[#This Row],[category &amp; sub-category]])-SEARCH("/",Table1[[#This Row],[category &amp; sub-category]],1))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(Table1[[#This Row],[pledged]]/Table1[[#This Row],[goal]])*100</f>
        <v>198.94827586206895</v>
      </c>
      <c r="G913" t="s">
        <v>20</v>
      </c>
      <c r="H913">
        <v>462</v>
      </c>
      <c r="I913" s="4">
        <f>IFERROR(Table1[[#This Row],[pledged]]/Table1[[#This Row],[backers_count]],0)</f>
        <v>24.976190476190474</v>
      </c>
      <c r="J913" t="s">
        <v>21</v>
      </c>
      <c r="K913" t="s">
        <v>22</v>
      </c>
      <c r="L913">
        <v>1568005200</v>
      </c>
      <c r="M913" s="9">
        <f>(((Table1[[#This Row],[launched_at]]/60)/60)/24)+DATE(1970,1,1)</f>
        <v>43717.208333333328</v>
      </c>
      <c r="N913">
        <v>1568178000</v>
      </c>
      <c r="O913" s="9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LEFT(Table1[[#This Row],[category &amp; sub-category]],SEARCH("/",Table1[[#This Row],[category &amp; sub-category]],1)-1)</f>
        <v>technology</v>
      </c>
      <c r="T913" t="str">
        <f>RIGHT(Table1[[#This Row],[category &amp; sub-category]],LEN(Table1[[#This Row],[category &amp; sub-category]])-SEARCH("/",Table1[[#This Row],[category &amp; sub-category]],1))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(Table1[[#This Row],[pledged]]/Table1[[#This Row],[goal]])*100</f>
        <v>795</v>
      </c>
      <c r="G914" t="s">
        <v>20</v>
      </c>
      <c r="H914">
        <v>179</v>
      </c>
      <c r="I914" s="4">
        <f>IFERROR(Table1[[#This Row],[pledged]]/Table1[[#This Row],[backers_count]],0)</f>
        <v>79.944134078212286</v>
      </c>
      <c r="J914" t="s">
        <v>21</v>
      </c>
      <c r="K914" t="s">
        <v>22</v>
      </c>
      <c r="L914">
        <v>1346821200</v>
      </c>
      <c r="M914" s="9">
        <f>(((Table1[[#This Row],[launched_at]]/60)/60)/24)+DATE(1970,1,1)</f>
        <v>41157.208333333336</v>
      </c>
      <c r="N914">
        <v>1347944400</v>
      </c>
      <c r="O914" s="9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LEFT(Table1[[#This Row],[category &amp; sub-category]],SEARCH("/",Table1[[#This Row],[category &amp; sub-category]],1)-1)</f>
        <v>film &amp; video</v>
      </c>
      <c r="T914" t="str">
        <f>RIGHT(Table1[[#This Row],[category &amp; sub-category]],LEN(Table1[[#This Row],[category &amp; sub-category]])-SEARCH("/",Table1[[#This Row],[category &amp; sub-category]],1))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(Table1[[#This Row],[pledged]]/Table1[[#This Row],[goal]])*100</f>
        <v>50.621082621082621</v>
      </c>
      <c r="G915" t="s">
        <v>14</v>
      </c>
      <c r="H915">
        <v>523</v>
      </c>
      <c r="I915" s="4">
        <f>IFERROR(Table1[[#This Row],[pledged]]/Table1[[#This Row],[backers_count]],0)</f>
        <v>67.946462715105156</v>
      </c>
      <c r="J915" t="s">
        <v>26</v>
      </c>
      <c r="K915" t="s">
        <v>27</v>
      </c>
      <c r="L915">
        <v>1557637200</v>
      </c>
      <c r="M915" s="9">
        <f>(((Table1[[#This Row],[launched_at]]/60)/60)/24)+DATE(1970,1,1)</f>
        <v>43597.208333333328</v>
      </c>
      <c r="N915">
        <v>1558760400</v>
      </c>
      <c r="O915" s="9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LEFT(Table1[[#This Row],[category &amp; sub-category]],SEARCH("/",Table1[[#This Row],[category &amp; sub-category]],1)-1)</f>
        <v>film &amp; video</v>
      </c>
      <c r="T915" t="str">
        <f>RIGHT(Table1[[#This Row],[category &amp; sub-category]],LEN(Table1[[#This Row],[category &amp; sub-category]])-SEARCH("/",Table1[[#This Row],[category &amp; sub-category]],1))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(Table1[[#This Row],[pledged]]/Table1[[#This Row],[goal]])*100</f>
        <v>57.4375</v>
      </c>
      <c r="G916" t="s">
        <v>14</v>
      </c>
      <c r="H916">
        <v>141</v>
      </c>
      <c r="I916" s="4">
        <f>IFERROR(Table1[[#This Row],[pledged]]/Table1[[#This Row],[backers_count]],0)</f>
        <v>26.070921985815602</v>
      </c>
      <c r="J916" t="s">
        <v>40</v>
      </c>
      <c r="K916" t="s">
        <v>41</v>
      </c>
      <c r="L916">
        <v>1375592400</v>
      </c>
      <c r="M916" s="9">
        <f>(((Table1[[#This Row],[launched_at]]/60)/60)/24)+DATE(1970,1,1)</f>
        <v>41490.208333333336</v>
      </c>
      <c r="N916">
        <v>1376629200</v>
      </c>
      <c r="O916" s="9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LEFT(Table1[[#This Row],[category &amp; sub-category]],SEARCH("/",Table1[[#This Row],[category &amp; sub-category]],1)-1)</f>
        <v>theater</v>
      </c>
      <c r="T916" t="str">
        <f>RIGHT(Table1[[#This Row],[category &amp; sub-category]],LEN(Table1[[#This Row],[category &amp; sub-category]])-SEARCH("/",Table1[[#This Row],[category &amp; sub-category]],1))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(Table1[[#This Row],[pledged]]/Table1[[#This Row],[goal]])*100</f>
        <v>155.62827640984909</v>
      </c>
      <c r="G917" t="s">
        <v>20</v>
      </c>
      <c r="H917">
        <v>1866</v>
      </c>
      <c r="I917" s="4">
        <f>IFERROR(Table1[[#This Row],[pledged]]/Table1[[#This Row],[backers_count]],0)</f>
        <v>105.0032154340836</v>
      </c>
      <c r="J917" t="s">
        <v>40</v>
      </c>
      <c r="K917" t="s">
        <v>41</v>
      </c>
      <c r="L917">
        <v>1503982800</v>
      </c>
      <c r="M917" s="9">
        <f>(((Table1[[#This Row],[launched_at]]/60)/60)/24)+DATE(1970,1,1)</f>
        <v>42976.208333333328</v>
      </c>
      <c r="N917">
        <v>1504760400</v>
      </c>
      <c r="O917" s="9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LEFT(Table1[[#This Row],[category &amp; sub-category]],SEARCH("/",Table1[[#This Row],[category &amp; sub-category]],1)-1)</f>
        <v>film &amp; video</v>
      </c>
      <c r="T917" t="str">
        <f>RIGHT(Table1[[#This Row],[category &amp; sub-category]],LEN(Table1[[#This Row],[category &amp; sub-category]])-SEARCH("/",Table1[[#This Row],[category &amp; sub-category]],1))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(Table1[[#This Row],[pledged]]/Table1[[#This Row],[goal]])*100</f>
        <v>36.297297297297298</v>
      </c>
      <c r="G918" t="s">
        <v>14</v>
      </c>
      <c r="H918">
        <v>52</v>
      </c>
      <c r="I918" s="4">
        <f>IFERROR(Table1[[#This Row],[pledged]]/Table1[[#This Row],[backers_count]],0)</f>
        <v>25.826923076923077</v>
      </c>
      <c r="J918" t="s">
        <v>21</v>
      </c>
      <c r="K918" t="s">
        <v>22</v>
      </c>
      <c r="L918">
        <v>1418882400</v>
      </c>
      <c r="M918" s="9">
        <f>(((Table1[[#This Row],[launched_at]]/60)/60)/24)+DATE(1970,1,1)</f>
        <v>41991.25</v>
      </c>
      <c r="N918">
        <v>1419660000</v>
      </c>
      <c r="O918" s="9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LEFT(Table1[[#This Row],[category &amp; sub-category]],SEARCH("/",Table1[[#This Row],[category &amp; sub-category]],1)-1)</f>
        <v>photography</v>
      </c>
      <c r="T918" t="str">
        <f>RIGHT(Table1[[#This Row],[category &amp; sub-category]],LEN(Table1[[#This Row],[category &amp; sub-category]])-SEARCH("/",Table1[[#This Row],[category &amp; sub-category]],1))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(Table1[[#This Row],[pledged]]/Table1[[#This Row],[goal]])*100</f>
        <v>58.25</v>
      </c>
      <c r="G919" t="s">
        <v>47</v>
      </c>
      <c r="H919">
        <v>27</v>
      </c>
      <c r="I919" s="4">
        <f>IFERROR(Table1[[#This Row],[pledged]]/Table1[[#This Row],[backers_count]],0)</f>
        <v>77.666666666666671</v>
      </c>
      <c r="J919" t="s">
        <v>40</v>
      </c>
      <c r="K919" t="s">
        <v>41</v>
      </c>
      <c r="L919">
        <v>1309237200</v>
      </c>
      <c r="M919" s="9">
        <f>(((Table1[[#This Row],[launched_at]]/60)/60)/24)+DATE(1970,1,1)</f>
        <v>40722.208333333336</v>
      </c>
      <c r="N919">
        <v>1311310800</v>
      </c>
      <c r="O919" s="9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LEFT(Table1[[#This Row],[category &amp; sub-category]],SEARCH("/",Table1[[#This Row],[category &amp; sub-category]],1)-1)</f>
        <v>film &amp; video</v>
      </c>
      <c r="T919" t="str">
        <f>RIGHT(Table1[[#This Row],[category &amp; sub-category]],LEN(Table1[[#This Row],[category &amp; sub-category]])-SEARCH("/",Table1[[#This Row],[category &amp; sub-category]],1))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(Table1[[#This Row],[pledged]]/Table1[[#This Row],[goal]])*100</f>
        <v>237.39473684210526</v>
      </c>
      <c r="G920" t="s">
        <v>20</v>
      </c>
      <c r="H920">
        <v>156</v>
      </c>
      <c r="I920" s="4">
        <f>IFERROR(Table1[[#This Row],[pledged]]/Table1[[#This Row],[backers_count]],0)</f>
        <v>57.82692307692308</v>
      </c>
      <c r="J920" t="s">
        <v>98</v>
      </c>
      <c r="K920" t="s">
        <v>99</v>
      </c>
      <c r="L920">
        <v>1343365200</v>
      </c>
      <c r="M920" s="9">
        <f>(((Table1[[#This Row],[launched_at]]/60)/60)/24)+DATE(1970,1,1)</f>
        <v>41117.208333333336</v>
      </c>
      <c r="N920">
        <v>1344315600</v>
      </c>
      <c r="O920" s="9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LEFT(Table1[[#This Row],[category &amp; sub-category]],SEARCH("/",Table1[[#This Row],[category &amp; sub-category]],1)-1)</f>
        <v>publishing</v>
      </c>
      <c r="T920" t="str">
        <f>RIGHT(Table1[[#This Row],[category &amp; sub-category]],LEN(Table1[[#This Row],[category &amp; sub-category]])-SEARCH("/",Table1[[#This Row],[category &amp; sub-category]],1))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(Table1[[#This Row],[pledged]]/Table1[[#This Row],[goal]])*100</f>
        <v>58.75</v>
      </c>
      <c r="G921" t="s">
        <v>14</v>
      </c>
      <c r="H921">
        <v>225</v>
      </c>
      <c r="I921" s="4">
        <f>IFERROR(Table1[[#This Row],[pledged]]/Table1[[#This Row],[backers_count]],0)</f>
        <v>92.955555555555549</v>
      </c>
      <c r="J921" t="s">
        <v>26</v>
      </c>
      <c r="K921" t="s">
        <v>27</v>
      </c>
      <c r="L921">
        <v>1507957200</v>
      </c>
      <c r="M921" s="9">
        <f>(((Table1[[#This Row],[launched_at]]/60)/60)/24)+DATE(1970,1,1)</f>
        <v>43022.208333333328</v>
      </c>
      <c r="N921">
        <v>1510725600</v>
      </c>
      <c r="O921" s="9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LEFT(Table1[[#This Row],[category &amp; sub-category]],SEARCH("/",Table1[[#This Row],[category &amp; sub-category]],1)-1)</f>
        <v>theater</v>
      </c>
      <c r="T921" t="str">
        <f>RIGHT(Table1[[#This Row],[category &amp; sub-category]],LEN(Table1[[#This Row],[category &amp; sub-category]])-SEARCH("/",Table1[[#This Row],[category &amp; sub-category]],1))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(Table1[[#This Row],[pledged]]/Table1[[#This Row],[goal]])*100</f>
        <v>182.56603773584905</v>
      </c>
      <c r="G922" t="s">
        <v>20</v>
      </c>
      <c r="H922">
        <v>255</v>
      </c>
      <c r="I922" s="4">
        <f>IFERROR(Table1[[#This Row],[pledged]]/Table1[[#This Row],[backers_count]],0)</f>
        <v>37.945098039215686</v>
      </c>
      <c r="J922" t="s">
        <v>21</v>
      </c>
      <c r="K922" t="s">
        <v>22</v>
      </c>
      <c r="L922">
        <v>1549519200</v>
      </c>
      <c r="M922" s="9">
        <f>(((Table1[[#This Row],[launched_at]]/60)/60)/24)+DATE(1970,1,1)</f>
        <v>43503.25</v>
      </c>
      <c r="N922">
        <v>1551247200</v>
      </c>
      <c r="O922" s="9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LEFT(Table1[[#This Row],[category &amp; sub-category]],SEARCH("/",Table1[[#This Row],[category &amp; sub-category]],1)-1)</f>
        <v>film &amp; video</v>
      </c>
      <c r="T922" t="str">
        <f>RIGHT(Table1[[#This Row],[category &amp; sub-category]],LEN(Table1[[#This Row],[category &amp; sub-category]])-SEARCH("/",Table1[[#This Row],[category &amp; sub-category]],1))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(Table1[[#This Row],[pledged]]/Table1[[#This Row],[goal]])*100</f>
        <v>0.75436408977556113</v>
      </c>
      <c r="G923" t="s">
        <v>14</v>
      </c>
      <c r="H923">
        <v>38</v>
      </c>
      <c r="I923" s="4">
        <f>IFERROR(Table1[[#This Row],[pledged]]/Table1[[#This Row],[backers_count]],0)</f>
        <v>31.842105263157894</v>
      </c>
      <c r="J923" t="s">
        <v>21</v>
      </c>
      <c r="K923" t="s">
        <v>22</v>
      </c>
      <c r="L923">
        <v>1329026400</v>
      </c>
      <c r="M923" s="9">
        <f>(((Table1[[#This Row],[launched_at]]/60)/60)/24)+DATE(1970,1,1)</f>
        <v>40951.25</v>
      </c>
      <c r="N923">
        <v>1330236000</v>
      </c>
      <c r="O923" s="9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LEFT(Table1[[#This Row],[category &amp; sub-category]],SEARCH("/",Table1[[#This Row],[category &amp; sub-category]],1)-1)</f>
        <v>technology</v>
      </c>
      <c r="T923" t="str">
        <f>RIGHT(Table1[[#This Row],[category &amp; sub-category]],LEN(Table1[[#This Row],[category &amp; sub-category]])-SEARCH("/",Table1[[#This Row],[category &amp; sub-category]],1))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(Table1[[#This Row],[pledged]]/Table1[[#This Row],[goal]])*100</f>
        <v>175.95330739299609</v>
      </c>
      <c r="G924" t="s">
        <v>20</v>
      </c>
      <c r="H924">
        <v>2261</v>
      </c>
      <c r="I924" s="4">
        <f>IFERROR(Table1[[#This Row],[pledged]]/Table1[[#This Row],[backers_count]],0)</f>
        <v>40</v>
      </c>
      <c r="J924" t="s">
        <v>21</v>
      </c>
      <c r="K924" t="s">
        <v>22</v>
      </c>
      <c r="L924">
        <v>1544335200</v>
      </c>
      <c r="M924" s="9">
        <f>(((Table1[[#This Row],[launched_at]]/60)/60)/24)+DATE(1970,1,1)</f>
        <v>43443.25</v>
      </c>
      <c r="N924">
        <v>1545112800</v>
      </c>
      <c r="O924" s="9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LEFT(Table1[[#This Row],[category &amp; sub-category]],SEARCH("/",Table1[[#This Row],[category &amp; sub-category]],1)-1)</f>
        <v>music</v>
      </c>
      <c r="T924" t="str">
        <f>RIGHT(Table1[[#This Row],[category &amp; sub-category]],LEN(Table1[[#This Row],[category &amp; sub-category]])-SEARCH("/",Table1[[#This Row],[category &amp; sub-category]],1))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(Table1[[#This Row],[pledged]]/Table1[[#This Row],[goal]])*100</f>
        <v>237.88235294117646</v>
      </c>
      <c r="G925" t="s">
        <v>20</v>
      </c>
      <c r="H925">
        <v>40</v>
      </c>
      <c r="I925" s="4">
        <f>IFERROR(Table1[[#This Row],[pledged]]/Table1[[#This Row],[backers_count]],0)</f>
        <v>101.1</v>
      </c>
      <c r="J925" t="s">
        <v>21</v>
      </c>
      <c r="K925" t="s">
        <v>22</v>
      </c>
      <c r="L925">
        <v>1279083600</v>
      </c>
      <c r="M925" s="9">
        <f>(((Table1[[#This Row],[launched_at]]/60)/60)/24)+DATE(1970,1,1)</f>
        <v>40373.208333333336</v>
      </c>
      <c r="N925">
        <v>1279170000</v>
      </c>
      <c r="O925" s="9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LEFT(Table1[[#This Row],[category &amp; sub-category]],SEARCH("/",Table1[[#This Row],[category &amp; sub-category]],1)-1)</f>
        <v>theater</v>
      </c>
      <c r="T925" t="str">
        <f>RIGHT(Table1[[#This Row],[category &amp; sub-category]],LEN(Table1[[#This Row],[category &amp; sub-category]])-SEARCH("/",Table1[[#This Row],[category &amp; sub-category]],1))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(Table1[[#This Row],[pledged]]/Table1[[#This Row],[goal]])*100</f>
        <v>488.05076142131981</v>
      </c>
      <c r="G926" t="s">
        <v>20</v>
      </c>
      <c r="H926">
        <v>2289</v>
      </c>
      <c r="I926" s="4">
        <f>IFERROR(Table1[[#This Row],[pledged]]/Table1[[#This Row],[backers_count]],0)</f>
        <v>84.006989951944078</v>
      </c>
      <c r="J926" t="s">
        <v>107</v>
      </c>
      <c r="K926" t="s">
        <v>108</v>
      </c>
      <c r="L926">
        <v>1572498000</v>
      </c>
      <c r="M926" s="9">
        <f>(((Table1[[#This Row],[launched_at]]/60)/60)/24)+DATE(1970,1,1)</f>
        <v>43769.208333333328</v>
      </c>
      <c r="N926">
        <v>1573452000</v>
      </c>
      <c r="O926" s="9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LEFT(Table1[[#This Row],[category &amp; sub-category]],SEARCH("/",Table1[[#This Row],[category &amp; sub-category]],1)-1)</f>
        <v>theater</v>
      </c>
      <c r="T926" t="str">
        <f>RIGHT(Table1[[#This Row],[category &amp; sub-category]],LEN(Table1[[#This Row],[category &amp; sub-category]])-SEARCH("/",Table1[[#This Row],[category &amp; sub-category]],1))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(Table1[[#This Row],[pledged]]/Table1[[#This Row],[goal]])*100</f>
        <v>224.06666666666669</v>
      </c>
      <c r="G927" t="s">
        <v>20</v>
      </c>
      <c r="H927">
        <v>65</v>
      </c>
      <c r="I927" s="4">
        <f>IFERROR(Table1[[#This Row],[pledged]]/Table1[[#This Row],[backers_count]],0)</f>
        <v>103.41538461538461</v>
      </c>
      <c r="J927" t="s">
        <v>21</v>
      </c>
      <c r="K927" t="s">
        <v>22</v>
      </c>
      <c r="L927">
        <v>1506056400</v>
      </c>
      <c r="M927" s="9">
        <f>(((Table1[[#This Row],[launched_at]]/60)/60)/24)+DATE(1970,1,1)</f>
        <v>43000.208333333328</v>
      </c>
      <c r="N927">
        <v>1507093200</v>
      </c>
      <c r="O927" s="9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LEFT(Table1[[#This Row],[category &amp; sub-category]],SEARCH("/",Table1[[#This Row],[category &amp; sub-category]],1)-1)</f>
        <v>theater</v>
      </c>
      <c r="T927" t="str">
        <f>RIGHT(Table1[[#This Row],[category &amp; sub-category]],LEN(Table1[[#This Row],[category &amp; sub-category]])-SEARCH("/",Table1[[#This Row],[category &amp; sub-category]],1))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(Table1[[#This Row],[pledged]]/Table1[[#This Row],[goal]])*100</f>
        <v>18.126436781609197</v>
      </c>
      <c r="G928" t="s">
        <v>14</v>
      </c>
      <c r="H928">
        <v>15</v>
      </c>
      <c r="I928" s="4">
        <f>IFERROR(Table1[[#This Row],[pledged]]/Table1[[#This Row],[backers_count]],0)</f>
        <v>105.13333333333334</v>
      </c>
      <c r="J928" t="s">
        <v>21</v>
      </c>
      <c r="K928" t="s">
        <v>22</v>
      </c>
      <c r="L928">
        <v>1463029200</v>
      </c>
      <c r="M928" s="9">
        <f>(((Table1[[#This Row],[launched_at]]/60)/60)/24)+DATE(1970,1,1)</f>
        <v>42502.208333333328</v>
      </c>
      <c r="N928">
        <v>1463374800</v>
      </c>
      <c r="O928" s="9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LEFT(Table1[[#This Row],[category &amp; sub-category]],SEARCH("/",Table1[[#This Row],[category &amp; sub-category]],1)-1)</f>
        <v>food</v>
      </c>
      <c r="T928" t="str">
        <f>RIGHT(Table1[[#This Row],[category &amp; sub-category]],LEN(Table1[[#This Row],[category &amp; sub-category]])-SEARCH("/",Table1[[#This Row],[category &amp; sub-category]],1))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(Table1[[#This Row],[pledged]]/Table1[[#This Row],[goal]])*100</f>
        <v>45.847222222222221</v>
      </c>
      <c r="G929" t="s">
        <v>14</v>
      </c>
      <c r="H929">
        <v>37</v>
      </c>
      <c r="I929" s="4">
        <f>IFERROR(Table1[[#This Row],[pledged]]/Table1[[#This Row],[backers_count]],0)</f>
        <v>89.21621621621621</v>
      </c>
      <c r="J929" t="s">
        <v>21</v>
      </c>
      <c r="K929" t="s">
        <v>22</v>
      </c>
      <c r="L929">
        <v>1342069200</v>
      </c>
      <c r="M929" s="9">
        <f>(((Table1[[#This Row],[launched_at]]/60)/60)/24)+DATE(1970,1,1)</f>
        <v>41102.208333333336</v>
      </c>
      <c r="N929">
        <v>1344574800</v>
      </c>
      <c r="O929" s="9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LEFT(Table1[[#This Row],[category &amp; sub-category]],SEARCH("/",Table1[[#This Row],[category &amp; sub-category]],1)-1)</f>
        <v>theater</v>
      </c>
      <c r="T929" t="str">
        <f>RIGHT(Table1[[#This Row],[category &amp; sub-category]],LEN(Table1[[#This Row],[category &amp; sub-category]])-SEARCH("/",Table1[[#This Row],[category &amp; sub-category]],1))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(Table1[[#This Row],[pledged]]/Table1[[#This Row],[goal]])*100</f>
        <v>117.31541218637993</v>
      </c>
      <c r="G930" t="s">
        <v>20</v>
      </c>
      <c r="H930">
        <v>3777</v>
      </c>
      <c r="I930" s="4">
        <f>IFERROR(Table1[[#This Row],[pledged]]/Table1[[#This Row],[backers_count]],0)</f>
        <v>51.995234312946785</v>
      </c>
      <c r="J930" t="s">
        <v>107</v>
      </c>
      <c r="K930" t="s">
        <v>108</v>
      </c>
      <c r="L930">
        <v>1388296800</v>
      </c>
      <c r="M930" s="9">
        <f>(((Table1[[#This Row],[launched_at]]/60)/60)/24)+DATE(1970,1,1)</f>
        <v>41637.25</v>
      </c>
      <c r="N930">
        <v>1389074400</v>
      </c>
      <c r="O930" s="9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LEFT(Table1[[#This Row],[category &amp; sub-category]],SEARCH("/",Table1[[#This Row],[category &amp; sub-category]],1)-1)</f>
        <v>technology</v>
      </c>
      <c r="T930" t="str">
        <f>RIGHT(Table1[[#This Row],[category &amp; sub-category]],LEN(Table1[[#This Row],[category &amp; sub-category]])-SEARCH("/",Table1[[#This Row],[category &amp; sub-category]],1))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(Table1[[#This Row],[pledged]]/Table1[[#This Row],[goal]])*100</f>
        <v>217.30909090909088</v>
      </c>
      <c r="G931" t="s">
        <v>20</v>
      </c>
      <c r="H931">
        <v>184</v>
      </c>
      <c r="I931" s="4">
        <f>IFERROR(Table1[[#This Row],[pledged]]/Table1[[#This Row],[backers_count]],0)</f>
        <v>64.956521739130437</v>
      </c>
      <c r="J931" t="s">
        <v>40</v>
      </c>
      <c r="K931" t="s">
        <v>41</v>
      </c>
      <c r="L931">
        <v>1493787600</v>
      </c>
      <c r="M931" s="9">
        <f>(((Table1[[#This Row],[launched_at]]/60)/60)/24)+DATE(1970,1,1)</f>
        <v>42858.208333333328</v>
      </c>
      <c r="N931">
        <v>1494997200</v>
      </c>
      <c r="O931" s="9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LEFT(Table1[[#This Row],[category &amp; sub-category]],SEARCH("/",Table1[[#This Row],[category &amp; sub-category]],1)-1)</f>
        <v>theater</v>
      </c>
      <c r="T931" t="str">
        <f>RIGHT(Table1[[#This Row],[category &amp; sub-category]],LEN(Table1[[#This Row],[category &amp; sub-category]])-SEARCH("/",Table1[[#This Row],[category &amp; sub-category]],1))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(Table1[[#This Row],[pledged]]/Table1[[#This Row],[goal]])*100</f>
        <v>112.28571428571428</v>
      </c>
      <c r="G932" t="s">
        <v>20</v>
      </c>
      <c r="H932">
        <v>85</v>
      </c>
      <c r="I932" s="4">
        <f>IFERROR(Table1[[#This Row],[pledged]]/Table1[[#This Row],[backers_count]],0)</f>
        <v>46.235294117647058</v>
      </c>
      <c r="J932" t="s">
        <v>21</v>
      </c>
      <c r="K932" t="s">
        <v>22</v>
      </c>
      <c r="L932">
        <v>1424844000</v>
      </c>
      <c r="M932" s="9">
        <f>(((Table1[[#This Row],[launched_at]]/60)/60)/24)+DATE(1970,1,1)</f>
        <v>42060.25</v>
      </c>
      <c r="N932">
        <v>1425448800</v>
      </c>
      <c r="O932" s="9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LEFT(Table1[[#This Row],[category &amp; sub-category]],SEARCH("/",Table1[[#This Row],[category &amp; sub-category]],1)-1)</f>
        <v>theater</v>
      </c>
      <c r="T932" t="str">
        <f>RIGHT(Table1[[#This Row],[category &amp; sub-category]],LEN(Table1[[#This Row],[category &amp; sub-category]])-SEARCH("/",Table1[[#This Row],[category &amp; sub-category]],1))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(Table1[[#This Row],[pledged]]/Table1[[#This Row],[goal]])*100</f>
        <v>72.51898734177216</v>
      </c>
      <c r="G933" t="s">
        <v>14</v>
      </c>
      <c r="H933">
        <v>112</v>
      </c>
      <c r="I933" s="4">
        <f>IFERROR(Table1[[#This Row],[pledged]]/Table1[[#This Row],[backers_count]],0)</f>
        <v>51.151785714285715</v>
      </c>
      <c r="J933" t="s">
        <v>21</v>
      </c>
      <c r="K933" t="s">
        <v>22</v>
      </c>
      <c r="L933">
        <v>1403931600</v>
      </c>
      <c r="M933" s="9">
        <f>(((Table1[[#This Row],[launched_at]]/60)/60)/24)+DATE(1970,1,1)</f>
        <v>41818.208333333336</v>
      </c>
      <c r="N933">
        <v>1404104400</v>
      </c>
      <c r="O933" s="9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LEFT(Table1[[#This Row],[category &amp; sub-category]],SEARCH("/",Table1[[#This Row],[category &amp; sub-category]],1)-1)</f>
        <v>theater</v>
      </c>
      <c r="T933" t="str">
        <f>RIGHT(Table1[[#This Row],[category &amp; sub-category]],LEN(Table1[[#This Row],[category &amp; sub-category]])-SEARCH("/",Table1[[#This Row],[category &amp; sub-category]],1))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(Table1[[#This Row],[pledged]]/Table1[[#This Row],[goal]])*100</f>
        <v>212.30434782608697</v>
      </c>
      <c r="G934" t="s">
        <v>20</v>
      </c>
      <c r="H934">
        <v>144</v>
      </c>
      <c r="I934" s="4">
        <f>IFERROR(Table1[[#This Row],[pledged]]/Table1[[#This Row],[backers_count]],0)</f>
        <v>33.909722222222221</v>
      </c>
      <c r="J934" t="s">
        <v>21</v>
      </c>
      <c r="K934" t="s">
        <v>22</v>
      </c>
      <c r="L934">
        <v>1394514000</v>
      </c>
      <c r="M934" s="9">
        <f>(((Table1[[#This Row],[launched_at]]/60)/60)/24)+DATE(1970,1,1)</f>
        <v>41709.208333333336</v>
      </c>
      <c r="N934">
        <v>1394773200</v>
      </c>
      <c r="O934" s="9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LEFT(Table1[[#This Row],[category &amp; sub-category]],SEARCH("/",Table1[[#This Row],[category &amp; sub-category]],1)-1)</f>
        <v>music</v>
      </c>
      <c r="T934" t="str">
        <f>RIGHT(Table1[[#This Row],[category &amp; sub-category]],LEN(Table1[[#This Row],[category &amp; sub-category]])-SEARCH("/",Table1[[#This Row],[category &amp; sub-category]],1))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(Table1[[#This Row],[pledged]]/Table1[[#This Row],[goal]])*100</f>
        <v>239.74657534246577</v>
      </c>
      <c r="G935" t="s">
        <v>20</v>
      </c>
      <c r="H935">
        <v>1902</v>
      </c>
      <c r="I935" s="4">
        <f>IFERROR(Table1[[#This Row],[pledged]]/Table1[[#This Row],[backers_count]],0)</f>
        <v>92.016298633017882</v>
      </c>
      <c r="J935" t="s">
        <v>21</v>
      </c>
      <c r="K935" t="s">
        <v>22</v>
      </c>
      <c r="L935">
        <v>1365397200</v>
      </c>
      <c r="M935" s="9">
        <f>(((Table1[[#This Row],[launched_at]]/60)/60)/24)+DATE(1970,1,1)</f>
        <v>41372.208333333336</v>
      </c>
      <c r="N935">
        <v>1366520400</v>
      </c>
      <c r="O935" s="9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LEFT(Table1[[#This Row],[category &amp; sub-category]],SEARCH("/",Table1[[#This Row],[category &amp; sub-category]],1)-1)</f>
        <v>theater</v>
      </c>
      <c r="T935" t="str">
        <f>RIGHT(Table1[[#This Row],[category &amp; sub-category]],LEN(Table1[[#This Row],[category &amp; sub-category]])-SEARCH("/",Table1[[#This Row],[category &amp; sub-category]],1))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(Table1[[#This Row],[pledged]]/Table1[[#This Row],[goal]])*100</f>
        <v>181.93548387096774</v>
      </c>
      <c r="G936" t="s">
        <v>20</v>
      </c>
      <c r="H936">
        <v>105</v>
      </c>
      <c r="I936" s="4">
        <f>IFERROR(Table1[[#This Row],[pledged]]/Table1[[#This Row],[backers_count]],0)</f>
        <v>107.42857142857143</v>
      </c>
      <c r="J936" t="s">
        <v>21</v>
      </c>
      <c r="K936" t="s">
        <v>22</v>
      </c>
      <c r="L936">
        <v>1456120800</v>
      </c>
      <c r="M936" s="9">
        <f>(((Table1[[#This Row],[launched_at]]/60)/60)/24)+DATE(1970,1,1)</f>
        <v>42422.25</v>
      </c>
      <c r="N936">
        <v>1456639200</v>
      </c>
      <c r="O936" s="9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LEFT(Table1[[#This Row],[category &amp; sub-category]],SEARCH("/",Table1[[#This Row],[category &amp; sub-category]],1)-1)</f>
        <v>theater</v>
      </c>
      <c r="T936" t="str">
        <f>RIGHT(Table1[[#This Row],[category &amp; sub-category]],LEN(Table1[[#This Row],[category &amp; sub-category]])-SEARCH("/",Table1[[#This Row],[category &amp; sub-category]],1))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(Table1[[#This Row],[pledged]]/Table1[[#This Row],[goal]])*100</f>
        <v>164.13114754098362</v>
      </c>
      <c r="G937" t="s">
        <v>20</v>
      </c>
      <c r="H937">
        <v>132</v>
      </c>
      <c r="I937" s="4">
        <f>IFERROR(Table1[[#This Row],[pledged]]/Table1[[#This Row],[backers_count]],0)</f>
        <v>75.848484848484844</v>
      </c>
      <c r="J937" t="s">
        <v>21</v>
      </c>
      <c r="K937" t="s">
        <v>22</v>
      </c>
      <c r="L937">
        <v>1437714000</v>
      </c>
      <c r="M937" s="9">
        <f>(((Table1[[#This Row],[launched_at]]/60)/60)/24)+DATE(1970,1,1)</f>
        <v>42209.208333333328</v>
      </c>
      <c r="N937">
        <v>1438318800</v>
      </c>
      <c r="O937" s="9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LEFT(Table1[[#This Row],[category &amp; sub-category]],SEARCH("/",Table1[[#This Row],[category &amp; sub-category]],1)-1)</f>
        <v>theater</v>
      </c>
      <c r="T937" t="str">
        <f>RIGHT(Table1[[#This Row],[category &amp; sub-category]],LEN(Table1[[#This Row],[category &amp; sub-category]])-SEARCH("/",Table1[[#This Row],[category &amp; sub-category]],1))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(Table1[[#This Row],[pledged]]/Table1[[#This Row],[goal]])*100</f>
        <v>1.6375968992248062</v>
      </c>
      <c r="G938" t="s">
        <v>14</v>
      </c>
      <c r="H938">
        <v>21</v>
      </c>
      <c r="I938" s="4">
        <f>IFERROR(Table1[[#This Row],[pledged]]/Table1[[#This Row],[backers_count]],0)</f>
        <v>80.476190476190482</v>
      </c>
      <c r="J938" t="s">
        <v>21</v>
      </c>
      <c r="K938" t="s">
        <v>22</v>
      </c>
      <c r="L938">
        <v>1563771600</v>
      </c>
      <c r="M938" s="9">
        <f>(((Table1[[#This Row],[launched_at]]/60)/60)/24)+DATE(1970,1,1)</f>
        <v>43668.208333333328</v>
      </c>
      <c r="N938">
        <v>1564030800</v>
      </c>
      <c r="O938" s="9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LEFT(Table1[[#This Row],[category &amp; sub-category]],SEARCH("/",Table1[[#This Row],[category &amp; sub-category]],1)-1)</f>
        <v>theater</v>
      </c>
      <c r="T938" t="str">
        <f>RIGHT(Table1[[#This Row],[category &amp; sub-category]],LEN(Table1[[#This Row],[category &amp; sub-category]])-SEARCH("/",Table1[[#This Row],[category &amp; sub-category]],1))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(Table1[[#This Row],[pledged]]/Table1[[#This Row],[goal]])*100</f>
        <v>49.64385964912281</v>
      </c>
      <c r="G939" t="s">
        <v>74</v>
      </c>
      <c r="H939">
        <v>976</v>
      </c>
      <c r="I939" s="4">
        <f>IFERROR(Table1[[#This Row],[pledged]]/Table1[[#This Row],[backers_count]],0)</f>
        <v>86.978483606557376</v>
      </c>
      <c r="J939" t="s">
        <v>21</v>
      </c>
      <c r="K939" t="s">
        <v>22</v>
      </c>
      <c r="L939">
        <v>1448517600</v>
      </c>
      <c r="M939" s="9">
        <f>(((Table1[[#This Row],[launched_at]]/60)/60)/24)+DATE(1970,1,1)</f>
        <v>42334.25</v>
      </c>
      <c r="N939">
        <v>1449295200</v>
      </c>
      <c r="O939" s="9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LEFT(Table1[[#This Row],[category &amp; sub-category]],SEARCH("/",Table1[[#This Row],[category &amp; sub-category]],1)-1)</f>
        <v>film &amp; video</v>
      </c>
      <c r="T939" t="str">
        <f>RIGHT(Table1[[#This Row],[category &amp; sub-category]],LEN(Table1[[#This Row],[category &amp; sub-category]])-SEARCH("/",Table1[[#This Row],[category &amp; sub-category]],1))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(Table1[[#This Row],[pledged]]/Table1[[#This Row],[goal]])*100</f>
        <v>109.70652173913042</v>
      </c>
      <c r="G940" t="s">
        <v>20</v>
      </c>
      <c r="H940">
        <v>96</v>
      </c>
      <c r="I940" s="4">
        <f>IFERROR(Table1[[#This Row],[pledged]]/Table1[[#This Row],[backers_count]],0)</f>
        <v>105.13541666666667</v>
      </c>
      <c r="J940" t="s">
        <v>21</v>
      </c>
      <c r="K940" t="s">
        <v>22</v>
      </c>
      <c r="L940">
        <v>1528779600</v>
      </c>
      <c r="M940" s="9">
        <f>(((Table1[[#This Row],[launched_at]]/60)/60)/24)+DATE(1970,1,1)</f>
        <v>43263.208333333328</v>
      </c>
      <c r="N940">
        <v>1531890000</v>
      </c>
      <c r="O940" s="9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LEFT(Table1[[#This Row],[category &amp; sub-category]],SEARCH("/",Table1[[#This Row],[category &amp; sub-category]],1)-1)</f>
        <v>publishing</v>
      </c>
      <c r="T940" t="str">
        <f>RIGHT(Table1[[#This Row],[category &amp; sub-category]],LEN(Table1[[#This Row],[category &amp; sub-category]])-SEARCH("/",Table1[[#This Row],[category &amp; sub-category]],1))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(Table1[[#This Row],[pledged]]/Table1[[#This Row],[goal]])*100</f>
        <v>49.217948717948715</v>
      </c>
      <c r="G941" t="s">
        <v>14</v>
      </c>
      <c r="H941">
        <v>67</v>
      </c>
      <c r="I941" s="4">
        <f>IFERROR(Table1[[#This Row],[pledged]]/Table1[[#This Row],[backers_count]],0)</f>
        <v>57.298507462686565</v>
      </c>
      <c r="J941" t="s">
        <v>21</v>
      </c>
      <c r="K941" t="s">
        <v>22</v>
      </c>
      <c r="L941">
        <v>1304744400</v>
      </c>
      <c r="M941" s="9">
        <f>(((Table1[[#This Row],[launched_at]]/60)/60)/24)+DATE(1970,1,1)</f>
        <v>40670.208333333336</v>
      </c>
      <c r="N941">
        <v>1306213200</v>
      </c>
      <c r="O941" s="9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LEFT(Table1[[#This Row],[category &amp; sub-category]],SEARCH("/",Table1[[#This Row],[category &amp; sub-category]],1)-1)</f>
        <v>games</v>
      </c>
      <c r="T941" t="str">
        <f>RIGHT(Table1[[#This Row],[category &amp; sub-category]],LEN(Table1[[#This Row],[category &amp; sub-category]])-SEARCH("/",Table1[[#This Row],[category &amp; sub-category]],1))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(Table1[[#This Row],[pledged]]/Table1[[#This Row],[goal]])*100</f>
        <v>62.232323232323225</v>
      </c>
      <c r="G942" t="s">
        <v>47</v>
      </c>
      <c r="H942">
        <v>66</v>
      </c>
      <c r="I942" s="4">
        <f>IFERROR(Table1[[#This Row],[pledged]]/Table1[[#This Row],[backers_count]],0)</f>
        <v>93.348484848484844</v>
      </c>
      <c r="J942" t="s">
        <v>15</v>
      </c>
      <c r="K942" t="s">
        <v>16</v>
      </c>
      <c r="L942">
        <v>1354341600</v>
      </c>
      <c r="M942" s="9">
        <f>(((Table1[[#This Row],[launched_at]]/60)/60)/24)+DATE(1970,1,1)</f>
        <v>41244.25</v>
      </c>
      <c r="N942">
        <v>1356242400</v>
      </c>
      <c r="O942" s="9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LEFT(Table1[[#This Row],[category &amp; sub-category]],SEARCH("/",Table1[[#This Row],[category &amp; sub-category]],1)-1)</f>
        <v>technology</v>
      </c>
      <c r="T942" t="str">
        <f>RIGHT(Table1[[#This Row],[category &amp; sub-category]],LEN(Table1[[#This Row],[category &amp; sub-category]])-SEARCH("/",Table1[[#This Row],[category &amp; sub-category]],1))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(Table1[[#This Row],[pledged]]/Table1[[#This Row],[goal]])*100</f>
        <v>13.05813953488372</v>
      </c>
      <c r="G943" t="s">
        <v>14</v>
      </c>
      <c r="H943">
        <v>78</v>
      </c>
      <c r="I943" s="4">
        <f>IFERROR(Table1[[#This Row],[pledged]]/Table1[[#This Row],[backers_count]],0)</f>
        <v>71.987179487179489</v>
      </c>
      <c r="J943" t="s">
        <v>21</v>
      </c>
      <c r="K943" t="s">
        <v>22</v>
      </c>
      <c r="L943">
        <v>1294552800</v>
      </c>
      <c r="M943" s="9">
        <f>(((Table1[[#This Row],[launched_at]]/60)/60)/24)+DATE(1970,1,1)</f>
        <v>40552.25</v>
      </c>
      <c r="N943">
        <v>1297576800</v>
      </c>
      <c r="O943" s="9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LEFT(Table1[[#This Row],[category &amp; sub-category]],SEARCH("/",Table1[[#This Row],[category &amp; sub-category]],1)-1)</f>
        <v>theater</v>
      </c>
      <c r="T943" t="str">
        <f>RIGHT(Table1[[#This Row],[category &amp; sub-category]],LEN(Table1[[#This Row],[category &amp; sub-category]])-SEARCH("/",Table1[[#This Row],[category &amp; sub-category]],1))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(Table1[[#This Row],[pledged]]/Table1[[#This Row],[goal]])*100</f>
        <v>64.635416666666671</v>
      </c>
      <c r="G944" t="s">
        <v>14</v>
      </c>
      <c r="H944">
        <v>67</v>
      </c>
      <c r="I944" s="4">
        <f>IFERROR(Table1[[#This Row],[pledged]]/Table1[[#This Row],[backers_count]],0)</f>
        <v>92.611940298507463</v>
      </c>
      <c r="J944" t="s">
        <v>26</v>
      </c>
      <c r="K944" t="s">
        <v>27</v>
      </c>
      <c r="L944">
        <v>1295935200</v>
      </c>
      <c r="M944" s="9">
        <f>(((Table1[[#This Row],[launched_at]]/60)/60)/24)+DATE(1970,1,1)</f>
        <v>40568.25</v>
      </c>
      <c r="N944">
        <v>1296194400</v>
      </c>
      <c r="O944" s="9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LEFT(Table1[[#This Row],[category &amp; sub-category]],SEARCH("/",Table1[[#This Row],[category &amp; sub-category]],1)-1)</f>
        <v>theater</v>
      </c>
      <c r="T944" t="str">
        <f>RIGHT(Table1[[#This Row],[category &amp; sub-category]],LEN(Table1[[#This Row],[category &amp; sub-category]])-SEARCH("/",Table1[[#This Row],[category &amp; sub-category]],1))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(Table1[[#This Row],[pledged]]/Table1[[#This Row],[goal]])*100</f>
        <v>159.58666666666667</v>
      </c>
      <c r="G945" t="s">
        <v>20</v>
      </c>
      <c r="H945">
        <v>114</v>
      </c>
      <c r="I945" s="4">
        <f>IFERROR(Table1[[#This Row],[pledged]]/Table1[[#This Row],[backers_count]],0)</f>
        <v>104.99122807017544</v>
      </c>
      <c r="J945" t="s">
        <v>21</v>
      </c>
      <c r="K945" t="s">
        <v>22</v>
      </c>
      <c r="L945">
        <v>1411534800</v>
      </c>
      <c r="M945" s="9">
        <f>(((Table1[[#This Row],[launched_at]]/60)/60)/24)+DATE(1970,1,1)</f>
        <v>41906.208333333336</v>
      </c>
      <c r="N945">
        <v>1414558800</v>
      </c>
      <c r="O945" s="9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LEFT(Table1[[#This Row],[category &amp; sub-category]],SEARCH("/",Table1[[#This Row],[category &amp; sub-category]],1)-1)</f>
        <v>food</v>
      </c>
      <c r="T945" t="str">
        <f>RIGHT(Table1[[#This Row],[category &amp; sub-category]],LEN(Table1[[#This Row],[category &amp; sub-category]])-SEARCH("/",Table1[[#This Row],[category &amp; sub-category]],1))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(Table1[[#This Row],[pledged]]/Table1[[#This Row],[goal]])*100</f>
        <v>81.42</v>
      </c>
      <c r="G946" t="s">
        <v>14</v>
      </c>
      <c r="H946">
        <v>263</v>
      </c>
      <c r="I946" s="4">
        <f>IFERROR(Table1[[#This Row],[pledged]]/Table1[[#This Row],[backers_count]],0)</f>
        <v>30.958174904942965</v>
      </c>
      <c r="J946" t="s">
        <v>26</v>
      </c>
      <c r="K946" t="s">
        <v>27</v>
      </c>
      <c r="L946">
        <v>1486706400</v>
      </c>
      <c r="M946" s="9">
        <f>(((Table1[[#This Row],[launched_at]]/60)/60)/24)+DATE(1970,1,1)</f>
        <v>42776.25</v>
      </c>
      <c r="N946">
        <v>1488348000</v>
      </c>
      <c r="O946" s="9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LEFT(Table1[[#This Row],[category &amp; sub-category]],SEARCH("/",Table1[[#This Row],[category &amp; sub-category]],1)-1)</f>
        <v>photography</v>
      </c>
      <c r="T946" t="str">
        <f>RIGHT(Table1[[#This Row],[category &amp; sub-category]],LEN(Table1[[#This Row],[category &amp; sub-category]])-SEARCH("/",Table1[[#This Row],[category &amp; sub-category]],1))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(Table1[[#This Row],[pledged]]/Table1[[#This Row],[goal]])*100</f>
        <v>32.444767441860463</v>
      </c>
      <c r="G947" t="s">
        <v>14</v>
      </c>
      <c r="H947">
        <v>1691</v>
      </c>
      <c r="I947" s="4">
        <f>IFERROR(Table1[[#This Row],[pledged]]/Table1[[#This Row],[backers_count]],0)</f>
        <v>33.001182732111175</v>
      </c>
      <c r="J947" t="s">
        <v>21</v>
      </c>
      <c r="K947" t="s">
        <v>22</v>
      </c>
      <c r="L947">
        <v>1333602000</v>
      </c>
      <c r="M947" s="9">
        <f>(((Table1[[#This Row],[launched_at]]/60)/60)/24)+DATE(1970,1,1)</f>
        <v>41004.208333333336</v>
      </c>
      <c r="N947">
        <v>1334898000</v>
      </c>
      <c r="O947" s="9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LEFT(Table1[[#This Row],[category &amp; sub-category]],SEARCH("/",Table1[[#This Row],[category &amp; sub-category]],1)-1)</f>
        <v>photography</v>
      </c>
      <c r="T947" t="str">
        <f>RIGHT(Table1[[#This Row],[category &amp; sub-category]],LEN(Table1[[#This Row],[category &amp; sub-category]])-SEARCH("/",Table1[[#This Row],[category &amp; sub-category]],1))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(Table1[[#This Row],[pledged]]/Table1[[#This Row],[goal]])*100</f>
        <v>9.9141184124918666</v>
      </c>
      <c r="G948" t="s">
        <v>14</v>
      </c>
      <c r="H948">
        <v>181</v>
      </c>
      <c r="I948" s="4">
        <f>IFERROR(Table1[[#This Row],[pledged]]/Table1[[#This Row],[backers_count]],0)</f>
        <v>84.187845303867405</v>
      </c>
      <c r="J948" t="s">
        <v>21</v>
      </c>
      <c r="K948" t="s">
        <v>22</v>
      </c>
      <c r="L948">
        <v>1308200400</v>
      </c>
      <c r="M948" s="9">
        <f>(((Table1[[#This Row],[launched_at]]/60)/60)/24)+DATE(1970,1,1)</f>
        <v>40710.208333333336</v>
      </c>
      <c r="N948">
        <v>1308373200</v>
      </c>
      <c r="O948" s="9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LEFT(Table1[[#This Row],[category &amp; sub-category]],SEARCH("/",Table1[[#This Row],[category &amp; sub-category]],1)-1)</f>
        <v>theater</v>
      </c>
      <c r="T948" t="str">
        <f>RIGHT(Table1[[#This Row],[category &amp; sub-category]],LEN(Table1[[#This Row],[category &amp; sub-category]])-SEARCH("/",Table1[[#This Row],[category &amp; sub-category]],1))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(Table1[[#This Row],[pledged]]/Table1[[#This Row],[goal]])*100</f>
        <v>26.694444444444443</v>
      </c>
      <c r="G949" t="s">
        <v>14</v>
      </c>
      <c r="H949">
        <v>13</v>
      </c>
      <c r="I949" s="4">
        <f>IFERROR(Table1[[#This Row],[pledged]]/Table1[[#This Row],[backers_count]],0)</f>
        <v>73.92307692307692</v>
      </c>
      <c r="J949" t="s">
        <v>21</v>
      </c>
      <c r="K949" t="s">
        <v>22</v>
      </c>
      <c r="L949">
        <v>1411707600</v>
      </c>
      <c r="M949" s="9">
        <f>(((Table1[[#This Row],[launched_at]]/60)/60)/24)+DATE(1970,1,1)</f>
        <v>41908.208333333336</v>
      </c>
      <c r="N949">
        <v>1412312400</v>
      </c>
      <c r="O949" s="9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LEFT(Table1[[#This Row],[category &amp; sub-category]],SEARCH("/",Table1[[#This Row],[category &amp; sub-category]],1)-1)</f>
        <v>theater</v>
      </c>
      <c r="T949" t="str">
        <f>RIGHT(Table1[[#This Row],[category &amp; sub-category]],LEN(Table1[[#This Row],[category &amp; sub-category]])-SEARCH("/",Table1[[#This Row],[category &amp; sub-category]],1))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(Table1[[#This Row],[pledged]]/Table1[[#This Row],[goal]])*100</f>
        <v>62.957446808510639</v>
      </c>
      <c r="G950" t="s">
        <v>74</v>
      </c>
      <c r="H950">
        <v>160</v>
      </c>
      <c r="I950" s="4">
        <f>IFERROR(Table1[[#This Row],[pledged]]/Table1[[#This Row],[backers_count]],0)</f>
        <v>36.987499999999997</v>
      </c>
      <c r="J950" t="s">
        <v>21</v>
      </c>
      <c r="K950" t="s">
        <v>22</v>
      </c>
      <c r="L950">
        <v>1418364000</v>
      </c>
      <c r="M950" s="9">
        <f>(((Table1[[#This Row],[launched_at]]/60)/60)/24)+DATE(1970,1,1)</f>
        <v>41985.25</v>
      </c>
      <c r="N950">
        <v>1419228000</v>
      </c>
      <c r="O950" s="9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LEFT(Table1[[#This Row],[category &amp; sub-category]],SEARCH("/",Table1[[#This Row],[category &amp; sub-category]],1)-1)</f>
        <v>film &amp; video</v>
      </c>
      <c r="T950" t="str">
        <f>RIGHT(Table1[[#This Row],[category &amp; sub-category]],LEN(Table1[[#This Row],[category &amp; sub-category]])-SEARCH("/",Table1[[#This Row],[category &amp; sub-category]],1))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(Table1[[#This Row],[pledged]]/Table1[[#This Row],[goal]])*100</f>
        <v>161.35593220338984</v>
      </c>
      <c r="G951" t="s">
        <v>20</v>
      </c>
      <c r="H951">
        <v>203</v>
      </c>
      <c r="I951" s="4">
        <f>IFERROR(Table1[[#This Row],[pledged]]/Table1[[#This Row],[backers_count]],0)</f>
        <v>46.896551724137929</v>
      </c>
      <c r="J951" t="s">
        <v>21</v>
      </c>
      <c r="K951" t="s">
        <v>22</v>
      </c>
      <c r="L951">
        <v>1429333200</v>
      </c>
      <c r="M951" s="9">
        <f>(((Table1[[#This Row],[launched_at]]/60)/60)/24)+DATE(1970,1,1)</f>
        <v>42112.208333333328</v>
      </c>
      <c r="N951">
        <v>1430974800</v>
      </c>
      <c r="O951" s="9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LEFT(Table1[[#This Row],[category &amp; sub-category]],SEARCH("/",Table1[[#This Row],[category &amp; sub-category]],1)-1)</f>
        <v>technology</v>
      </c>
      <c r="T951" t="str">
        <f>RIGHT(Table1[[#This Row],[category &amp; sub-category]],LEN(Table1[[#This Row],[category &amp; sub-category]])-SEARCH("/",Table1[[#This Row],[category &amp; sub-category]],1))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(Table1[[#This Row],[pledged]]/Table1[[#This Row],[goal]])*100</f>
        <v>5</v>
      </c>
      <c r="G952" t="s">
        <v>14</v>
      </c>
      <c r="H952">
        <v>1</v>
      </c>
      <c r="I952" s="4">
        <f>IFERROR(Table1[[#This Row],[pledged]]/Table1[[#This Row],[backers_count]],0)</f>
        <v>5</v>
      </c>
      <c r="J952" t="s">
        <v>21</v>
      </c>
      <c r="K952" t="s">
        <v>22</v>
      </c>
      <c r="L952">
        <v>1555390800</v>
      </c>
      <c r="M952" s="9">
        <f>(((Table1[[#This Row],[launched_at]]/60)/60)/24)+DATE(1970,1,1)</f>
        <v>43571.208333333328</v>
      </c>
      <c r="N952">
        <v>1555822800</v>
      </c>
      <c r="O952" s="9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LEFT(Table1[[#This Row],[category &amp; sub-category]],SEARCH("/",Table1[[#This Row],[category &amp; sub-category]],1)-1)</f>
        <v>theater</v>
      </c>
      <c r="T952" t="str">
        <f>RIGHT(Table1[[#This Row],[category &amp; sub-category]],LEN(Table1[[#This Row],[category &amp; sub-category]])-SEARCH("/",Table1[[#This Row],[category &amp; sub-category]],1))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(Table1[[#This Row],[pledged]]/Table1[[#This Row],[goal]])*100</f>
        <v>1096.9379310344827</v>
      </c>
      <c r="G953" t="s">
        <v>20</v>
      </c>
      <c r="H953">
        <v>1559</v>
      </c>
      <c r="I953" s="4">
        <f>IFERROR(Table1[[#This Row],[pledged]]/Table1[[#This Row],[backers_count]],0)</f>
        <v>102.02437459910199</v>
      </c>
      <c r="J953" t="s">
        <v>21</v>
      </c>
      <c r="K953" t="s">
        <v>22</v>
      </c>
      <c r="L953">
        <v>1482732000</v>
      </c>
      <c r="M953" s="9">
        <f>(((Table1[[#This Row],[launched_at]]/60)/60)/24)+DATE(1970,1,1)</f>
        <v>42730.25</v>
      </c>
      <c r="N953">
        <v>1482818400</v>
      </c>
      <c r="O953" s="9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LEFT(Table1[[#This Row],[category &amp; sub-category]],SEARCH("/",Table1[[#This Row],[category &amp; sub-category]],1)-1)</f>
        <v>music</v>
      </c>
      <c r="T953" t="str">
        <f>RIGHT(Table1[[#This Row],[category &amp; sub-category]],LEN(Table1[[#This Row],[category &amp; sub-category]])-SEARCH("/",Table1[[#This Row],[category &amp; sub-category]],1))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(Table1[[#This Row],[pledged]]/Table1[[#This Row],[goal]])*100</f>
        <v>70.094158075601371</v>
      </c>
      <c r="G954" t="s">
        <v>74</v>
      </c>
      <c r="H954">
        <v>2266</v>
      </c>
      <c r="I954" s="4">
        <f>IFERROR(Table1[[#This Row],[pledged]]/Table1[[#This Row],[backers_count]],0)</f>
        <v>45.007502206531335</v>
      </c>
      <c r="J954" t="s">
        <v>21</v>
      </c>
      <c r="K954" t="s">
        <v>22</v>
      </c>
      <c r="L954">
        <v>1470718800</v>
      </c>
      <c r="M954" s="9">
        <f>(((Table1[[#This Row],[launched_at]]/60)/60)/24)+DATE(1970,1,1)</f>
        <v>42591.208333333328</v>
      </c>
      <c r="N954">
        <v>1471928400</v>
      </c>
      <c r="O954" s="9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LEFT(Table1[[#This Row],[category &amp; sub-category]],SEARCH("/",Table1[[#This Row],[category &amp; sub-category]],1)-1)</f>
        <v>film &amp; video</v>
      </c>
      <c r="T954" t="str">
        <f>RIGHT(Table1[[#This Row],[category &amp; sub-category]],LEN(Table1[[#This Row],[category &amp; sub-category]])-SEARCH("/",Table1[[#This Row],[category &amp; sub-category]],1))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(Table1[[#This Row],[pledged]]/Table1[[#This Row],[goal]])*100</f>
        <v>60</v>
      </c>
      <c r="G955" t="s">
        <v>14</v>
      </c>
      <c r="H955">
        <v>21</v>
      </c>
      <c r="I955" s="4">
        <f>IFERROR(Table1[[#This Row],[pledged]]/Table1[[#This Row],[backers_count]],0)</f>
        <v>94.285714285714292</v>
      </c>
      <c r="J955" t="s">
        <v>21</v>
      </c>
      <c r="K955" t="s">
        <v>22</v>
      </c>
      <c r="L955">
        <v>1450591200</v>
      </c>
      <c r="M955" s="9">
        <f>(((Table1[[#This Row],[launched_at]]/60)/60)/24)+DATE(1970,1,1)</f>
        <v>42358.25</v>
      </c>
      <c r="N955">
        <v>1453701600</v>
      </c>
      <c r="O955" s="9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LEFT(Table1[[#This Row],[category &amp; sub-category]],SEARCH("/",Table1[[#This Row],[category &amp; sub-category]],1)-1)</f>
        <v>film &amp; video</v>
      </c>
      <c r="T955" t="str">
        <f>RIGHT(Table1[[#This Row],[category &amp; sub-category]],LEN(Table1[[#This Row],[category &amp; sub-category]])-SEARCH("/",Table1[[#This Row],[category &amp; sub-category]],1))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(Table1[[#This Row],[pledged]]/Table1[[#This Row],[goal]])*100</f>
        <v>367.0985915492958</v>
      </c>
      <c r="G956" t="s">
        <v>20</v>
      </c>
      <c r="H956">
        <v>1548</v>
      </c>
      <c r="I956" s="4">
        <f>IFERROR(Table1[[#This Row],[pledged]]/Table1[[#This Row],[backers_count]],0)</f>
        <v>101.02325581395348</v>
      </c>
      <c r="J956" t="s">
        <v>26</v>
      </c>
      <c r="K956" t="s">
        <v>27</v>
      </c>
      <c r="L956">
        <v>1348290000</v>
      </c>
      <c r="M956" s="9">
        <f>(((Table1[[#This Row],[launched_at]]/60)/60)/24)+DATE(1970,1,1)</f>
        <v>41174.208333333336</v>
      </c>
      <c r="N956">
        <v>1350363600</v>
      </c>
      <c r="O956" s="9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LEFT(Table1[[#This Row],[category &amp; sub-category]],SEARCH("/",Table1[[#This Row],[category &amp; sub-category]],1)-1)</f>
        <v>technology</v>
      </c>
      <c r="T956" t="str">
        <f>RIGHT(Table1[[#This Row],[category &amp; sub-category]],LEN(Table1[[#This Row],[category &amp; sub-category]])-SEARCH("/",Table1[[#This Row],[category &amp; sub-category]],1))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(Table1[[#This Row],[pledged]]/Table1[[#This Row],[goal]])*100</f>
        <v>1109</v>
      </c>
      <c r="G957" t="s">
        <v>20</v>
      </c>
      <c r="H957">
        <v>80</v>
      </c>
      <c r="I957" s="4">
        <f>IFERROR(Table1[[#This Row],[pledged]]/Table1[[#This Row],[backers_count]],0)</f>
        <v>97.037499999999994</v>
      </c>
      <c r="J957" t="s">
        <v>21</v>
      </c>
      <c r="K957" t="s">
        <v>22</v>
      </c>
      <c r="L957">
        <v>1353823200</v>
      </c>
      <c r="M957" s="9">
        <f>(((Table1[[#This Row],[launched_at]]/60)/60)/24)+DATE(1970,1,1)</f>
        <v>41238.25</v>
      </c>
      <c r="N957">
        <v>1353996000</v>
      </c>
      <c r="O957" s="9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LEFT(Table1[[#This Row],[category &amp; sub-category]],SEARCH("/",Table1[[#This Row],[category &amp; sub-category]],1)-1)</f>
        <v>theater</v>
      </c>
      <c r="T957" t="str">
        <f>RIGHT(Table1[[#This Row],[category &amp; sub-category]],LEN(Table1[[#This Row],[category &amp; sub-category]])-SEARCH("/",Table1[[#This Row],[category &amp; sub-category]],1))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(Table1[[#This Row],[pledged]]/Table1[[#This Row],[goal]])*100</f>
        <v>19.028784648187631</v>
      </c>
      <c r="G958" t="s">
        <v>14</v>
      </c>
      <c r="H958">
        <v>830</v>
      </c>
      <c r="I958" s="4">
        <f>IFERROR(Table1[[#This Row],[pledged]]/Table1[[#This Row],[backers_count]],0)</f>
        <v>43.00963855421687</v>
      </c>
      <c r="J958" t="s">
        <v>21</v>
      </c>
      <c r="K958" t="s">
        <v>22</v>
      </c>
      <c r="L958">
        <v>1450764000</v>
      </c>
      <c r="M958" s="9">
        <f>(((Table1[[#This Row],[launched_at]]/60)/60)/24)+DATE(1970,1,1)</f>
        <v>42360.25</v>
      </c>
      <c r="N958">
        <v>1451109600</v>
      </c>
      <c r="O958" s="9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LEFT(Table1[[#This Row],[category &amp; sub-category]],SEARCH("/",Table1[[#This Row],[category &amp; sub-category]],1)-1)</f>
        <v>film &amp; video</v>
      </c>
      <c r="T958" t="str">
        <f>RIGHT(Table1[[#This Row],[category &amp; sub-category]],LEN(Table1[[#This Row],[category &amp; sub-category]])-SEARCH("/",Table1[[#This Row],[category &amp; sub-category]],1))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(Table1[[#This Row],[pledged]]/Table1[[#This Row],[goal]])*100</f>
        <v>126.87755102040816</v>
      </c>
      <c r="G959" t="s">
        <v>20</v>
      </c>
      <c r="H959">
        <v>131</v>
      </c>
      <c r="I959" s="4">
        <f>IFERROR(Table1[[#This Row],[pledged]]/Table1[[#This Row],[backers_count]],0)</f>
        <v>94.916030534351151</v>
      </c>
      <c r="J959" t="s">
        <v>21</v>
      </c>
      <c r="K959" t="s">
        <v>22</v>
      </c>
      <c r="L959">
        <v>1329372000</v>
      </c>
      <c r="M959" s="9">
        <f>(((Table1[[#This Row],[launched_at]]/60)/60)/24)+DATE(1970,1,1)</f>
        <v>40955.25</v>
      </c>
      <c r="N959">
        <v>1329631200</v>
      </c>
      <c r="O959" s="9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LEFT(Table1[[#This Row],[category &amp; sub-category]],SEARCH("/",Table1[[#This Row],[category &amp; sub-category]],1)-1)</f>
        <v>theater</v>
      </c>
      <c r="T959" t="str">
        <f>RIGHT(Table1[[#This Row],[category &amp; sub-category]],LEN(Table1[[#This Row],[category &amp; sub-category]])-SEARCH("/",Table1[[#This Row],[category &amp; sub-category]],1))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(Table1[[#This Row],[pledged]]/Table1[[#This Row],[goal]])*100</f>
        <v>734.63636363636363</v>
      </c>
      <c r="G960" t="s">
        <v>20</v>
      </c>
      <c r="H960">
        <v>112</v>
      </c>
      <c r="I960" s="4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 s="9">
        <f>(((Table1[[#This Row],[launched_at]]/60)/60)/24)+DATE(1970,1,1)</f>
        <v>40350.208333333336</v>
      </c>
      <c r="N960">
        <v>1278997200</v>
      </c>
      <c r="O960" s="9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LEFT(Table1[[#This Row],[category &amp; sub-category]],SEARCH("/",Table1[[#This Row],[category &amp; sub-category]],1)-1)</f>
        <v>film &amp; video</v>
      </c>
      <c r="T960" t="str">
        <f>RIGHT(Table1[[#This Row],[category &amp; sub-category]],LEN(Table1[[#This Row],[category &amp; sub-category]])-SEARCH("/",Table1[[#This Row],[category &amp; sub-category]],1))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(Table1[[#This Row],[pledged]]/Table1[[#This Row],[goal]])*100</f>
        <v>4.5731034482758623</v>
      </c>
      <c r="G961" t="s">
        <v>14</v>
      </c>
      <c r="H961">
        <v>130</v>
      </c>
      <c r="I961" s="4">
        <f>IFERROR(Table1[[#This Row],[pledged]]/Table1[[#This Row],[backers_count]],0)</f>
        <v>51.007692307692309</v>
      </c>
      <c r="J961" t="s">
        <v>21</v>
      </c>
      <c r="K961" t="s">
        <v>22</v>
      </c>
      <c r="L961">
        <v>1277701200</v>
      </c>
      <c r="M961" s="9">
        <f>(((Table1[[#This Row],[launched_at]]/60)/60)/24)+DATE(1970,1,1)</f>
        <v>40357.208333333336</v>
      </c>
      <c r="N961">
        <v>1280120400</v>
      </c>
      <c r="O961" s="9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LEFT(Table1[[#This Row],[category &amp; sub-category]],SEARCH("/",Table1[[#This Row],[category &amp; sub-category]],1)-1)</f>
        <v>publishing</v>
      </c>
      <c r="T961" t="str">
        <f>RIGHT(Table1[[#This Row],[category &amp; sub-category]],LEN(Table1[[#This Row],[category &amp; sub-category]])-SEARCH("/",Table1[[#This Row],[category &amp; sub-category]],1))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(Table1[[#This Row],[pledged]]/Table1[[#This Row],[goal]])*100</f>
        <v>85.054545454545448</v>
      </c>
      <c r="G962" t="s">
        <v>14</v>
      </c>
      <c r="H962">
        <v>55</v>
      </c>
      <c r="I962" s="4">
        <f>IFERROR(Table1[[#This Row],[pledged]]/Table1[[#This Row],[backers_count]],0)</f>
        <v>85.054545454545448</v>
      </c>
      <c r="J962" t="s">
        <v>21</v>
      </c>
      <c r="K962" t="s">
        <v>22</v>
      </c>
      <c r="L962">
        <v>1454911200</v>
      </c>
      <c r="M962" s="9">
        <f>(((Table1[[#This Row],[launched_at]]/60)/60)/24)+DATE(1970,1,1)</f>
        <v>42408.25</v>
      </c>
      <c r="N962">
        <v>1458104400</v>
      </c>
      <c r="O962" s="9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LEFT(Table1[[#This Row],[category &amp; sub-category]],SEARCH("/",Table1[[#This Row],[category &amp; sub-category]],1)-1)</f>
        <v>technology</v>
      </c>
      <c r="T962" t="str">
        <f>RIGHT(Table1[[#This Row],[category &amp; sub-category]],LEN(Table1[[#This Row],[category &amp; sub-category]])-SEARCH("/",Table1[[#This Row],[category &amp; sub-category]],1))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(Table1[[#This Row],[pledged]]/Table1[[#This Row],[goal]])*100</f>
        <v>119.29824561403508</v>
      </c>
      <c r="G963" t="s">
        <v>20</v>
      </c>
      <c r="H963">
        <v>155</v>
      </c>
      <c r="I963" s="4">
        <f>IFERROR(Table1[[#This Row],[pledged]]/Table1[[#This Row],[backers_count]],0)</f>
        <v>43.87096774193548</v>
      </c>
      <c r="J963" t="s">
        <v>21</v>
      </c>
      <c r="K963" t="s">
        <v>22</v>
      </c>
      <c r="L963">
        <v>1297922400</v>
      </c>
      <c r="M963" s="9">
        <f>(((Table1[[#This Row],[launched_at]]/60)/60)/24)+DATE(1970,1,1)</f>
        <v>40591.25</v>
      </c>
      <c r="N963">
        <v>1298268000</v>
      </c>
      <c r="O963" s="9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LEFT(Table1[[#This Row],[category &amp; sub-category]],SEARCH("/",Table1[[#This Row],[category &amp; sub-category]],1)-1)</f>
        <v>publishing</v>
      </c>
      <c r="T963" t="str">
        <f>RIGHT(Table1[[#This Row],[category &amp; sub-category]],LEN(Table1[[#This Row],[category &amp; sub-category]])-SEARCH("/",Table1[[#This Row],[category &amp; sub-category]],1))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(Table1[[#This Row],[pledged]]/Table1[[#This Row],[goal]])*100</f>
        <v>296.02777777777777</v>
      </c>
      <c r="G964" t="s">
        <v>20</v>
      </c>
      <c r="H964">
        <v>266</v>
      </c>
      <c r="I964" s="4">
        <f>IFERROR(Table1[[#This Row],[pledged]]/Table1[[#This Row],[backers_count]],0)</f>
        <v>40.063909774436091</v>
      </c>
      <c r="J964" t="s">
        <v>21</v>
      </c>
      <c r="K964" t="s">
        <v>22</v>
      </c>
      <c r="L964">
        <v>1384408800</v>
      </c>
      <c r="M964" s="9">
        <f>(((Table1[[#This Row],[launched_at]]/60)/60)/24)+DATE(1970,1,1)</f>
        <v>41592.25</v>
      </c>
      <c r="N964">
        <v>1386223200</v>
      </c>
      <c r="O964" s="9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LEFT(Table1[[#This Row],[category &amp; sub-category]],SEARCH("/",Table1[[#This Row],[category &amp; sub-category]],1)-1)</f>
        <v>food</v>
      </c>
      <c r="T964" t="str">
        <f>RIGHT(Table1[[#This Row],[category &amp; sub-category]],LEN(Table1[[#This Row],[category &amp; sub-category]])-SEARCH("/",Table1[[#This Row],[category &amp; sub-category]],1))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(Table1[[#This Row],[pledged]]/Table1[[#This Row],[goal]])*100</f>
        <v>84.694915254237287</v>
      </c>
      <c r="G965" t="s">
        <v>14</v>
      </c>
      <c r="H965">
        <v>114</v>
      </c>
      <c r="I965" s="4">
        <f>IFERROR(Table1[[#This Row],[pledged]]/Table1[[#This Row],[backers_count]],0)</f>
        <v>43.833333333333336</v>
      </c>
      <c r="J965" t="s">
        <v>107</v>
      </c>
      <c r="K965" t="s">
        <v>108</v>
      </c>
      <c r="L965">
        <v>1299304800</v>
      </c>
      <c r="M965" s="9">
        <f>(((Table1[[#This Row],[launched_at]]/60)/60)/24)+DATE(1970,1,1)</f>
        <v>40607.25</v>
      </c>
      <c r="N965">
        <v>1299823200</v>
      </c>
      <c r="O965" s="9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LEFT(Table1[[#This Row],[category &amp; sub-category]],SEARCH("/",Table1[[#This Row],[category &amp; sub-category]],1)-1)</f>
        <v>photography</v>
      </c>
      <c r="T965" t="str">
        <f>RIGHT(Table1[[#This Row],[category &amp; sub-category]],LEN(Table1[[#This Row],[category &amp; sub-category]])-SEARCH("/",Table1[[#This Row],[category &amp; sub-category]],1))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(Table1[[#This Row],[pledged]]/Table1[[#This Row],[goal]])*100</f>
        <v>355.7837837837838</v>
      </c>
      <c r="G966" t="s">
        <v>20</v>
      </c>
      <c r="H966">
        <v>155</v>
      </c>
      <c r="I966" s="4">
        <f>IFERROR(Table1[[#This Row],[pledged]]/Table1[[#This Row],[backers_count]],0)</f>
        <v>84.92903225806451</v>
      </c>
      <c r="J966" t="s">
        <v>21</v>
      </c>
      <c r="K966" t="s">
        <v>22</v>
      </c>
      <c r="L966">
        <v>1431320400</v>
      </c>
      <c r="M966" s="9">
        <f>(((Table1[[#This Row],[launched_at]]/60)/60)/24)+DATE(1970,1,1)</f>
        <v>42135.208333333328</v>
      </c>
      <c r="N966">
        <v>1431752400</v>
      </c>
      <c r="O966" s="9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LEFT(Table1[[#This Row],[category &amp; sub-category]],SEARCH("/",Table1[[#This Row],[category &amp; sub-category]],1)-1)</f>
        <v>theater</v>
      </c>
      <c r="T966" t="str">
        <f>RIGHT(Table1[[#This Row],[category &amp; sub-category]],LEN(Table1[[#This Row],[category &amp; sub-category]])-SEARCH("/",Table1[[#This Row],[category &amp; sub-category]],1))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(Table1[[#This Row],[pledged]]/Table1[[#This Row],[goal]])*100</f>
        <v>386.40909090909093</v>
      </c>
      <c r="G967" t="s">
        <v>20</v>
      </c>
      <c r="H967">
        <v>207</v>
      </c>
      <c r="I967" s="4">
        <f>IFERROR(Table1[[#This Row],[pledged]]/Table1[[#This Row],[backers_count]],0)</f>
        <v>41.067632850241544</v>
      </c>
      <c r="J967" t="s">
        <v>40</v>
      </c>
      <c r="K967" t="s">
        <v>41</v>
      </c>
      <c r="L967">
        <v>1264399200</v>
      </c>
      <c r="M967" s="9">
        <f>(((Table1[[#This Row],[launched_at]]/60)/60)/24)+DATE(1970,1,1)</f>
        <v>40203.25</v>
      </c>
      <c r="N967">
        <v>1267855200</v>
      </c>
      <c r="O967" s="9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LEFT(Table1[[#This Row],[category &amp; sub-category]],SEARCH("/",Table1[[#This Row],[category &amp; sub-category]],1)-1)</f>
        <v>music</v>
      </c>
      <c r="T967" t="str">
        <f>RIGHT(Table1[[#This Row],[category &amp; sub-category]],LEN(Table1[[#This Row],[category &amp; sub-category]])-SEARCH("/",Table1[[#This Row],[category &amp; sub-category]],1))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(Table1[[#This Row],[pledged]]/Table1[[#This Row],[goal]])*100</f>
        <v>792.23529411764707</v>
      </c>
      <c r="G968" t="s">
        <v>20</v>
      </c>
      <c r="H968">
        <v>245</v>
      </c>
      <c r="I968" s="4">
        <f>IFERROR(Table1[[#This Row],[pledged]]/Table1[[#This Row],[backers_count]],0)</f>
        <v>54.971428571428568</v>
      </c>
      <c r="J968" t="s">
        <v>21</v>
      </c>
      <c r="K968" t="s">
        <v>22</v>
      </c>
      <c r="L968">
        <v>1497502800</v>
      </c>
      <c r="M968" s="9">
        <f>(((Table1[[#This Row],[launched_at]]/60)/60)/24)+DATE(1970,1,1)</f>
        <v>42901.208333333328</v>
      </c>
      <c r="N968">
        <v>1497675600</v>
      </c>
      <c r="O968" s="9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LEFT(Table1[[#This Row],[category &amp; sub-category]],SEARCH("/",Table1[[#This Row],[category &amp; sub-category]],1)-1)</f>
        <v>theater</v>
      </c>
      <c r="T968" t="str">
        <f>RIGHT(Table1[[#This Row],[category &amp; sub-category]],LEN(Table1[[#This Row],[category &amp; sub-category]])-SEARCH("/",Table1[[#This Row],[category &amp; sub-category]],1))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(Table1[[#This Row],[pledged]]/Table1[[#This Row],[goal]])*100</f>
        <v>137.03393665158373</v>
      </c>
      <c r="G969" t="s">
        <v>20</v>
      </c>
      <c r="H969">
        <v>1573</v>
      </c>
      <c r="I969" s="4">
        <f>IFERROR(Table1[[#This Row],[pledged]]/Table1[[#This Row],[backers_count]],0)</f>
        <v>77.010807374443743</v>
      </c>
      <c r="J969" t="s">
        <v>21</v>
      </c>
      <c r="K969" t="s">
        <v>22</v>
      </c>
      <c r="L969">
        <v>1333688400</v>
      </c>
      <c r="M969" s="9">
        <f>(((Table1[[#This Row],[launched_at]]/60)/60)/24)+DATE(1970,1,1)</f>
        <v>41005.208333333336</v>
      </c>
      <c r="N969">
        <v>1336885200</v>
      </c>
      <c r="O969" s="9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LEFT(Table1[[#This Row],[category &amp; sub-category]],SEARCH("/",Table1[[#This Row],[category &amp; sub-category]],1)-1)</f>
        <v>music</v>
      </c>
      <c r="T969" t="str">
        <f>RIGHT(Table1[[#This Row],[category &amp; sub-category]],LEN(Table1[[#This Row],[category &amp; sub-category]])-SEARCH("/",Table1[[#This Row],[category &amp; sub-category]],1))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(Table1[[#This Row],[pledged]]/Table1[[#This Row],[goal]])*100</f>
        <v>338.20833333333337</v>
      </c>
      <c r="G970" t="s">
        <v>20</v>
      </c>
      <c r="H970">
        <v>114</v>
      </c>
      <c r="I970" s="4">
        <f>IFERROR(Table1[[#This Row],[pledged]]/Table1[[#This Row],[backers_count]],0)</f>
        <v>71.201754385964918</v>
      </c>
      <c r="J970" t="s">
        <v>21</v>
      </c>
      <c r="K970" t="s">
        <v>22</v>
      </c>
      <c r="L970">
        <v>1293861600</v>
      </c>
      <c r="M970" s="9">
        <f>(((Table1[[#This Row],[launched_at]]/60)/60)/24)+DATE(1970,1,1)</f>
        <v>40544.25</v>
      </c>
      <c r="N970">
        <v>1295157600</v>
      </c>
      <c r="O970" s="9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LEFT(Table1[[#This Row],[category &amp; sub-category]],SEARCH("/",Table1[[#This Row],[category &amp; sub-category]],1)-1)</f>
        <v>food</v>
      </c>
      <c r="T970" t="str">
        <f>RIGHT(Table1[[#This Row],[category &amp; sub-category]],LEN(Table1[[#This Row],[category &amp; sub-category]])-SEARCH("/",Table1[[#This Row],[category &amp; sub-category]],1))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(Table1[[#This Row],[pledged]]/Table1[[#This Row],[goal]])*100</f>
        <v>108.22784810126582</v>
      </c>
      <c r="G971" t="s">
        <v>20</v>
      </c>
      <c r="H971">
        <v>93</v>
      </c>
      <c r="I971" s="4">
        <f>IFERROR(Table1[[#This Row],[pledged]]/Table1[[#This Row],[backers_count]],0)</f>
        <v>91.935483870967744</v>
      </c>
      <c r="J971" t="s">
        <v>21</v>
      </c>
      <c r="K971" t="s">
        <v>22</v>
      </c>
      <c r="L971">
        <v>1576994400</v>
      </c>
      <c r="M971" s="9">
        <f>(((Table1[[#This Row],[launched_at]]/60)/60)/24)+DATE(1970,1,1)</f>
        <v>43821.25</v>
      </c>
      <c r="N971">
        <v>1577599200</v>
      </c>
      <c r="O971" s="9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LEFT(Table1[[#This Row],[category &amp; sub-category]],SEARCH("/",Table1[[#This Row],[category &amp; sub-category]],1)-1)</f>
        <v>theater</v>
      </c>
      <c r="T971" t="str">
        <f>RIGHT(Table1[[#This Row],[category &amp; sub-category]],LEN(Table1[[#This Row],[category &amp; sub-category]])-SEARCH("/",Table1[[#This Row],[category &amp; sub-category]],1))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(Table1[[#This Row],[pledged]]/Table1[[#This Row],[goal]])*100</f>
        <v>60.757639620653315</v>
      </c>
      <c r="G972" t="s">
        <v>14</v>
      </c>
      <c r="H972">
        <v>594</v>
      </c>
      <c r="I972" s="4">
        <f>IFERROR(Table1[[#This Row],[pledged]]/Table1[[#This Row],[backers_count]],0)</f>
        <v>97.069023569023571</v>
      </c>
      <c r="J972" t="s">
        <v>21</v>
      </c>
      <c r="K972" t="s">
        <v>22</v>
      </c>
      <c r="L972">
        <v>1304917200</v>
      </c>
      <c r="M972" s="9">
        <f>(((Table1[[#This Row],[launched_at]]/60)/60)/24)+DATE(1970,1,1)</f>
        <v>40672.208333333336</v>
      </c>
      <c r="N972">
        <v>1305003600</v>
      </c>
      <c r="O972" s="9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LEFT(Table1[[#This Row],[category &amp; sub-category]],SEARCH("/",Table1[[#This Row],[category &amp; sub-category]],1)-1)</f>
        <v>theater</v>
      </c>
      <c r="T972" t="str">
        <f>RIGHT(Table1[[#This Row],[category &amp; sub-category]],LEN(Table1[[#This Row],[category &amp; sub-category]])-SEARCH("/",Table1[[#This Row],[category &amp; sub-category]],1))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(Table1[[#This Row],[pledged]]/Table1[[#This Row],[goal]])*100</f>
        <v>27.725490196078432</v>
      </c>
      <c r="G973" t="s">
        <v>14</v>
      </c>
      <c r="H973">
        <v>24</v>
      </c>
      <c r="I973" s="4">
        <f>IFERROR(Table1[[#This Row],[pledged]]/Table1[[#This Row],[backers_count]],0)</f>
        <v>58.916666666666664</v>
      </c>
      <c r="J973" t="s">
        <v>21</v>
      </c>
      <c r="K973" t="s">
        <v>22</v>
      </c>
      <c r="L973">
        <v>1381208400</v>
      </c>
      <c r="M973" s="9">
        <f>(((Table1[[#This Row],[launched_at]]/60)/60)/24)+DATE(1970,1,1)</f>
        <v>41555.208333333336</v>
      </c>
      <c r="N973">
        <v>1381726800</v>
      </c>
      <c r="O973" s="9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LEFT(Table1[[#This Row],[category &amp; sub-category]],SEARCH("/",Table1[[#This Row],[category &amp; sub-category]],1)-1)</f>
        <v>film &amp; video</v>
      </c>
      <c r="T973" t="str">
        <f>RIGHT(Table1[[#This Row],[category &amp; sub-category]],LEN(Table1[[#This Row],[category &amp; sub-category]])-SEARCH("/",Table1[[#This Row],[category &amp; sub-category]],1))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(Table1[[#This Row],[pledged]]/Table1[[#This Row],[goal]])*100</f>
        <v>228.3934426229508</v>
      </c>
      <c r="G974" t="s">
        <v>20</v>
      </c>
      <c r="H974">
        <v>1681</v>
      </c>
      <c r="I974" s="4">
        <f>IFERROR(Table1[[#This Row],[pledged]]/Table1[[#This Row],[backers_count]],0)</f>
        <v>58.015466983938133</v>
      </c>
      <c r="J974" t="s">
        <v>21</v>
      </c>
      <c r="K974" t="s">
        <v>22</v>
      </c>
      <c r="L974">
        <v>1401685200</v>
      </c>
      <c r="M974" s="9">
        <f>(((Table1[[#This Row],[launched_at]]/60)/60)/24)+DATE(1970,1,1)</f>
        <v>41792.208333333336</v>
      </c>
      <c r="N974">
        <v>1402462800</v>
      </c>
      <c r="O974" s="9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LEFT(Table1[[#This Row],[category &amp; sub-category]],SEARCH("/",Table1[[#This Row],[category &amp; sub-category]],1)-1)</f>
        <v>technology</v>
      </c>
      <c r="T974" t="str">
        <f>RIGHT(Table1[[#This Row],[category &amp; sub-category]],LEN(Table1[[#This Row],[category &amp; sub-category]])-SEARCH("/",Table1[[#This Row],[category &amp; sub-category]],1))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(Table1[[#This Row],[pledged]]/Table1[[#This Row],[goal]])*100</f>
        <v>21.615194054500414</v>
      </c>
      <c r="G975" t="s">
        <v>14</v>
      </c>
      <c r="H975">
        <v>252</v>
      </c>
      <c r="I975" s="4">
        <f>IFERROR(Table1[[#This Row],[pledged]]/Table1[[#This Row],[backers_count]],0)</f>
        <v>103.87301587301587</v>
      </c>
      <c r="J975" t="s">
        <v>21</v>
      </c>
      <c r="K975" t="s">
        <v>22</v>
      </c>
      <c r="L975">
        <v>1291960800</v>
      </c>
      <c r="M975" s="9">
        <f>(((Table1[[#This Row],[launched_at]]/60)/60)/24)+DATE(1970,1,1)</f>
        <v>40522.25</v>
      </c>
      <c r="N975">
        <v>1292133600</v>
      </c>
      <c r="O975" s="9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LEFT(Table1[[#This Row],[category &amp; sub-category]],SEARCH("/",Table1[[#This Row],[category &amp; sub-category]],1)-1)</f>
        <v>theater</v>
      </c>
      <c r="T975" t="str">
        <f>RIGHT(Table1[[#This Row],[category &amp; sub-category]],LEN(Table1[[#This Row],[category &amp; sub-category]])-SEARCH("/",Table1[[#This Row],[category &amp; sub-category]],1))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(Table1[[#This Row],[pledged]]/Table1[[#This Row],[goal]])*100</f>
        <v>373.875</v>
      </c>
      <c r="G976" t="s">
        <v>20</v>
      </c>
      <c r="H976">
        <v>32</v>
      </c>
      <c r="I976" s="4">
        <f>IFERROR(Table1[[#This Row],[pledged]]/Table1[[#This Row],[backers_count]],0)</f>
        <v>93.46875</v>
      </c>
      <c r="J976" t="s">
        <v>21</v>
      </c>
      <c r="K976" t="s">
        <v>22</v>
      </c>
      <c r="L976">
        <v>1368853200</v>
      </c>
      <c r="M976" s="9">
        <f>(((Table1[[#This Row],[launched_at]]/60)/60)/24)+DATE(1970,1,1)</f>
        <v>41412.208333333336</v>
      </c>
      <c r="N976">
        <v>1368939600</v>
      </c>
      <c r="O976" s="9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LEFT(Table1[[#This Row],[category &amp; sub-category]],SEARCH("/",Table1[[#This Row],[category &amp; sub-category]],1)-1)</f>
        <v>music</v>
      </c>
      <c r="T976" t="str">
        <f>RIGHT(Table1[[#This Row],[category &amp; sub-category]],LEN(Table1[[#This Row],[category &amp; sub-category]])-SEARCH("/",Table1[[#This Row],[category &amp; sub-category]],1))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(Table1[[#This Row],[pledged]]/Table1[[#This Row],[goal]])*100</f>
        <v>154.92592592592592</v>
      </c>
      <c r="G977" t="s">
        <v>20</v>
      </c>
      <c r="H977">
        <v>135</v>
      </c>
      <c r="I977" s="4">
        <f>IFERROR(Table1[[#This Row],[pledged]]/Table1[[#This Row],[backers_count]],0)</f>
        <v>61.970370370370368</v>
      </c>
      <c r="J977" t="s">
        <v>21</v>
      </c>
      <c r="K977" t="s">
        <v>22</v>
      </c>
      <c r="L977">
        <v>1448776800</v>
      </c>
      <c r="M977" s="9">
        <f>(((Table1[[#This Row],[launched_at]]/60)/60)/24)+DATE(1970,1,1)</f>
        <v>42337.25</v>
      </c>
      <c r="N977">
        <v>1452146400</v>
      </c>
      <c r="O977" s="9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LEFT(Table1[[#This Row],[category &amp; sub-category]],SEARCH("/",Table1[[#This Row],[category &amp; sub-category]],1)-1)</f>
        <v>theater</v>
      </c>
      <c r="T977" t="str">
        <f>RIGHT(Table1[[#This Row],[category &amp; sub-category]],LEN(Table1[[#This Row],[category &amp; sub-category]])-SEARCH("/",Table1[[#This Row],[category &amp; sub-category]],1))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(Table1[[#This Row],[pledged]]/Table1[[#This Row],[goal]])*100</f>
        <v>322.14999999999998</v>
      </c>
      <c r="G978" t="s">
        <v>20</v>
      </c>
      <c r="H978">
        <v>140</v>
      </c>
      <c r="I978" s="4">
        <f>IFERROR(Table1[[#This Row],[pledged]]/Table1[[#This Row],[backers_count]],0)</f>
        <v>92.042857142857144</v>
      </c>
      <c r="J978" t="s">
        <v>21</v>
      </c>
      <c r="K978" t="s">
        <v>22</v>
      </c>
      <c r="L978">
        <v>1296194400</v>
      </c>
      <c r="M978" s="9">
        <f>(((Table1[[#This Row],[launched_at]]/60)/60)/24)+DATE(1970,1,1)</f>
        <v>40571.25</v>
      </c>
      <c r="N978">
        <v>1296712800</v>
      </c>
      <c r="O978" s="9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LEFT(Table1[[#This Row],[category &amp; sub-category]],SEARCH("/",Table1[[#This Row],[category &amp; sub-category]],1)-1)</f>
        <v>theater</v>
      </c>
      <c r="T978" t="str">
        <f>RIGHT(Table1[[#This Row],[category &amp; sub-category]],LEN(Table1[[#This Row],[category &amp; sub-category]])-SEARCH("/",Table1[[#This Row],[category &amp; sub-category]],1))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(Table1[[#This Row],[pledged]]/Table1[[#This Row],[goal]])*100</f>
        <v>73.957142857142856</v>
      </c>
      <c r="G979" t="s">
        <v>14</v>
      </c>
      <c r="H979">
        <v>67</v>
      </c>
      <c r="I979" s="4">
        <f>IFERROR(Table1[[#This Row],[pledged]]/Table1[[#This Row],[backers_count]],0)</f>
        <v>77.268656716417908</v>
      </c>
      <c r="J979" t="s">
        <v>21</v>
      </c>
      <c r="K979" t="s">
        <v>22</v>
      </c>
      <c r="L979">
        <v>1517983200</v>
      </c>
      <c r="M979" s="9">
        <f>(((Table1[[#This Row],[launched_at]]/60)/60)/24)+DATE(1970,1,1)</f>
        <v>43138.25</v>
      </c>
      <c r="N979">
        <v>1520748000</v>
      </c>
      <c r="O979" s="9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LEFT(Table1[[#This Row],[category &amp; sub-category]],SEARCH("/",Table1[[#This Row],[category &amp; sub-category]],1)-1)</f>
        <v>food</v>
      </c>
      <c r="T979" t="str">
        <f>RIGHT(Table1[[#This Row],[category &amp; sub-category]],LEN(Table1[[#This Row],[category &amp; sub-category]])-SEARCH("/",Table1[[#This Row],[category &amp; sub-category]],1))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(Table1[[#This Row],[pledged]]/Table1[[#This Row],[goal]])*100</f>
        <v>864.1</v>
      </c>
      <c r="G980" t="s">
        <v>20</v>
      </c>
      <c r="H980">
        <v>92</v>
      </c>
      <c r="I980" s="4">
        <f>IFERROR(Table1[[#This Row],[pledged]]/Table1[[#This Row],[backers_count]],0)</f>
        <v>93.923913043478265</v>
      </c>
      <c r="J980" t="s">
        <v>21</v>
      </c>
      <c r="K980" t="s">
        <v>22</v>
      </c>
      <c r="L980">
        <v>1478930400</v>
      </c>
      <c r="M980" s="9">
        <f>(((Table1[[#This Row],[launched_at]]/60)/60)/24)+DATE(1970,1,1)</f>
        <v>42686.25</v>
      </c>
      <c r="N980">
        <v>1480831200</v>
      </c>
      <c r="O980" s="9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LEFT(Table1[[#This Row],[category &amp; sub-category]],SEARCH("/",Table1[[#This Row],[category &amp; sub-category]],1)-1)</f>
        <v>games</v>
      </c>
      <c r="T980" t="str">
        <f>RIGHT(Table1[[#This Row],[category &amp; sub-category]],LEN(Table1[[#This Row],[category &amp; sub-category]])-SEARCH("/",Table1[[#This Row],[category &amp; sub-category]],1))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(Table1[[#This Row],[pledged]]/Table1[[#This Row],[goal]])*100</f>
        <v>143.26245847176079</v>
      </c>
      <c r="G981" t="s">
        <v>20</v>
      </c>
      <c r="H981">
        <v>1015</v>
      </c>
      <c r="I981" s="4">
        <f>IFERROR(Table1[[#This Row],[pledged]]/Table1[[#This Row],[backers_count]],0)</f>
        <v>84.969458128078813</v>
      </c>
      <c r="J981" t="s">
        <v>40</v>
      </c>
      <c r="K981" t="s">
        <v>41</v>
      </c>
      <c r="L981">
        <v>1426395600</v>
      </c>
      <c r="M981" s="9">
        <f>(((Table1[[#This Row],[launched_at]]/60)/60)/24)+DATE(1970,1,1)</f>
        <v>42078.208333333328</v>
      </c>
      <c r="N981">
        <v>1426914000</v>
      </c>
      <c r="O981" s="9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LEFT(Table1[[#This Row],[category &amp; sub-category]],SEARCH("/",Table1[[#This Row],[category &amp; sub-category]],1)-1)</f>
        <v>theater</v>
      </c>
      <c r="T981" t="str">
        <f>RIGHT(Table1[[#This Row],[category &amp; sub-category]],LEN(Table1[[#This Row],[category &amp; sub-category]])-SEARCH("/",Table1[[#This Row],[category &amp; sub-category]],1))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(Table1[[#This Row],[pledged]]/Table1[[#This Row],[goal]])*100</f>
        <v>40.281762295081968</v>
      </c>
      <c r="G982" t="s">
        <v>14</v>
      </c>
      <c r="H982">
        <v>742</v>
      </c>
      <c r="I982" s="4">
        <f>IFERROR(Table1[[#This Row],[pledged]]/Table1[[#This Row],[backers_count]],0)</f>
        <v>105.97035040431267</v>
      </c>
      <c r="J982" t="s">
        <v>21</v>
      </c>
      <c r="K982" t="s">
        <v>22</v>
      </c>
      <c r="L982">
        <v>1446181200</v>
      </c>
      <c r="M982" s="9">
        <f>(((Table1[[#This Row],[launched_at]]/60)/60)/24)+DATE(1970,1,1)</f>
        <v>42307.208333333328</v>
      </c>
      <c r="N982">
        <v>1446616800</v>
      </c>
      <c r="O982" s="9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LEFT(Table1[[#This Row],[category &amp; sub-category]],SEARCH("/",Table1[[#This Row],[category &amp; sub-category]],1)-1)</f>
        <v>publishing</v>
      </c>
      <c r="T982" t="str">
        <f>RIGHT(Table1[[#This Row],[category &amp; sub-category]],LEN(Table1[[#This Row],[category &amp; sub-category]])-SEARCH("/",Table1[[#This Row],[category &amp; sub-category]],1))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(Table1[[#This Row],[pledged]]/Table1[[#This Row],[goal]])*100</f>
        <v>178.22388059701493</v>
      </c>
      <c r="G983" t="s">
        <v>20</v>
      </c>
      <c r="H983">
        <v>323</v>
      </c>
      <c r="I983" s="4">
        <f>IFERROR(Table1[[#This Row],[pledged]]/Table1[[#This Row],[backers_count]],0)</f>
        <v>36.969040247678016</v>
      </c>
      <c r="J983" t="s">
        <v>21</v>
      </c>
      <c r="K983" t="s">
        <v>22</v>
      </c>
      <c r="L983">
        <v>1514181600</v>
      </c>
      <c r="M983" s="9">
        <f>(((Table1[[#This Row],[launched_at]]/60)/60)/24)+DATE(1970,1,1)</f>
        <v>43094.25</v>
      </c>
      <c r="N983">
        <v>1517032800</v>
      </c>
      <c r="O983" s="9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LEFT(Table1[[#This Row],[category &amp; sub-category]],SEARCH("/",Table1[[#This Row],[category &amp; sub-category]],1)-1)</f>
        <v>technology</v>
      </c>
      <c r="T983" t="str">
        <f>RIGHT(Table1[[#This Row],[category &amp; sub-category]],LEN(Table1[[#This Row],[category &amp; sub-category]])-SEARCH("/",Table1[[#This Row],[category &amp; sub-category]],1))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(Table1[[#This Row],[pledged]]/Table1[[#This Row],[goal]])*100</f>
        <v>84.930555555555557</v>
      </c>
      <c r="G984" t="s">
        <v>14</v>
      </c>
      <c r="H984">
        <v>75</v>
      </c>
      <c r="I984" s="4">
        <f>IFERROR(Table1[[#This Row],[pledged]]/Table1[[#This Row],[backers_count]],0)</f>
        <v>81.533333333333331</v>
      </c>
      <c r="J984" t="s">
        <v>21</v>
      </c>
      <c r="K984" t="s">
        <v>22</v>
      </c>
      <c r="L984">
        <v>1311051600</v>
      </c>
      <c r="M984" s="9">
        <f>(((Table1[[#This Row],[launched_at]]/60)/60)/24)+DATE(1970,1,1)</f>
        <v>40743.208333333336</v>
      </c>
      <c r="N984">
        <v>1311224400</v>
      </c>
      <c r="O984" s="9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LEFT(Table1[[#This Row],[category &amp; sub-category]],SEARCH("/",Table1[[#This Row],[category &amp; sub-category]],1)-1)</f>
        <v>film &amp; video</v>
      </c>
      <c r="T984" t="str">
        <f>RIGHT(Table1[[#This Row],[category &amp; sub-category]],LEN(Table1[[#This Row],[category &amp; sub-category]])-SEARCH("/",Table1[[#This Row],[category &amp; sub-category]],1))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(Table1[[#This Row],[pledged]]/Table1[[#This Row],[goal]])*100</f>
        <v>145.93648334624322</v>
      </c>
      <c r="G985" t="s">
        <v>20</v>
      </c>
      <c r="H985">
        <v>2326</v>
      </c>
      <c r="I985" s="4">
        <f>IFERROR(Table1[[#This Row],[pledged]]/Table1[[#This Row],[backers_count]],0)</f>
        <v>80.999140154772135</v>
      </c>
      <c r="J985" t="s">
        <v>21</v>
      </c>
      <c r="K985" t="s">
        <v>22</v>
      </c>
      <c r="L985">
        <v>1564894800</v>
      </c>
      <c r="M985" s="9">
        <f>(((Table1[[#This Row],[launched_at]]/60)/60)/24)+DATE(1970,1,1)</f>
        <v>43681.208333333328</v>
      </c>
      <c r="N985">
        <v>1566190800</v>
      </c>
      <c r="O985" s="9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LEFT(Table1[[#This Row],[category &amp; sub-category]],SEARCH("/",Table1[[#This Row],[category &amp; sub-category]],1)-1)</f>
        <v>film &amp; video</v>
      </c>
      <c r="T985" t="str">
        <f>RIGHT(Table1[[#This Row],[category &amp; sub-category]],LEN(Table1[[#This Row],[category &amp; sub-category]])-SEARCH("/",Table1[[#This Row],[category &amp; sub-category]],1))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(Table1[[#This Row],[pledged]]/Table1[[#This Row],[goal]])*100</f>
        <v>152.46153846153848</v>
      </c>
      <c r="G986" t="s">
        <v>20</v>
      </c>
      <c r="H986">
        <v>381</v>
      </c>
      <c r="I986" s="4">
        <f>IFERROR(Table1[[#This Row],[pledged]]/Table1[[#This Row],[backers_count]],0)</f>
        <v>26.010498687664043</v>
      </c>
      <c r="J986" t="s">
        <v>21</v>
      </c>
      <c r="K986" t="s">
        <v>22</v>
      </c>
      <c r="L986">
        <v>1567918800</v>
      </c>
      <c r="M986" s="9">
        <f>(((Table1[[#This Row],[launched_at]]/60)/60)/24)+DATE(1970,1,1)</f>
        <v>43716.208333333328</v>
      </c>
      <c r="N986">
        <v>1570165200</v>
      </c>
      <c r="O986" s="9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LEFT(Table1[[#This Row],[category &amp; sub-category]],SEARCH("/",Table1[[#This Row],[category &amp; sub-category]],1)-1)</f>
        <v>theater</v>
      </c>
      <c r="T986" t="str">
        <f>RIGHT(Table1[[#This Row],[category &amp; sub-category]],LEN(Table1[[#This Row],[category &amp; sub-category]])-SEARCH("/",Table1[[#This Row],[category &amp; sub-category]],1))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(Table1[[#This Row],[pledged]]/Table1[[#This Row],[goal]])*100</f>
        <v>67.129542790152414</v>
      </c>
      <c r="G987" t="s">
        <v>14</v>
      </c>
      <c r="H987">
        <v>4405</v>
      </c>
      <c r="I987" s="4">
        <f>IFERROR(Table1[[#This Row],[pledged]]/Table1[[#This Row],[backers_count]],0)</f>
        <v>25.998410896708286</v>
      </c>
      <c r="J987" t="s">
        <v>21</v>
      </c>
      <c r="K987" t="s">
        <v>22</v>
      </c>
      <c r="L987">
        <v>1386309600</v>
      </c>
      <c r="M987" s="9">
        <f>(((Table1[[#This Row],[launched_at]]/60)/60)/24)+DATE(1970,1,1)</f>
        <v>41614.25</v>
      </c>
      <c r="N987">
        <v>1388556000</v>
      </c>
      <c r="O987" s="9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LEFT(Table1[[#This Row],[category &amp; sub-category]],SEARCH("/",Table1[[#This Row],[category &amp; sub-category]],1)-1)</f>
        <v>music</v>
      </c>
      <c r="T987" t="str">
        <f>RIGHT(Table1[[#This Row],[category &amp; sub-category]],LEN(Table1[[#This Row],[category &amp; sub-category]])-SEARCH("/",Table1[[#This Row],[category &amp; sub-category]],1))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(Table1[[#This Row],[pledged]]/Table1[[#This Row],[goal]])*100</f>
        <v>40.307692307692307</v>
      </c>
      <c r="G988" t="s">
        <v>14</v>
      </c>
      <c r="H988">
        <v>92</v>
      </c>
      <c r="I988" s="4">
        <f>IFERROR(Table1[[#This Row],[pledged]]/Table1[[#This Row],[backers_count]],0)</f>
        <v>34.173913043478258</v>
      </c>
      <c r="J988" t="s">
        <v>21</v>
      </c>
      <c r="K988" t="s">
        <v>22</v>
      </c>
      <c r="L988">
        <v>1301979600</v>
      </c>
      <c r="M988" s="9">
        <f>(((Table1[[#This Row],[launched_at]]/60)/60)/24)+DATE(1970,1,1)</f>
        <v>40638.208333333336</v>
      </c>
      <c r="N988">
        <v>1303189200</v>
      </c>
      <c r="O988" s="9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LEFT(Table1[[#This Row],[category &amp; sub-category]],SEARCH("/",Table1[[#This Row],[category &amp; sub-category]],1)-1)</f>
        <v>music</v>
      </c>
      <c r="T988" t="str">
        <f>RIGHT(Table1[[#This Row],[category &amp; sub-category]],LEN(Table1[[#This Row],[category &amp; sub-category]])-SEARCH("/",Table1[[#This Row],[category &amp; sub-category]],1))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(Table1[[#This Row],[pledged]]/Table1[[#This Row],[goal]])*100</f>
        <v>216.79032258064518</v>
      </c>
      <c r="G989" t="s">
        <v>20</v>
      </c>
      <c r="H989">
        <v>480</v>
      </c>
      <c r="I989" s="4">
        <f>IFERROR(Table1[[#This Row],[pledged]]/Table1[[#This Row],[backers_count]],0)</f>
        <v>28.002083333333335</v>
      </c>
      <c r="J989" t="s">
        <v>21</v>
      </c>
      <c r="K989" t="s">
        <v>22</v>
      </c>
      <c r="L989">
        <v>1493269200</v>
      </c>
      <c r="M989" s="9">
        <f>(((Table1[[#This Row],[launched_at]]/60)/60)/24)+DATE(1970,1,1)</f>
        <v>42852.208333333328</v>
      </c>
      <c r="N989">
        <v>1494478800</v>
      </c>
      <c r="O989" s="9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LEFT(Table1[[#This Row],[category &amp; sub-category]],SEARCH("/",Table1[[#This Row],[category &amp; sub-category]],1)-1)</f>
        <v>film &amp; video</v>
      </c>
      <c r="T989" t="str">
        <f>RIGHT(Table1[[#This Row],[category &amp; sub-category]],LEN(Table1[[#This Row],[category &amp; sub-category]])-SEARCH("/",Table1[[#This Row],[category &amp; sub-category]],1))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(Table1[[#This Row],[pledged]]/Table1[[#This Row],[goal]])*100</f>
        <v>52.117021276595743</v>
      </c>
      <c r="G990" t="s">
        <v>14</v>
      </c>
      <c r="H990">
        <v>64</v>
      </c>
      <c r="I990" s="4">
        <f>IFERROR(Table1[[#This Row],[pledged]]/Table1[[#This Row],[backers_count]],0)</f>
        <v>76.546875</v>
      </c>
      <c r="J990" t="s">
        <v>21</v>
      </c>
      <c r="K990" t="s">
        <v>22</v>
      </c>
      <c r="L990">
        <v>1478930400</v>
      </c>
      <c r="M990" s="9">
        <f>(((Table1[[#This Row],[launched_at]]/60)/60)/24)+DATE(1970,1,1)</f>
        <v>42686.25</v>
      </c>
      <c r="N990">
        <v>1480744800</v>
      </c>
      <c r="O990" s="9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LEFT(Table1[[#This Row],[category &amp; sub-category]],SEARCH("/",Table1[[#This Row],[category &amp; sub-category]],1)-1)</f>
        <v>publishing</v>
      </c>
      <c r="T990" t="str">
        <f>RIGHT(Table1[[#This Row],[category &amp; sub-category]],LEN(Table1[[#This Row],[category &amp; sub-category]])-SEARCH("/",Table1[[#This Row],[category &amp; sub-category]],1))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(Table1[[#This Row],[pledged]]/Table1[[#This Row],[goal]])*100</f>
        <v>499.58333333333337</v>
      </c>
      <c r="G991" t="s">
        <v>20</v>
      </c>
      <c r="H991">
        <v>226</v>
      </c>
      <c r="I991" s="4">
        <f>IFERROR(Table1[[#This Row],[pledged]]/Table1[[#This Row],[backers_count]],0)</f>
        <v>53.053097345132741</v>
      </c>
      <c r="J991" t="s">
        <v>21</v>
      </c>
      <c r="K991" t="s">
        <v>22</v>
      </c>
      <c r="L991">
        <v>1555390800</v>
      </c>
      <c r="M991" s="9">
        <f>(((Table1[[#This Row],[launched_at]]/60)/60)/24)+DATE(1970,1,1)</f>
        <v>43571.208333333328</v>
      </c>
      <c r="N991">
        <v>1555822800</v>
      </c>
      <c r="O991" s="9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LEFT(Table1[[#This Row],[category &amp; sub-category]],SEARCH("/",Table1[[#This Row],[category &amp; sub-category]],1)-1)</f>
        <v>publishing</v>
      </c>
      <c r="T991" t="str">
        <f>RIGHT(Table1[[#This Row],[category &amp; sub-category]],LEN(Table1[[#This Row],[category &amp; sub-category]])-SEARCH("/",Table1[[#This Row],[category &amp; sub-category]],1))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(Table1[[#This Row],[pledged]]/Table1[[#This Row],[goal]])*100</f>
        <v>87.679487179487182</v>
      </c>
      <c r="G992" t="s">
        <v>14</v>
      </c>
      <c r="H992">
        <v>64</v>
      </c>
      <c r="I992" s="4">
        <f>IFERROR(Table1[[#This Row],[pledged]]/Table1[[#This Row],[backers_count]],0)</f>
        <v>106.859375</v>
      </c>
      <c r="J992" t="s">
        <v>21</v>
      </c>
      <c r="K992" t="s">
        <v>22</v>
      </c>
      <c r="L992">
        <v>1456984800</v>
      </c>
      <c r="M992" s="9">
        <f>(((Table1[[#This Row],[launched_at]]/60)/60)/24)+DATE(1970,1,1)</f>
        <v>42432.25</v>
      </c>
      <c r="N992">
        <v>1458882000</v>
      </c>
      <c r="O992" s="9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LEFT(Table1[[#This Row],[category &amp; sub-category]],SEARCH("/",Table1[[#This Row],[category &amp; sub-category]],1)-1)</f>
        <v>film &amp; video</v>
      </c>
      <c r="T992" t="str">
        <f>RIGHT(Table1[[#This Row],[category &amp; sub-category]],LEN(Table1[[#This Row],[category &amp; sub-category]])-SEARCH("/",Table1[[#This Row],[category &amp; sub-category]],1))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(Table1[[#This Row],[pledged]]/Table1[[#This Row],[goal]])*100</f>
        <v>113.17346938775511</v>
      </c>
      <c r="G993" t="s">
        <v>20</v>
      </c>
      <c r="H993">
        <v>241</v>
      </c>
      <c r="I993" s="4">
        <f>IFERROR(Table1[[#This Row],[pledged]]/Table1[[#This Row],[backers_count]],0)</f>
        <v>46.020746887966808</v>
      </c>
      <c r="J993" t="s">
        <v>21</v>
      </c>
      <c r="K993" t="s">
        <v>22</v>
      </c>
      <c r="L993">
        <v>1411621200</v>
      </c>
      <c r="M993" s="9">
        <f>(((Table1[[#This Row],[launched_at]]/60)/60)/24)+DATE(1970,1,1)</f>
        <v>41907.208333333336</v>
      </c>
      <c r="N993">
        <v>1411966800</v>
      </c>
      <c r="O993" s="9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LEFT(Table1[[#This Row],[category &amp; sub-category]],SEARCH("/",Table1[[#This Row],[category &amp; sub-category]],1)-1)</f>
        <v>music</v>
      </c>
      <c r="T993" t="str">
        <f>RIGHT(Table1[[#This Row],[category &amp; sub-category]],LEN(Table1[[#This Row],[category &amp; sub-category]])-SEARCH("/",Table1[[#This Row],[category &amp; sub-category]],1))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(Table1[[#This Row],[pledged]]/Table1[[#This Row],[goal]])*100</f>
        <v>426.54838709677421</v>
      </c>
      <c r="G994" t="s">
        <v>20</v>
      </c>
      <c r="H994">
        <v>132</v>
      </c>
      <c r="I994" s="4">
        <f>IFERROR(Table1[[#This Row],[pledged]]/Table1[[#This Row],[backers_count]],0)</f>
        <v>100.17424242424242</v>
      </c>
      <c r="J994" t="s">
        <v>21</v>
      </c>
      <c r="K994" t="s">
        <v>22</v>
      </c>
      <c r="L994">
        <v>1525669200</v>
      </c>
      <c r="M994" s="9">
        <f>(((Table1[[#This Row],[launched_at]]/60)/60)/24)+DATE(1970,1,1)</f>
        <v>43227.208333333328</v>
      </c>
      <c r="N994">
        <v>1526878800</v>
      </c>
      <c r="O994" s="9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LEFT(Table1[[#This Row],[category &amp; sub-category]],SEARCH("/",Table1[[#This Row],[category &amp; sub-category]],1)-1)</f>
        <v>film &amp; video</v>
      </c>
      <c r="T994" t="str">
        <f>RIGHT(Table1[[#This Row],[category &amp; sub-category]],LEN(Table1[[#This Row],[category &amp; sub-category]])-SEARCH("/",Table1[[#This Row],[category &amp; sub-category]],1))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(Table1[[#This Row],[pledged]]/Table1[[#This Row],[goal]])*100</f>
        <v>77.632653061224488</v>
      </c>
      <c r="G995" t="s">
        <v>74</v>
      </c>
      <c r="H995">
        <v>75</v>
      </c>
      <c r="I995" s="4">
        <f>IFERROR(Table1[[#This Row],[pledged]]/Table1[[#This Row],[backers_count]],0)</f>
        <v>101.44</v>
      </c>
      <c r="J995" t="s">
        <v>107</v>
      </c>
      <c r="K995" t="s">
        <v>108</v>
      </c>
      <c r="L995">
        <v>1450936800</v>
      </c>
      <c r="M995" s="9">
        <f>(((Table1[[#This Row],[launched_at]]/60)/60)/24)+DATE(1970,1,1)</f>
        <v>42362.25</v>
      </c>
      <c r="N995">
        <v>1452405600</v>
      </c>
      <c r="O995" s="9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LEFT(Table1[[#This Row],[category &amp; sub-category]],SEARCH("/",Table1[[#This Row],[category &amp; sub-category]],1)-1)</f>
        <v>photography</v>
      </c>
      <c r="T995" t="str">
        <f>RIGHT(Table1[[#This Row],[category &amp; sub-category]],LEN(Table1[[#This Row],[category &amp; sub-category]])-SEARCH("/",Table1[[#This Row],[category &amp; sub-category]],1))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(Table1[[#This Row],[pledged]]/Table1[[#This Row],[goal]])*100</f>
        <v>52.496810772501767</v>
      </c>
      <c r="G996" t="s">
        <v>14</v>
      </c>
      <c r="H996">
        <v>842</v>
      </c>
      <c r="I996" s="4">
        <f>IFERROR(Table1[[#This Row],[pledged]]/Table1[[#This Row],[backers_count]],0)</f>
        <v>87.972684085510693</v>
      </c>
      <c r="J996" t="s">
        <v>21</v>
      </c>
      <c r="K996" t="s">
        <v>22</v>
      </c>
      <c r="L996">
        <v>1413522000</v>
      </c>
      <c r="M996" s="9">
        <f>(((Table1[[#This Row],[launched_at]]/60)/60)/24)+DATE(1970,1,1)</f>
        <v>41929.208333333336</v>
      </c>
      <c r="N996">
        <v>1414040400</v>
      </c>
      <c r="O996" s="9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LEFT(Table1[[#This Row],[category &amp; sub-category]],SEARCH("/",Table1[[#This Row],[category &amp; sub-category]],1)-1)</f>
        <v>publishing</v>
      </c>
      <c r="T996" t="str">
        <f>RIGHT(Table1[[#This Row],[category &amp; sub-category]],LEN(Table1[[#This Row],[category &amp; sub-category]])-SEARCH("/",Table1[[#This Row],[category &amp; sub-category]],1))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(Table1[[#This Row],[pledged]]/Table1[[#This Row],[goal]])*100</f>
        <v>157.46762589928059</v>
      </c>
      <c r="G997" t="s">
        <v>20</v>
      </c>
      <c r="H997">
        <v>2043</v>
      </c>
      <c r="I997" s="4">
        <f>IFERROR(Table1[[#This Row],[pledged]]/Table1[[#This Row],[backers_count]],0)</f>
        <v>74.995594713656388</v>
      </c>
      <c r="J997" t="s">
        <v>21</v>
      </c>
      <c r="K997" t="s">
        <v>22</v>
      </c>
      <c r="L997">
        <v>1541307600</v>
      </c>
      <c r="M997" s="9">
        <f>(((Table1[[#This Row],[launched_at]]/60)/60)/24)+DATE(1970,1,1)</f>
        <v>43408.208333333328</v>
      </c>
      <c r="N997">
        <v>1543816800</v>
      </c>
      <c r="O997" s="9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LEFT(Table1[[#This Row],[category &amp; sub-category]],SEARCH("/",Table1[[#This Row],[category &amp; sub-category]],1)-1)</f>
        <v>food</v>
      </c>
      <c r="T997" t="str">
        <f>RIGHT(Table1[[#This Row],[category &amp; sub-category]],LEN(Table1[[#This Row],[category &amp; sub-category]])-SEARCH("/",Table1[[#This Row],[category &amp; sub-category]],1))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(Table1[[#This Row],[pledged]]/Table1[[#This Row],[goal]])*100</f>
        <v>72.939393939393938</v>
      </c>
      <c r="G998" t="s">
        <v>14</v>
      </c>
      <c r="H998">
        <v>112</v>
      </c>
      <c r="I998" s="4">
        <f>IFERROR(Table1[[#This Row],[pledged]]/Table1[[#This Row],[backers_count]],0)</f>
        <v>42.982142857142854</v>
      </c>
      <c r="J998" t="s">
        <v>21</v>
      </c>
      <c r="K998" t="s">
        <v>22</v>
      </c>
      <c r="L998">
        <v>1357106400</v>
      </c>
      <c r="M998" s="9">
        <f>(((Table1[[#This Row],[launched_at]]/60)/60)/24)+DATE(1970,1,1)</f>
        <v>41276.25</v>
      </c>
      <c r="N998">
        <v>1359698400</v>
      </c>
      <c r="O998" s="9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LEFT(Table1[[#This Row],[category &amp; sub-category]],SEARCH("/",Table1[[#This Row],[category &amp; sub-category]],1)-1)</f>
        <v>theater</v>
      </c>
      <c r="T998" t="str">
        <f>RIGHT(Table1[[#This Row],[category &amp; sub-category]],LEN(Table1[[#This Row],[category &amp; sub-category]])-SEARCH("/",Table1[[#This Row],[category &amp; sub-category]],1))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(Table1[[#This Row],[pledged]]/Table1[[#This Row],[goal]])*100</f>
        <v>60.565789473684205</v>
      </c>
      <c r="G999" t="s">
        <v>74</v>
      </c>
      <c r="H999">
        <v>139</v>
      </c>
      <c r="I999" s="4">
        <f>IFERROR(Table1[[#This Row],[pledged]]/Table1[[#This Row],[backers_count]],0)</f>
        <v>33.115107913669064</v>
      </c>
      <c r="J999" t="s">
        <v>107</v>
      </c>
      <c r="K999" t="s">
        <v>108</v>
      </c>
      <c r="L999">
        <v>1390197600</v>
      </c>
      <c r="M999" s="9">
        <f>(((Table1[[#This Row],[launched_at]]/60)/60)/24)+DATE(1970,1,1)</f>
        <v>41659.25</v>
      </c>
      <c r="N999">
        <v>1390629600</v>
      </c>
      <c r="O999" s="9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LEFT(Table1[[#This Row],[category &amp; sub-category]],SEARCH("/",Table1[[#This Row],[category &amp; sub-category]],1)-1)</f>
        <v>theater</v>
      </c>
      <c r="T999" t="str">
        <f>RIGHT(Table1[[#This Row],[category &amp; sub-category]],LEN(Table1[[#This Row],[category &amp; sub-category]])-SEARCH("/",Table1[[#This Row],[category &amp; sub-category]],1))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(Table1[[#This Row],[pledged]]/Table1[[#This Row],[goal]])*100</f>
        <v>56.791291291291287</v>
      </c>
      <c r="G1000" t="s">
        <v>14</v>
      </c>
      <c r="H1000">
        <v>374</v>
      </c>
      <c r="I1000" s="4">
        <f>IFERROR(Table1[[#This Row],[pledged]]/Table1[[#This Row],[backers_count]],0)</f>
        <v>101.13101604278074</v>
      </c>
      <c r="J1000" t="s">
        <v>21</v>
      </c>
      <c r="K1000" t="s">
        <v>22</v>
      </c>
      <c r="L1000">
        <v>1265868000</v>
      </c>
      <c r="M1000" s="9">
        <f>(((Table1[[#This Row],[launched_at]]/60)/60)/24)+DATE(1970,1,1)</f>
        <v>40220.25</v>
      </c>
      <c r="N1000">
        <v>1267077600</v>
      </c>
      <c r="O1000" s="9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LEFT(Table1[[#This Row],[category &amp; sub-category]],SEARCH("/",Table1[[#This Row],[category &amp; sub-category]],1)-1)</f>
        <v>music</v>
      </c>
      <c r="T1000" t="str">
        <f>RIGHT(Table1[[#This Row],[category &amp; sub-category]],LEN(Table1[[#This Row],[category &amp; sub-category]])-SEARCH("/",Table1[[#This Row],[category &amp; sub-category]],1))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(Table1[[#This Row],[pledged]]/Table1[[#This Row],[goal]])*100</f>
        <v>56.542754275427541</v>
      </c>
      <c r="G1001" t="s">
        <v>74</v>
      </c>
      <c r="H1001">
        <v>1122</v>
      </c>
      <c r="I1001" s="4">
        <f>IFERROR(Table1[[#This Row],[pledged]]/Table1[[#This Row],[backers_count]],0)</f>
        <v>55.98841354723708</v>
      </c>
      <c r="J1001" t="s">
        <v>21</v>
      </c>
      <c r="K1001" t="s">
        <v>22</v>
      </c>
      <c r="L1001">
        <v>1467176400</v>
      </c>
      <c r="M1001" s="9">
        <f>(((Table1[[#This Row],[launched_at]]/60)/60)/24)+DATE(1970,1,1)</f>
        <v>42550.208333333328</v>
      </c>
      <c r="N1001">
        <v>1467781200</v>
      </c>
      <c r="O1001" s="9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LEFT(Table1[[#This Row],[category &amp; sub-category]],SEARCH("/",Table1[[#This Row],[category &amp; sub-category]],1)-1)</f>
        <v>food</v>
      </c>
      <c r="T1001" t="str">
        <f>RIGHT(Table1[[#This Row],[category &amp; sub-category]],LEN(Table1[[#This Row],[category &amp; sub-category]])-SEARCH("/",Table1[[#This Row],[category &amp; sub-category]],1))</f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ellIs" dxfId="3" priority="4" operator="equal">
      <formula>"successful"</formula>
    </cfRule>
    <cfRule type="cellIs" dxfId="2" priority="5" operator="equal">
      <formula>"failed"</formula>
    </cfRule>
    <cfRule type="cellIs" dxfId="1" priority="6" operator="equal">
      <formula>"canceled"</formula>
    </cfRule>
  </conditionalFormatting>
  <conditionalFormatting sqref="G2:G1001">
    <cfRule type="cellIs" dxfId="0" priority="3" operator="equal">
      <formula>"live"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AD47-EDA7-4239-B9B7-B6A3103E5ADA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2033</v>
      </c>
    </row>
    <row r="3" spans="1:6" x14ac:dyDescent="0.25">
      <c r="A3" s="6" t="s">
        <v>2046</v>
      </c>
      <c r="B3" s="6" t="s">
        <v>2034</v>
      </c>
    </row>
    <row r="4" spans="1:6" x14ac:dyDescent="0.25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E45A-F289-4220-BEF5-D98D07BE8A3C}">
  <dimension ref="A1:F30"/>
  <sheetViews>
    <sheetView workbookViewId="0">
      <selection activeCell="B11" sqref="B11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2033</v>
      </c>
    </row>
    <row r="2" spans="1:6" x14ac:dyDescent="0.25">
      <c r="A2" s="6" t="s">
        <v>2031</v>
      </c>
      <c r="B2" t="s">
        <v>2033</v>
      </c>
    </row>
    <row r="4" spans="1:6" x14ac:dyDescent="0.25">
      <c r="A4" s="6" t="s">
        <v>2071</v>
      </c>
      <c r="B4" s="6" t="s">
        <v>2034</v>
      </c>
    </row>
    <row r="5" spans="1:6" x14ac:dyDescent="0.2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F155-3F8C-4A20-9B5D-D36B7B289FAF}">
  <dimension ref="A1:F68"/>
  <sheetViews>
    <sheetView zoomScaleNormal="100" workbookViewId="0"/>
  </sheetViews>
  <sheetFormatPr defaultRowHeight="15.75" x14ac:dyDescent="0.25"/>
  <cols>
    <col min="1" max="1" width="27.125" bestFit="1" customWidth="1"/>
    <col min="2" max="2" width="16.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2078</v>
      </c>
      <c r="B1" t="s">
        <v>2033</v>
      </c>
    </row>
    <row r="2" spans="1:6" x14ac:dyDescent="0.25">
      <c r="A2" s="6" t="s">
        <v>2031</v>
      </c>
      <c r="B2" t="s">
        <v>2045</v>
      </c>
    </row>
    <row r="4" spans="1:6" x14ac:dyDescent="0.25">
      <c r="A4" s="6" t="s">
        <v>2046</v>
      </c>
      <c r="B4" s="6" t="s">
        <v>2034</v>
      </c>
    </row>
    <row r="5" spans="1:6" x14ac:dyDescent="0.2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2074</v>
      </c>
      <c r="B6">
        <v>6</v>
      </c>
      <c r="C6">
        <v>32</v>
      </c>
      <c r="E6">
        <v>46</v>
      </c>
      <c r="F6">
        <v>84</v>
      </c>
    </row>
    <row r="7" spans="1:6" x14ac:dyDescent="0.25">
      <c r="A7" s="10" t="s">
        <v>2088</v>
      </c>
      <c r="B7">
        <v>3</v>
      </c>
      <c r="C7">
        <v>14</v>
      </c>
      <c r="E7">
        <v>15</v>
      </c>
      <c r="F7">
        <v>32</v>
      </c>
    </row>
    <row r="8" spans="1:6" x14ac:dyDescent="0.25">
      <c r="A8" s="10" t="s">
        <v>2089</v>
      </c>
      <c r="B8">
        <v>2</v>
      </c>
      <c r="C8">
        <v>7</v>
      </c>
      <c r="E8">
        <v>14</v>
      </c>
      <c r="F8">
        <v>23</v>
      </c>
    </row>
    <row r="9" spans="1:6" x14ac:dyDescent="0.25">
      <c r="A9" s="10" t="s">
        <v>2090</v>
      </c>
      <c r="B9">
        <v>1</v>
      </c>
      <c r="C9">
        <v>11</v>
      </c>
      <c r="E9">
        <v>17</v>
      </c>
      <c r="F9">
        <v>29</v>
      </c>
    </row>
    <row r="10" spans="1:6" x14ac:dyDescent="0.25">
      <c r="A10" s="7" t="s">
        <v>2075</v>
      </c>
      <c r="B10">
        <v>2</v>
      </c>
      <c r="C10">
        <v>35</v>
      </c>
      <c r="E10">
        <v>47</v>
      </c>
      <c r="F10">
        <v>84</v>
      </c>
    </row>
    <row r="11" spans="1:6" x14ac:dyDescent="0.25">
      <c r="A11" s="10" t="s">
        <v>2085</v>
      </c>
      <c r="C11">
        <v>9</v>
      </c>
      <c r="E11">
        <v>16</v>
      </c>
      <c r="F11">
        <v>25</v>
      </c>
    </row>
    <row r="12" spans="1:6" x14ac:dyDescent="0.25">
      <c r="A12" s="10" t="s">
        <v>2086</v>
      </c>
      <c r="B12">
        <v>2</v>
      </c>
      <c r="C12">
        <v>15</v>
      </c>
      <c r="E12">
        <v>10</v>
      </c>
      <c r="F12">
        <v>27</v>
      </c>
    </row>
    <row r="13" spans="1:6" x14ac:dyDescent="0.25">
      <c r="A13" s="10" t="s">
        <v>2087</v>
      </c>
      <c r="C13">
        <v>11</v>
      </c>
      <c r="E13">
        <v>21</v>
      </c>
      <c r="F13">
        <v>32</v>
      </c>
    </row>
    <row r="14" spans="1:6" x14ac:dyDescent="0.25">
      <c r="A14" s="7" t="s">
        <v>2076</v>
      </c>
      <c r="B14">
        <v>7</v>
      </c>
      <c r="C14">
        <v>32</v>
      </c>
      <c r="D14">
        <v>1</v>
      </c>
      <c r="E14">
        <v>46</v>
      </c>
      <c r="F14">
        <v>86</v>
      </c>
    </row>
    <row r="15" spans="1:6" x14ac:dyDescent="0.25">
      <c r="A15" s="10" t="s">
        <v>2082</v>
      </c>
      <c r="B15">
        <v>2</v>
      </c>
      <c r="C15">
        <v>12</v>
      </c>
      <c r="E15">
        <v>17</v>
      </c>
      <c r="F15">
        <v>31</v>
      </c>
    </row>
    <row r="16" spans="1:6" x14ac:dyDescent="0.25">
      <c r="A16" s="10" t="s">
        <v>2083</v>
      </c>
      <c r="B16">
        <v>3</v>
      </c>
      <c r="C16">
        <v>12</v>
      </c>
      <c r="D16">
        <v>1</v>
      </c>
      <c r="E16">
        <v>10</v>
      </c>
      <c r="F16">
        <v>26</v>
      </c>
    </row>
    <row r="17" spans="1:6" x14ac:dyDescent="0.25">
      <c r="A17" s="10" t="s">
        <v>2084</v>
      </c>
      <c r="B17">
        <v>2</v>
      </c>
      <c r="C17">
        <v>8</v>
      </c>
      <c r="E17">
        <v>19</v>
      </c>
      <c r="F17">
        <v>29</v>
      </c>
    </row>
    <row r="18" spans="1:6" x14ac:dyDescent="0.25">
      <c r="A18" s="7" t="s">
        <v>2077</v>
      </c>
      <c r="B18">
        <v>8</v>
      </c>
      <c r="C18">
        <v>33</v>
      </c>
      <c r="D18">
        <v>1</v>
      </c>
      <c r="E18">
        <v>48</v>
      </c>
      <c r="F18">
        <v>90</v>
      </c>
    </row>
    <row r="19" spans="1:6" x14ac:dyDescent="0.25">
      <c r="A19" s="10" t="s">
        <v>2079</v>
      </c>
      <c r="B19">
        <v>4</v>
      </c>
      <c r="C19">
        <v>13</v>
      </c>
      <c r="E19">
        <v>18</v>
      </c>
      <c r="F19">
        <v>35</v>
      </c>
    </row>
    <row r="20" spans="1:6" x14ac:dyDescent="0.25">
      <c r="A20" s="10" t="s">
        <v>2080</v>
      </c>
      <c r="B20">
        <v>2</v>
      </c>
      <c r="C20">
        <v>11</v>
      </c>
      <c r="D20">
        <v>1</v>
      </c>
      <c r="E20">
        <v>16</v>
      </c>
      <c r="F20">
        <v>30</v>
      </c>
    </row>
    <row r="21" spans="1:6" x14ac:dyDescent="0.25">
      <c r="A21" s="10" t="s">
        <v>2081</v>
      </c>
      <c r="B21">
        <v>2</v>
      </c>
      <c r="C21">
        <v>9</v>
      </c>
      <c r="E21">
        <v>14</v>
      </c>
      <c r="F21">
        <v>25</v>
      </c>
    </row>
    <row r="22" spans="1:6" x14ac:dyDescent="0.25">
      <c r="A22" s="7" t="s">
        <v>2035</v>
      </c>
      <c r="B22">
        <v>23</v>
      </c>
      <c r="C22">
        <v>132</v>
      </c>
      <c r="D22">
        <v>2</v>
      </c>
      <c r="E22">
        <v>187</v>
      </c>
      <c r="F22">
        <v>344</v>
      </c>
    </row>
    <row r="25" spans="1:6" x14ac:dyDescent="0.25">
      <c r="A25" s="6" t="s">
        <v>2078</v>
      </c>
      <c r="B25" t="s">
        <v>2113</v>
      </c>
    </row>
    <row r="26" spans="1:6" x14ac:dyDescent="0.25">
      <c r="A26" s="6" t="s">
        <v>2031</v>
      </c>
      <c r="B26" t="s">
        <v>2045</v>
      </c>
    </row>
    <row r="28" spans="1:6" x14ac:dyDescent="0.25">
      <c r="A28" s="6" t="s">
        <v>2036</v>
      </c>
      <c r="B28" t="s">
        <v>2046</v>
      </c>
    </row>
    <row r="29" spans="1:6" x14ac:dyDescent="0.25">
      <c r="A29" s="18">
        <v>40218.25</v>
      </c>
      <c r="B29">
        <v>1</v>
      </c>
    </row>
    <row r="30" spans="1:6" x14ac:dyDescent="0.25">
      <c r="A30" s="18">
        <v>40223.25</v>
      </c>
      <c r="B30">
        <v>1</v>
      </c>
    </row>
    <row r="31" spans="1:6" x14ac:dyDescent="0.25">
      <c r="A31" s="18">
        <v>40253.208333333336</v>
      </c>
      <c r="B31">
        <v>1</v>
      </c>
    </row>
    <row r="32" spans="1:6" x14ac:dyDescent="0.25">
      <c r="A32" s="18">
        <v>40258.208333333336</v>
      </c>
      <c r="B32">
        <v>1</v>
      </c>
    </row>
    <row r="33" spans="1:2" x14ac:dyDescent="0.25">
      <c r="A33" s="18">
        <v>40262.208333333336</v>
      </c>
      <c r="B33">
        <v>3</v>
      </c>
    </row>
    <row r="34" spans="1:2" x14ac:dyDescent="0.25">
      <c r="A34" s="18">
        <v>40265.208333333336</v>
      </c>
      <c r="B34">
        <v>1</v>
      </c>
    </row>
    <row r="35" spans="1:2" x14ac:dyDescent="0.25">
      <c r="A35" s="18">
        <v>40283.208333333336</v>
      </c>
      <c r="B35">
        <v>1</v>
      </c>
    </row>
    <row r="36" spans="1:2" x14ac:dyDescent="0.25">
      <c r="A36" s="18">
        <v>40285.208333333336</v>
      </c>
      <c r="B36">
        <v>1</v>
      </c>
    </row>
    <row r="37" spans="1:2" x14ac:dyDescent="0.25">
      <c r="A37" s="18">
        <v>40294.208333333336</v>
      </c>
      <c r="B37">
        <v>1</v>
      </c>
    </row>
    <row r="38" spans="1:2" x14ac:dyDescent="0.25">
      <c r="A38" s="18">
        <v>40310.208333333336</v>
      </c>
      <c r="B38">
        <v>2</v>
      </c>
    </row>
    <row r="39" spans="1:2" x14ac:dyDescent="0.25">
      <c r="A39" s="18">
        <v>40321.208333333336</v>
      </c>
      <c r="B39">
        <v>1</v>
      </c>
    </row>
    <row r="40" spans="1:2" x14ac:dyDescent="0.25">
      <c r="A40" s="18">
        <v>40335.208333333336</v>
      </c>
      <c r="B40">
        <v>1</v>
      </c>
    </row>
    <row r="41" spans="1:2" x14ac:dyDescent="0.25">
      <c r="A41" s="18">
        <v>40355.208333333336</v>
      </c>
      <c r="B41">
        <v>1</v>
      </c>
    </row>
    <row r="42" spans="1:2" x14ac:dyDescent="0.25">
      <c r="A42" s="18">
        <v>40373.208333333336</v>
      </c>
      <c r="B42">
        <v>1</v>
      </c>
    </row>
    <row r="43" spans="1:2" x14ac:dyDescent="0.25">
      <c r="A43" s="18">
        <v>40374.208333333336</v>
      </c>
      <c r="B43">
        <v>1</v>
      </c>
    </row>
    <row r="44" spans="1:2" x14ac:dyDescent="0.25">
      <c r="A44" s="18">
        <v>40378.208333333336</v>
      </c>
      <c r="B44">
        <v>1</v>
      </c>
    </row>
    <row r="45" spans="1:2" x14ac:dyDescent="0.25">
      <c r="A45" s="18">
        <v>40386.208333333336</v>
      </c>
      <c r="B45">
        <v>1</v>
      </c>
    </row>
    <row r="46" spans="1:2" x14ac:dyDescent="0.25">
      <c r="A46" s="18">
        <v>40390.208333333336</v>
      </c>
      <c r="B46">
        <v>1</v>
      </c>
    </row>
    <row r="47" spans="1:2" x14ac:dyDescent="0.25">
      <c r="A47" s="18">
        <v>40395.208333333336</v>
      </c>
      <c r="B47">
        <v>1</v>
      </c>
    </row>
    <row r="48" spans="1:2" x14ac:dyDescent="0.25">
      <c r="A48" s="18">
        <v>40396.208333333336</v>
      </c>
      <c r="B48">
        <v>1</v>
      </c>
    </row>
    <row r="49" spans="1:2" x14ac:dyDescent="0.25">
      <c r="A49" s="18">
        <v>40399.208333333336</v>
      </c>
      <c r="B49">
        <v>2</v>
      </c>
    </row>
    <row r="50" spans="1:2" x14ac:dyDescent="0.25">
      <c r="A50" s="18">
        <v>40423.208333333336</v>
      </c>
      <c r="B50">
        <v>1</v>
      </c>
    </row>
    <row r="51" spans="1:2" x14ac:dyDescent="0.25">
      <c r="A51" s="18">
        <v>40436.208333333336</v>
      </c>
      <c r="B51">
        <v>1</v>
      </c>
    </row>
    <row r="52" spans="1:2" x14ac:dyDescent="0.25">
      <c r="A52" s="18">
        <v>40442.208333333336</v>
      </c>
      <c r="B52">
        <v>1</v>
      </c>
    </row>
    <row r="53" spans="1:2" x14ac:dyDescent="0.25">
      <c r="A53" s="18">
        <v>40449.208333333336</v>
      </c>
      <c r="B53">
        <v>1</v>
      </c>
    </row>
    <row r="54" spans="1:2" x14ac:dyDescent="0.25">
      <c r="A54" s="18">
        <v>40451.208333333336</v>
      </c>
      <c r="B54">
        <v>1</v>
      </c>
    </row>
    <row r="55" spans="1:2" x14ac:dyDescent="0.25">
      <c r="A55" s="18">
        <v>40456.208333333336</v>
      </c>
      <c r="B55">
        <v>1</v>
      </c>
    </row>
    <row r="56" spans="1:2" x14ac:dyDescent="0.25">
      <c r="A56" s="18">
        <v>40458.208333333336</v>
      </c>
      <c r="B56">
        <v>1</v>
      </c>
    </row>
    <row r="57" spans="1:2" x14ac:dyDescent="0.25">
      <c r="A57" s="18">
        <v>40471.208333333336</v>
      </c>
      <c r="B57">
        <v>1</v>
      </c>
    </row>
    <row r="58" spans="1:2" x14ac:dyDescent="0.25">
      <c r="A58" s="18">
        <v>40476.208333333336</v>
      </c>
      <c r="B58">
        <v>1</v>
      </c>
    </row>
    <row r="59" spans="1:2" x14ac:dyDescent="0.25">
      <c r="A59" s="18">
        <v>40479.208333333336</v>
      </c>
      <c r="B59">
        <v>1</v>
      </c>
    </row>
    <row r="60" spans="1:2" x14ac:dyDescent="0.25">
      <c r="A60" s="18">
        <v>40482.208333333336</v>
      </c>
      <c r="B60">
        <v>1</v>
      </c>
    </row>
    <row r="61" spans="1:2" x14ac:dyDescent="0.25">
      <c r="A61" s="18">
        <v>40484.208333333336</v>
      </c>
      <c r="B61">
        <v>1</v>
      </c>
    </row>
    <row r="62" spans="1:2" x14ac:dyDescent="0.25">
      <c r="A62" s="18">
        <v>40497.25</v>
      </c>
      <c r="B62">
        <v>1</v>
      </c>
    </row>
    <row r="63" spans="1:2" x14ac:dyDescent="0.25">
      <c r="A63" s="18">
        <v>40507.25</v>
      </c>
      <c r="B63">
        <v>1</v>
      </c>
    </row>
    <row r="64" spans="1:2" x14ac:dyDescent="0.25">
      <c r="A64" s="18">
        <v>40515.25</v>
      </c>
      <c r="B64">
        <v>1</v>
      </c>
    </row>
    <row r="65" spans="1:2" x14ac:dyDescent="0.25">
      <c r="A65" s="18">
        <v>40522.25</v>
      </c>
      <c r="B65">
        <v>1</v>
      </c>
    </row>
    <row r="66" spans="1:2" x14ac:dyDescent="0.25">
      <c r="A66" s="18">
        <v>40525.25</v>
      </c>
      <c r="B66">
        <v>1</v>
      </c>
    </row>
    <row r="67" spans="1:2" x14ac:dyDescent="0.25">
      <c r="A67" s="18">
        <v>40531.25</v>
      </c>
      <c r="B67">
        <v>1</v>
      </c>
    </row>
    <row r="68" spans="1:2" x14ac:dyDescent="0.25">
      <c r="A68" s="18" t="s">
        <v>2035</v>
      </c>
      <c r="B68">
        <v>43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4E08-AD60-4476-9F62-B46B0E0B773A}">
  <dimension ref="A1:H13"/>
  <sheetViews>
    <sheetView workbookViewId="0"/>
  </sheetViews>
  <sheetFormatPr defaultRowHeight="15.75" x14ac:dyDescent="0.25"/>
  <cols>
    <col min="1" max="1" width="16.75" bestFit="1" customWidth="1"/>
    <col min="2" max="2" width="19.25" bestFit="1" customWidth="1"/>
    <col min="3" max="3" width="15.5" bestFit="1" customWidth="1"/>
    <col min="4" max="4" width="18.625" bestFit="1" customWidth="1"/>
    <col min="5" max="5" width="14.625" bestFit="1" customWidth="1"/>
    <col min="6" max="6" width="21.875" bestFit="1" customWidth="1"/>
    <col min="7" max="7" width="18.125" bestFit="1" customWidth="1"/>
    <col min="8" max="8" width="21.375" bestFit="1" customWidth="1"/>
  </cols>
  <sheetData>
    <row r="1" spans="1:8" x14ac:dyDescent="0.25">
      <c r="A1" t="s">
        <v>2093</v>
      </c>
      <c r="B1" t="s">
        <v>2094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  <c r="H1" t="s">
        <v>2100</v>
      </c>
    </row>
    <row r="2" spans="1:8" x14ac:dyDescent="0.25">
      <c r="A2" t="s">
        <v>2101</v>
      </c>
      <c r="B2">
        <f>COUNTIFS(Table1[goal],"&lt;1000",Table1[outcome],"successful")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SUM(Table2[[#This Row],[Number Successful]:[Number Cancelled]])</f>
        <v>51</v>
      </c>
      <c r="F2" s="14">
        <f>Table2[[#This Row],[Number Successful]]/Table2[[#This Row],[Total Projects]]</f>
        <v>0.58823529411764708</v>
      </c>
      <c r="G2" s="14">
        <f>Table2[[#This Row],[Number Failed]]/Table2[[#This Row],[Total Projects]]</f>
        <v>0.39215686274509803</v>
      </c>
      <c r="H2" s="14">
        <f>Table2[[#This Row],[Number Cancelled]]/Table2[[#This Row],[Total Projects]]</f>
        <v>1.9607843137254902E-2</v>
      </c>
    </row>
    <row r="3" spans="1:8" x14ac:dyDescent="0.25">
      <c r="A3" t="s">
        <v>2102</v>
      </c>
      <c r="B3">
        <f>COUNTIFS(Table1[goal],"&gt;=1000",Table1[goal],"&lt;=4999",Table1[outcome],"successful")</f>
        <v>191</v>
      </c>
      <c r="C3">
        <f>COUNTIFS(Table1[goal],"&gt;=1000",Table1[goal],"&lt;=4999",Table1[outcome],"failed")</f>
        <v>38</v>
      </c>
      <c r="D3">
        <f>COUNTIFS(Table1[goal],"&gt;=1000",Table1[goal],"&lt;=4999",Table1[outcome],"canceled")</f>
        <v>2</v>
      </c>
      <c r="E3">
        <f>SUM(Table2[[#This Row],[Number Successful]:[Number Cancelled]])</f>
        <v>231</v>
      </c>
      <c r="F3" s="14">
        <f>Table2[[#This Row],[Number Successful]]/Table2[[#This Row],[Total Projects]]</f>
        <v>0.82683982683982682</v>
      </c>
      <c r="G3" s="14">
        <f>Table2[[#This Row],[Number Failed]]/Table2[[#This Row],[Total Projects]]</f>
        <v>0.16450216450216451</v>
      </c>
      <c r="H3" s="14">
        <f>Table2[[#This Row],[Number Cancelled]]/Table2[[#This Row],[Total Projects]]</f>
        <v>8.658008658008658E-3</v>
      </c>
    </row>
    <row r="4" spans="1:8" x14ac:dyDescent="0.25">
      <c r="A4" t="s">
        <v>2103</v>
      </c>
      <c r="B4">
        <f>COUNTIFS(Table1[goal],"&gt;=5000",Table1[goal],"&lt;=9999",Table1[outcome],"successful")</f>
        <v>164</v>
      </c>
      <c r="C4">
        <f>COUNTIFS(Table1[goal],"&gt;=5000",Table1[goal],"&lt;=9999",Table1[outcome],"failed")</f>
        <v>126</v>
      </c>
      <c r="D4">
        <f>COUNTIFS(Table1[goal],"&gt;=5000",Table1[goal],"&lt;=9999",Table1[outcome],"canceled")</f>
        <v>25</v>
      </c>
      <c r="E4">
        <f>SUM(Table2[[#This Row],[Number Successful]:[Number Cancelled]])</f>
        <v>315</v>
      </c>
      <c r="F4" s="14">
        <f>Table2[[#This Row],[Number Successful]]/Table2[[#This Row],[Total Projects]]</f>
        <v>0.52063492063492067</v>
      </c>
      <c r="G4" s="14">
        <f>Table2[[#This Row],[Number Failed]]/Table2[[#This Row],[Total Projects]]</f>
        <v>0.4</v>
      </c>
      <c r="H4" s="14">
        <f>Table2[[#This Row],[Number Cancelled]]/Table2[[#This Row],[Total Projects]]</f>
        <v>7.9365079365079361E-2</v>
      </c>
    </row>
    <row r="5" spans="1:8" x14ac:dyDescent="0.25">
      <c r="A5" t="s">
        <v>2104</v>
      </c>
      <c r="B5">
        <f>COUNTIFS(Table1[goal],"&gt;=10000",Table1[goal],"&lt;=14999",Table1[outcome],"successful")</f>
        <v>4</v>
      </c>
      <c r="C5">
        <f>COUNTIFS(Table1[goal],"&gt;=10000",Table1[goal],"&lt;=14999",Table1[outcome],"failed")</f>
        <v>5</v>
      </c>
      <c r="D5">
        <f>COUNTIFS(Table1[goal],"&gt;=10000",Table1[goal],"&lt;=14999",Table1[outcome],"canceled")</f>
        <v>0</v>
      </c>
      <c r="E5">
        <f>SUM(Table2[[#This Row],[Number Successful]:[Number Cancelled]])</f>
        <v>9</v>
      </c>
      <c r="F5" s="14">
        <f>Table2[[#This Row],[Number Successful]]/Table2[[#This Row],[Total Projects]]</f>
        <v>0.44444444444444442</v>
      </c>
      <c r="G5" s="14">
        <f>Table2[[#This Row],[Number Failed]]/Table2[[#This Row],[Total Projects]]</f>
        <v>0.55555555555555558</v>
      </c>
      <c r="H5" s="14">
        <f>Table2[[#This Row],[Number Cancelled]]/Table2[[#This Row],[Total Projects]]</f>
        <v>0</v>
      </c>
    </row>
    <row r="6" spans="1:8" x14ac:dyDescent="0.25">
      <c r="A6" t="s">
        <v>2105</v>
      </c>
      <c r="B6">
        <f>COUNTIFS(Table1[goal],"&gt;=15000",Table1[goal],"&lt;=19999",Table1[outcome],"successful")</f>
        <v>10</v>
      </c>
      <c r="C6">
        <f>COUNTIFS(Table1[goal],"&gt;=15000",Table1[goal],"&lt;=19999",Table1[outcome],"failed")</f>
        <v>0</v>
      </c>
      <c r="D6">
        <f>COUNTIFS(Table1[goal],"&gt;=15000",Table1[goal],"&lt;=19999",Table1[outcome],"canceled")</f>
        <v>0</v>
      </c>
      <c r="E6">
        <f>SUM(Table2[[#This Row],[Number Successful]:[Number Cancelled]])</f>
        <v>10</v>
      </c>
      <c r="F6" s="14">
        <f>Table2[[#This Row],[Number Successful]]/Table2[[#This Row],[Total Projects]]</f>
        <v>1</v>
      </c>
      <c r="G6" s="14">
        <f>Table2[[#This Row],[Number Failed]]/Table2[[#This Row],[Total Projects]]</f>
        <v>0</v>
      </c>
      <c r="H6" s="14">
        <f>Table2[[#This Row],[Number Cancelled]]/Table2[[#This Row],[Total Projects]]</f>
        <v>0</v>
      </c>
    </row>
    <row r="7" spans="1:8" x14ac:dyDescent="0.25">
      <c r="A7" t="s">
        <v>2106</v>
      </c>
      <c r="B7">
        <f>COUNTIFS(Table1[goal],"&gt;=20000",Table1[goal],"&lt;=24999",Table1[outcome],"successful")</f>
        <v>7</v>
      </c>
      <c r="C7">
        <f>COUNTIFS(Table1[goal],"&gt;=20000",Table1[goal],"&lt;=24999",Table1[outcome],"failed")</f>
        <v>0</v>
      </c>
      <c r="D7">
        <f>COUNTIFS(Table1[goal],"&gt;=20000",Table1[goal],"&lt;=24999",Table1[outcome],"canceled")</f>
        <v>0</v>
      </c>
      <c r="E7">
        <f>SUM(Table2[[#This Row],[Number Successful]:[Number Cancelled]])</f>
        <v>7</v>
      </c>
      <c r="F7" s="14">
        <f>Table2[[#This Row],[Number Successful]]/Table2[[#This Row],[Total Projects]]</f>
        <v>1</v>
      </c>
      <c r="G7" s="14">
        <f>Table2[[#This Row],[Number Failed]]/Table2[[#This Row],[Total Projects]]</f>
        <v>0</v>
      </c>
      <c r="H7" s="14">
        <f>Table2[[#This Row],[Number Cancelled]]/Table2[[#This Row],[Total Projects]]</f>
        <v>0</v>
      </c>
    </row>
    <row r="8" spans="1:8" x14ac:dyDescent="0.25">
      <c r="A8" t="s">
        <v>2107</v>
      </c>
      <c r="B8">
        <f>COUNTIFS(Table1[goal],"&gt;=25000",Table1[goal],"&lt;=29999",Table1[outcome],"successful")</f>
        <v>11</v>
      </c>
      <c r="C8">
        <f>COUNTIFS(Table1[goal],"&gt;=25000",Table1[goal],"&lt;=29999",Table1[outcome],"failed")</f>
        <v>3</v>
      </c>
      <c r="D8">
        <f>COUNTIFS(Table1[goal],"&gt;=25000",Table1[goal],"&lt;=29999",Table1[outcome],"canceled")</f>
        <v>0</v>
      </c>
      <c r="E8">
        <f>SUM(Table2[[#This Row],[Number Successful]:[Number Cancelled]])</f>
        <v>14</v>
      </c>
      <c r="F8" s="14">
        <f>Table2[[#This Row],[Number Successful]]/Table2[[#This Row],[Total Projects]]</f>
        <v>0.7857142857142857</v>
      </c>
      <c r="G8" s="14">
        <f>Table2[[#This Row],[Number Failed]]/Table2[[#This Row],[Total Projects]]</f>
        <v>0.21428571428571427</v>
      </c>
      <c r="H8" s="14">
        <f>Table2[[#This Row],[Number Cancelled]]/Table2[[#This Row],[Total Projects]]</f>
        <v>0</v>
      </c>
    </row>
    <row r="9" spans="1:8" x14ac:dyDescent="0.25">
      <c r="A9" t="s">
        <v>2108</v>
      </c>
      <c r="B9">
        <f>COUNTIFS(Table1[goal],"&gt;=30000",Table1[goal],"&lt;=34999",Table1[outcome],"successful")</f>
        <v>7</v>
      </c>
      <c r="C9">
        <f>COUNTIFS(Table1[goal],"&gt;=30000",Table1[goal],"&lt;=34999",Table1[outcome],"failed")</f>
        <v>0</v>
      </c>
      <c r="D9">
        <f>COUNTIFS(Table1[goal],"&gt;=30000",Table1[goal],"&lt;=34999",Table1[outcome],"canceled")</f>
        <v>0</v>
      </c>
      <c r="E9">
        <f>SUM(Table2[[#This Row],[Number Successful]:[Number Cancelled]])</f>
        <v>7</v>
      </c>
      <c r="F9" s="14">
        <f>Table2[[#This Row],[Number Successful]]/Table2[[#This Row],[Total Projects]]</f>
        <v>1</v>
      </c>
      <c r="G9" s="14">
        <f>Table2[[#This Row],[Number Failed]]/Table2[[#This Row],[Total Projects]]</f>
        <v>0</v>
      </c>
      <c r="H9" s="14">
        <f>Table2[[#This Row],[Number Cancelled]]/Table2[[#This Row],[Total Projects]]</f>
        <v>0</v>
      </c>
    </row>
    <row r="10" spans="1:8" x14ac:dyDescent="0.25">
      <c r="A10" t="s">
        <v>2109</v>
      </c>
      <c r="B10">
        <f>COUNTIFS(Table1[goal],"&gt;=35000",Table1[goal],"&lt;=39999",Table1[outcome],"successful")</f>
        <v>8</v>
      </c>
      <c r="C10">
        <f>COUNTIFS(Table1[goal],"&gt;=35000",Table1[goal],"&lt;=39999",Table1[outcome],"failed")</f>
        <v>3</v>
      </c>
      <c r="D10">
        <f>COUNTIFS(Table1[goal],"&gt;=35000",Table1[goal],"&lt;=39999",Table1[outcome],"canceled")</f>
        <v>1</v>
      </c>
      <c r="E10">
        <f>SUM(Table2[[#This Row],[Number Successful]:[Number Cancelled]])</f>
        <v>12</v>
      </c>
      <c r="F10" s="14">
        <f>Table2[[#This Row],[Number Successful]]/Table2[[#This Row],[Total Projects]]</f>
        <v>0.66666666666666663</v>
      </c>
      <c r="G10" s="14">
        <f>Table2[[#This Row],[Number Failed]]/Table2[[#This Row],[Total Projects]]</f>
        <v>0.25</v>
      </c>
      <c r="H10" s="14">
        <f>Table2[[#This Row],[Number Cancelled]]/Table2[[#This Row],[Total Projects]]</f>
        <v>8.3333333333333329E-2</v>
      </c>
    </row>
    <row r="11" spans="1:8" x14ac:dyDescent="0.25">
      <c r="A11" t="s">
        <v>2110</v>
      </c>
      <c r="B11">
        <f>COUNTIFS(Table1[goal],"&gt;=40000",Table1[goal],"&lt;=44999",Table1[outcome],"successful")</f>
        <v>11</v>
      </c>
      <c r="C11">
        <f>COUNTIFS(Table1[goal],"&gt;=40000",Table1[goal],"&lt;=44999",Table1[outcome],"failed")</f>
        <v>3</v>
      </c>
      <c r="D11">
        <f>COUNTIFS(Table1[goal],"&gt;=40000",Table1[goal],"&lt;=44999",Table1[outcome],"canceled")</f>
        <v>0</v>
      </c>
      <c r="E11">
        <f>SUM(Table2[[#This Row],[Number Successful]:[Number Cancelled]])</f>
        <v>14</v>
      </c>
      <c r="F11" s="14">
        <f>Table2[[#This Row],[Number Successful]]/Table2[[#This Row],[Total Projects]]</f>
        <v>0.7857142857142857</v>
      </c>
      <c r="G11" s="14">
        <f>Table2[[#This Row],[Number Failed]]/Table2[[#This Row],[Total Projects]]</f>
        <v>0.21428571428571427</v>
      </c>
      <c r="H11" s="14">
        <f>Table2[[#This Row],[Number Cancelled]]/Table2[[#This Row],[Total Projects]]</f>
        <v>0</v>
      </c>
    </row>
    <row r="12" spans="1:8" x14ac:dyDescent="0.25">
      <c r="A12" t="s">
        <v>2111</v>
      </c>
      <c r="B12">
        <f>COUNTIFS(Table1[goal],"&gt;=45000",Table1[goal],"&lt;=49999",Table1[outcome],"successful")</f>
        <v>8</v>
      </c>
      <c r="C12">
        <f>COUNTIFS(Table1[goal],"&gt;=45000",Table1[goal],"&lt;=49999",Table1[outcome],"failed")</f>
        <v>3</v>
      </c>
      <c r="D12">
        <f>COUNTIFS(Table1[goal],"&gt;=45000",Table1[goal],"&lt;=49999",Table1[outcome],"canceled")</f>
        <v>0</v>
      </c>
      <c r="E12">
        <f>SUM(Table2[[#This Row],[Number Successful]:[Number Cancelled]])</f>
        <v>11</v>
      </c>
      <c r="F12" s="14">
        <f>Table2[[#This Row],[Number Successful]]/Table2[[#This Row],[Total Projects]]</f>
        <v>0.72727272727272729</v>
      </c>
      <c r="G12" s="14">
        <f>Table2[[#This Row],[Number Failed]]/Table2[[#This Row],[Total Projects]]</f>
        <v>0.27272727272727271</v>
      </c>
      <c r="H12" s="14">
        <f>Table2[[#This Row],[Number Cancelled]]/Table2[[#This Row],[Total Projects]]</f>
        <v>0</v>
      </c>
    </row>
    <row r="13" spans="1:8" x14ac:dyDescent="0.25">
      <c r="A13" t="s">
        <v>2112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>SUM(Table2[[#This Row],[Number Successful]:[Number Cancelled]])</f>
        <v>305</v>
      </c>
      <c r="F13" s="14">
        <f>Table2[[#This Row],[Number Successful]]/Table2[[#This Row],[Total Projects]]</f>
        <v>0.3737704918032787</v>
      </c>
      <c r="G13" s="14">
        <f>Table2[[#This Row],[Number Failed]]/Table2[[#This Row],[Total Projects]]</f>
        <v>0.53442622950819674</v>
      </c>
      <c r="H13" s="14">
        <f>Table2[[#This Row],[Number Cancelled]]/Table2[[#This Row],[Total Projects]]</f>
        <v>9.1803278688524587E-2</v>
      </c>
    </row>
  </sheetData>
  <pageMargins left="0.7" right="0.7" top="0.75" bottom="0.75" header="0.3" footer="0.3"/>
  <ignoredErrors>
    <ignoredError sqref="B4 B5:B13 B2:B3" calculatedColumn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C728-5B2F-48F8-B98A-7F3617AA3C1D}">
  <dimension ref="B2:P567"/>
  <sheetViews>
    <sheetView zoomScaleNormal="100" workbookViewId="0"/>
  </sheetViews>
  <sheetFormatPr defaultRowHeight="15.75" x14ac:dyDescent="0.25"/>
  <cols>
    <col min="1" max="1" width="6.25" customWidth="1"/>
    <col min="2" max="2" width="25.875" bestFit="1" customWidth="1"/>
    <col min="3" max="3" width="9.75" customWidth="1"/>
    <col min="4" max="4" width="6.25" customWidth="1"/>
    <col min="5" max="5" width="20.75" bestFit="1" customWidth="1"/>
    <col min="6" max="6" width="8.75" customWidth="1"/>
    <col min="7" max="7" width="6.25" customWidth="1"/>
    <col min="8" max="8" width="22" bestFit="1" customWidth="1"/>
    <col min="9" max="9" width="9.375" bestFit="1" customWidth="1"/>
    <col min="10" max="10" width="11.625" bestFit="1" customWidth="1"/>
    <col min="11" max="11" width="6.25" customWidth="1"/>
    <col min="12" max="12" width="23.5" bestFit="1" customWidth="1"/>
    <col min="13" max="13" width="19.75" bestFit="1" customWidth="1"/>
    <col min="14" max="14" width="20" bestFit="1" customWidth="1"/>
    <col min="15" max="15" width="19.25" bestFit="1" customWidth="1"/>
    <col min="16" max="16" width="22.625" bestFit="1" customWidth="1"/>
    <col min="17" max="597" width="15.25" bestFit="1" customWidth="1"/>
    <col min="598" max="598" width="11" bestFit="1" customWidth="1"/>
  </cols>
  <sheetData>
    <row r="2" spans="2:16" s="7" customFormat="1" x14ac:dyDescent="0.25">
      <c r="B2" s="15" t="s">
        <v>2126</v>
      </c>
      <c r="C2" s="16" t="s">
        <v>2128</v>
      </c>
      <c r="E2" s="7" t="s">
        <v>2127</v>
      </c>
      <c r="F2" s="7" t="s">
        <v>2129</v>
      </c>
      <c r="H2" s="7" t="s">
        <v>2114</v>
      </c>
      <c r="I2" s="7" t="s">
        <v>2117</v>
      </c>
      <c r="J2" s="7" t="s">
        <v>2118</v>
      </c>
      <c r="L2" s="17" t="s">
        <v>4</v>
      </c>
      <c r="M2" s="7" t="s">
        <v>20</v>
      </c>
    </row>
    <row r="3" spans="2:16" x14ac:dyDescent="0.25">
      <c r="B3" s="11">
        <v>7295</v>
      </c>
      <c r="C3" s="12">
        <f>(Table5[[#This Row],[Backers Count Successul]]-$I$3)/$I$8</f>
        <v>5.084445271456981</v>
      </c>
      <c r="E3">
        <v>6080</v>
      </c>
      <c r="F3" s="12">
        <f>(Table7[[#This Row],[Backers Count Failed]]-$J$3)/$J$8</f>
        <v>5.7155287103835599</v>
      </c>
      <c r="H3" t="s">
        <v>2091</v>
      </c>
      <c r="I3" s="13">
        <f>AVERAGE(Table5[Backers Count Successul])</f>
        <v>851.14690265486729</v>
      </c>
      <c r="J3" s="13">
        <f>AVERAGE(Table7[Backers Count Failed])</f>
        <v>585.61538461538464</v>
      </c>
    </row>
    <row r="4" spans="2:16" x14ac:dyDescent="0.25">
      <c r="B4" s="11">
        <v>6465</v>
      </c>
      <c r="C4" s="12">
        <f>(Table5[[#This Row],[Backers Count Successul]]-$I$3)/$I$8</f>
        <v>4.4295436913685133</v>
      </c>
      <c r="E4">
        <v>5681</v>
      </c>
      <c r="F4" s="12">
        <f>(Table7[[#This Row],[Backers Count Failed]]-$J$3)/$J$8</f>
        <v>5.3004693151862323</v>
      </c>
      <c r="H4" t="s">
        <v>2092</v>
      </c>
      <c r="I4" s="13">
        <f>MEDIAN(Table5[Backers Count Successul])</f>
        <v>201</v>
      </c>
      <c r="J4" s="13">
        <f>MEDIAN(Table7[Backers Count Failed])</f>
        <v>114.5</v>
      </c>
      <c r="L4" t="s">
        <v>2119</v>
      </c>
      <c r="M4" t="s">
        <v>2120</v>
      </c>
      <c r="N4" t="s">
        <v>2121</v>
      </c>
      <c r="O4" t="s">
        <v>2122</v>
      </c>
      <c r="P4" t="s">
        <v>2123</v>
      </c>
    </row>
    <row r="5" spans="2:16" x14ac:dyDescent="0.25">
      <c r="B5" s="11">
        <v>6406</v>
      </c>
      <c r="C5" s="12">
        <f>(Table5[[#This Row],[Backers Count Successul]]-$I$3)/$I$8</f>
        <v>4.3829904465188507</v>
      </c>
      <c r="E5">
        <v>5497</v>
      </c>
      <c r="F5" s="12">
        <f>(Table7[[#This Row],[Backers Count Failed]]-$J$3)/$J$8</f>
        <v>5.1090634788045071</v>
      </c>
      <c r="H5" t="s">
        <v>2115</v>
      </c>
      <c r="I5" s="13">
        <f>MIN(Table5[Backers Count Successul])</f>
        <v>16</v>
      </c>
      <c r="J5" s="13">
        <f>MIN(Table7[Backers Count Failed])</f>
        <v>0</v>
      </c>
      <c r="L5" s="13">
        <v>851.14690265486729</v>
      </c>
      <c r="M5" s="13">
        <v>16</v>
      </c>
      <c r="N5" s="13">
        <v>7295</v>
      </c>
      <c r="O5" s="13">
        <v>1606216.5936295739</v>
      </c>
      <c r="P5" s="13">
        <v>1267.366006183523</v>
      </c>
    </row>
    <row r="6" spans="2:16" x14ac:dyDescent="0.25">
      <c r="B6" s="11">
        <v>6286</v>
      </c>
      <c r="C6" s="12">
        <f>(Table5[[#This Row],[Backers Count Successul]]-$I$3)/$I$8</f>
        <v>4.2883058807229277</v>
      </c>
      <c r="E6">
        <v>4697</v>
      </c>
      <c r="F6" s="12">
        <f>(Table7[[#This Row],[Backers Count Failed]]-$J$3)/$J$8</f>
        <v>4.2768641901883111</v>
      </c>
      <c r="H6" t="s">
        <v>2116</v>
      </c>
      <c r="I6" s="13">
        <f>MAX(Table5[Backers Count Successul])</f>
        <v>7295</v>
      </c>
      <c r="J6" s="13">
        <f>MAX(Table7[Backers Count Failed])</f>
        <v>6080</v>
      </c>
    </row>
    <row r="7" spans="2:16" x14ac:dyDescent="0.25">
      <c r="B7" s="11">
        <v>6212</v>
      </c>
      <c r="C7" s="12">
        <f>(Table5[[#This Row],[Backers Count Successul]]-$I$3)/$I$8</f>
        <v>4.2299170651487756</v>
      </c>
      <c r="E7">
        <v>4428</v>
      </c>
      <c r="F7" s="12">
        <f>(Table7[[#This Row],[Backers Count Failed]]-$J$3)/$J$8</f>
        <v>3.9970371793911155</v>
      </c>
      <c r="H7" t="s">
        <v>2124</v>
      </c>
      <c r="I7" s="13">
        <f>_xlfn.VAR.S(Table5[Backers Count Successul])</f>
        <v>1606216.5936295739</v>
      </c>
      <c r="J7" s="13">
        <f>_xlfn.VAR.S(Table7[Backers Count Failed])</f>
        <v>924113.45496927318</v>
      </c>
      <c r="L7" s="6" t="s">
        <v>4</v>
      </c>
      <c r="M7" t="s">
        <v>14</v>
      </c>
    </row>
    <row r="8" spans="2:16" x14ac:dyDescent="0.25">
      <c r="B8" s="11">
        <v>5966</v>
      </c>
      <c r="C8" s="12">
        <f>(Table5[[#This Row],[Backers Count Successul]]-$I$3)/$I$8</f>
        <v>4.0358137052671328</v>
      </c>
      <c r="E8">
        <v>4405</v>
      </c>
      <c r="F8" s="12">
        <f>(Table7[[#This Row],[Backers Count Failed]]-$J$3)/$J$8</f>
        <v>3.9731114498433997</v>
      </c>
      <c r="H8" t="s">
        <v>2125</v>
      </c>
      <c r="I8" s="13">
        <f>_xlfn.STDEV.S(Table5[Backers Count Successul])</f>
        <v>1267.366006183523</v>
      </c>
      <c r="J8" s="13">
        <f>_xlfn.STDEV.S(Table7[Backers Count Failed])</f>
        <v>961.30819978260524</v>
      </c>
    </row>
    <row r="9" spans="2:16" x14ac:dyDescent="0.25">
      <c r="B9" s="11">
        <v>5880</v>
      </c>
      <c r="C9" s="12">
        <f>(Table5[[#This Row],[Backers Count Successul]]-$I$3)/$I$8</f>
        <v>3.9679564331133883</v>
      </c>
      <c r="E9">
        <v>3868</v>
      </c>
      <c r="F9" s="12">
        <f>(Table7[[#This Row],[Backers Count Failed]]-$J$3)/$J$8</f>
        <v>3.4144976773597784</v>
      </c>
      <c r="H9" t="s">
        <v>2130</v>
      </c>
      <c r="I9" s="13">
        <f>_xlfn.QUARTILE.EXC(Table5[Backers Count Successul],1)</f>
        <v>127.5</v>
      </c>
      <c r="J9" s="13">
        <f>_xlfn.QUARTILE.EXC(Table7[Backers Count Failed],1)</f>
        <v>38</v>
      </c>
      <c r="L9" t="s">
        <v>2119</v>
      </c>
      <c r="M9" t="s">
        <v>2120</v>
      </c>
      <c r="N9" t="s">
        <v>2121</v>
      </c>
      <c r="O9" t="s">
        <v>2122</v>
      </c>
      <c r="P9" t="s">
        <v>2123</v>
      </c>
    </row>
    <row r="10" spans="2:16" x14ac:dyDescent="0.25">
      <c r="B10" s="11">
        <v>5512</v>
      </c>
      <c r="C10" s="12">
        <f>(Table5[[#This Row],[Backers Count Successul]]-$I$3)/$I$8</f>
        <v>3.6775904313392243</v>
      </c>
      <c r="E10">
        <v>3483</v>
      </c>
      <c r="F10" s="12">
        <f>(Table7[[#This Row],[Backers Count Failed]]-$J$3)/$J$8</f>
        <v>3.014001769713234</v>
      </c>
      <c r="H10" t="s">
        <v>2131</v>
      </c>
      <c r="I10">
        <f>_xlfn.QUARTILE.EXC(Table5[Backers Count Successul],2)</f>
        <v>201</v>
      </c>
      <c r="J10">
        <f>_xlfn.QUARTILE.EXC(Table7[Backers Count Failed],2)</f>
        <v>114.5</v>
      </c>
      <c r="L10" s="13">
        <v>585.61538461538464</v>
      </c>
      <c r="M10" s="13">
        <v>0</v>
      </c>
      <c r="N10" s="13">
        <v>6080</v>
      </c>
      <c r="O10" s="13">
        <v>924113.45496927318</v>
      </c>
      <c r="P10" s="13">
        <v>961.30819978260524</v>
      </c>
    </row>
    <row r="11" spans="2:16" x14ac:dyDescent="0.25">
      <c r="B11" s="11">
        <v>5419</v>
      </c>
      <c r="C11" s="12">
        <f>(Table5[[#This Row],[Backers Count Successul]]-$I$3)/$I$8</f>
        <v>3.604209892847384</v>
      </c>
      <c r="E11">
        <v>3410</v>
      </c>
      <c r="F11" s="12">
        <f>(Table7[[#This Row],[Backers Count Failed]]-$J$3)/$J$8</f>
        <v>2.938063584627006</v>
      </c>
      <c r="H11" t="s">
        <v>2132</v>
      </c>
      <c r="I11" s="13">
        <f>_xlfn.QUARTILE.EXC(Table5[Backers Count Successul],3)</f>
        <v>1288.5</v>
      </c>
      <c r="J11" s="13">
        <f>_xlfn.QUARTILE.EXC(Table7[Backers Count Failed],3)</f>
        <v>789.5</v>
      </c>
    </row>
    <row r="12" spans="2:16" x14ac:dyDescent="0.25">
      <c r="B12" s="11">
        <v>5203</v>
      </c>
      <c r="C12" s="12">
        <f>(Table5[[#This Row],[Backers Count Successul]]-$I$3)/$I$8</f>
        <v>3.4337776744147224</v>
      </c>
      <c r="E12">
        <v>3387</v>
      </c>
      <c r="F12" s="12">
        <f>(Table7[[#This Row],[Backers Count Failed]]-$J$3)/$J$8</f>
        <v>2.9141378550792902</v>
      </c>
      <c r="H12" t="s">
        <v>2133</v>
      </c>
      <c r="I12" s="13">
        <f>I11-I9</f>
        <v>1161</v>
      </c>
      <c r="J12" s="13">
        <f>J11-J9</f>
        <v>751.5</v>
      </c>
    </row>
    <row r="13" spans="2:16" x14ac:dyDescent="0.25">
      <c r="B13" s="11">
        <v>5180</v>
      </c>
      <c r="C13" s="12">
        <f>(Table5[[#This Row],[Backers Count Successul]]-$I$3)/$I$8</f>
        <v>3.4156297993038374</v>
      </c>
      <c r="E13">
        <v>3304</v>
      </c>
      <c r="F13" s="12">
        <f>(Table7[[#This Row],[Backers Count Failed]]-$J$3)/$J$8</f>
        <v>2.8277971788853602</v>
      </c>
      <c r="H13" t="s">
        <v>2134</v>
      </c>
      <c r="I13" s="13">
        <f>I9-(1.5*I12)</f>
        <v>-1614</v>
      </c>
      <c r="J13" s="13">
        <f>J9-(1.5*J12)</f>
        <v>-1089.25</v>
      </c>
    </row>
    <row r="14" spans="2:16" x14ac:dyDescent="0.25">
      <c r="B14" s="11">
        <v>5168</v>
      </c>
      <c r="C14" s="12">
        <f>(Table5[[#This Row],[Backers Count Successul]]-$I$3)/$I$8</f>
        <v>3.406161342724245</v>
      </c>
      <c r="E14">
        <v>3182</v>
      </c>
      <c r="F14" s="12">
        <f>(Table7[[#This Row],[Backers Count Failed]]-$J$3)/$J$8</f>
        <v>2.7008867873713904</v>
      </c>
      <c r="H14" t="s">
        <v>2135</v>
      </c>
      <c r="I14" s="13">
        <f>I11+(1.5*I12)</f>
        <v>3030</v>
      </c>
      <c r="J14" s="13">
        <f>J11+(1.5*J12)</f>
        <v>1916.75</v>
      </c>
    </row>
    <row r="15" spans="2:16" x14ac:dyDescent="0.25">
      <c r="B15" s="11">
        <v>5139</v>
      </c>
      <c r="C15" s="12">
        <f>(Table5[[#This Row],[Backers Count Successul]]-$I$3)/$I$8</f>
        <v>3.3832792393235636</v>
      </c>
      <c r="E15">
        <v>3015</v>
      </c>
      <c r="F15" s="12">
        <f>(Table7[[#This Row],[Backers Count Failed]]-$J$3)/$J$8</f>
        <v>2.5271651858727595</v>
      </c>
    </row>
    <row r="16" spans="2:16" x14ac:dyDescent="0.25">
      <c r="B16" s="11">
        <v>4799</v>
      </c>
      <c r="C16" s="12">
        <f>(Table5[[#This Row],[Backers Count Successul]]-$I$3)/$I$8</f>
        <v>3.1150063029017816</v>
      </c>
      <c r="E16">
        <v>2955</v>
      </c>
      <c r="F16" s="12">
        <f>(Table7[[#This Row],[Backers Count Failed]]-$J$3)/$J$8</f>
        <v>2.4647502392265448</v>
      </c>
    </row>
    <row r="17" spans="2:6" x14ac:dyDescent="0.25">
      <c r="B17" s="11">
        <v>4498</v>
      </c>
      <c r="C17" s="12">
        <f>(Table5[[#This Row],[Backers Count Successul]]-$I$3)/$I$8</f>
        <v>2.8775058503636743</v>
      </c>
      <c r="E17">
        <v>2928</v>
      </c>
      <c r="F17" s="12">
        <f>(Table7[[#This Row],[Backers Count Failed]]-$J$3)/$J$8</f>
        <v>2.4366635132357479</v>
      </c>
    </row>
    <row r="18" spans="2:6" x14ac:dyDescent="0.25">
      <c r="B18" s="11">
        <v>4358</v>
      </c>
      <c r="C18" s="12">
        <f>(Table5[[#This Row],[Backers Count Successul]]-$I$3)/$I$8</f>
        <v>2.7670405236017643</v>
      </c>
      <c r="E18">
        <v>2915</v>
      </c>
      <c r="F18" s="12">
        <f>(Table7[[#This Row],[Backers Count Failed]]-$J$3)/$J$8</f>
        <v>2.4231402747957347</v>
      </c>
    </row>
    <row r="19" spans="2:6" x14ac:dyDescent="0.25">
      <c r="B19" s="11">
        <v>4289</v>
      </c>
      <c r="C19" s="12">
        <f>(Table5[[#This Row],[Backers Count Successul]]-$I$3)/$I$8</f>
        <v>2.7125968982691084</v>
      </c>
      <c r="E19">
        <v>2779</v>
      </c>
      <c r="F19" s="12">
        <f>(Table7[[#This Row],[Backers Count Failed]]-$J$3)/$J$8</f>
        <v>2.2816663957309817</v>
      </c>
    </row>
    <row r="20" spans="2:6" x14ac:dyDescent="0.25">
      <c r="B20" s="11">
        <v>4233</v>
      </c>
      <c r="C20" s="12">
        <f>(Table5[[#This Row],[Backers Count Successul]]-$I$3)/$I$8</f>
        <v>2.6684107675643447</v>
      </c>
      <c r="E20">
        <v>2690</v>
      </c>
      <c r="F20" s="12">
        <f>(Table7[[#This Row],[Backers Count Failed]]-$J$3)/$J$8</f>
        <v>2.1890842248724298</v>
      </c>
    </row>
    <row r="21" spans="2:6" x14ac:dyDescent="0.25">
      <c r="B21" s="11">
        <v>4065</v>
      </c>
      <c r="C21" s="12">
        <f>(Table5[[#This Row],[Backers Count Successul]]-$I$3)/$I$8</f>
        <v>2.5358523754500522</v>
      </c>
      <c r="E21">
        <v>2604</v>
      </c>
      <c r="F21" s="12">
        <f>(Table7[[#This Row],[Backers Count Failed]]-$J$3)/$J$8</f>
        <v>2.0996228013461886</v>
      </c>
    </row>
    <row r="22" spans="2:6" x14ac:dyDescent="0.25">
      <c r="B22" s="11">
        <v>4006</v>
      </c>
      <c r="C22" s="12">
        <f>(Table5[[#This Row],[Backers Count Successul]]-$I$3)/$I$8</f>
        <v>2.48929913060039</v>
      </c>
      <c r="E22">
        <v>2468</v>
      </c>
      <c r="F22" s="12">
        <f>(Table7[[#This Row],[Backers Count Failed]]-$J$3)/$J$8</f>
        <v>1.9581489222814354</v>
      </c>
    </row>
    <row r="23" spans="2:6" x14ac:dyDescent="0.25">
      <c r="B23" s="11">
        <v>3934</v>
      </c>
      <c r="C23" s="12">
        <f>(Table5[[#This Row],[Backers Count Successul]]-$I$3)/$I$8</f>
        <v>2.4324883911228361</v>
      </c>
      <c r="E23">
        <v>2307</v>
      </c>
      <c r="F23" s="12">
        <f>(Table7[[#This Row],[Backers Count Failed]]-$J$3)/$J$8</f>
        <v>1.790668815447426</v>
      </c>
    </row>
    <row r="24" spans="2:6" x14ac:dyDescent="0.25">
      <c r="B24" s="11">
        <v>3777</v>
      </c>
      <c r="C24" s="12">
        <f>(Table5[[#This Row],[Backers Count Successul]]-$I$3)/$I$8</f>
        <v>2.3086094175398371</v>
      </c>
      <c r="E24">
        <v>2253</v>
      </c>
      <c r="F24" s="12">
        <f>(Table7[[#This Row],[Backers Count Failed]]-$J$3)/$J$8</f>
        <v>1.7344953634658327</v>
      </c>
    </row>
    <row r="25" spans="2:6" x14ac:dyDescent="0.25">
      <c r="B25" s="11">
        <v>3742</v>
      </c>
      <c r="C25" s="12">
        <f>(Table5[[#This Row],[Backers Count Successul]]-$I$3)/$I$8</f>
        <v>2.2809930858493592</v>
      </c>
      <c r="E25">
        <v>2201</v>
      </c>
      <c r="F25" s="12">
        <f>(Table7[[#This Row],[Backers Count Failed]]-$J$3)/$J$8</f>
        <v>1.6804024097057799</v>
      </c>
    </row>
    <row r="26" spans="2:6" x14ac:dyDescent="0.25">
      <c r="B26" s="11">
        <v>3727</v>
      </c>
      <c r="C26" s="12">
        <f>(Table5[[#This Row],[Backers Count Successul]]-$I$3)/$I$8</f>
        <v>2.2691575151248689</v>
      </c>
      <c r="E26">
        <v>2179</v>
      </c>
      <c r="F26" s="12">
        <f>(Table7[[#This Row],[Backers Count Failed]]-$J$3)/$J$8</f>
        <v>1.6575169292688345</v>
      </c>
    </row>
    <row r="27" spans="2:6" x14ac:dyDescent="0.25">
      <c r="B27" s="11">
        <v>3657</v>
      </c>
      <c r="C27" s="12">
        <f>(Table5[[#This Row],[Backers Count Successul]]-$I$3)/$I$8</f>
        <v>2.2139248517439141</v>
      </c>
      <c r="E27">
        <v>2176</v>
      </c>
      <c r="F27" s="12">
        <f>(Table7[[#This Row],[Backers Count Failed]]-$J$3)/$J$8</f>
        <v>1.6543961819365238</v>
      </c>
    </row>
    <row r="28" spans="2:6" x14ac:dyDescent="0.25">
      <c r="B28" s="11">
        <v>3596</v>
      </c>
      <c r="C28" s="12">
        <f>(Table5[[#This Row],[Backers Count Successul]]-$I$3)/$I$8</f>
        <v>2.1657935307976528</v>
      </c>
      <c r="E28">
        <v>2108</v>
      </c>
      <c r="F28" s="12">
        <f>(Table7[[#This Row],[Backers Count Failed]]-$J$3)/$J$8</f>
        <v>1.5836592424041473</v>
      </c>
    </row>
    <row r="29" spans="2:6" x14ac:dyDescent="0.25">
      <c r="B29" s="11">
        <v>3594</v>
      </c>
      <c r="C29" s="12">
        <f>(Table5[[#This Row],[Backers Count Successul]]-$I$3)/$I$8</f>
        <v>2.1642154547010541</v>
      </c>
      <c r="E29">
        <v>2072</v>
      </c>
      <c r="F29" s="12">
        <f>(Table7[[#This Row],[Backers Count Failed]]-$J$3)/$J$8</f>
        <v>1.5462102744164183</v>
      </c>
    </row>
    <row r="30" spans="2:6" x14ac:dyDescent="0.25">
      <c r="B30" s="11">
        <v>3537</v>
      </c>
      <c r="C30" s="12">
        <f>(Table5[[#This Row],[Backers Count Successul]]-$I$3)/$I$8</f>
        <v>2.1192402859479906</v>
      </c>
      <c r="E30">
        <v>2062</v>
      </c>
      <c r="F30" s="12">
        <f>(Table7[[#This Row],[Backers Count Failed]]-$J$3)/$J$8</f>
        <v>1.535807783308716</v>
      </c>
    </row>
    <row r="31" spans="2:6" x14ac:dyDescent="0.25">
      <c r="B31" s="11">
        <v>3533</v>
      </c>
      <c r="C31" s="12">
        <f>(Table5[[#This Row],[Backers Count Successul]]-$I$3)/$I$8</f>
        <v>2.1160841337547933</v>
      </c>
      <c r="E31">
        <v>2025</v>
      </c>
      <c r="F31" s="12">
        <f>(Table7[[#This Row],[Backers Count Failed]]-$J$3)/$J$8</f>
        <v>1.4973185662102169</v>
      </c>
    </row>
    <row r="32" spans="2:6" x14ac:dyDescent="0.25">
      <c r="B32" s="11">
        <v>3388</v>
      </c>
      <c r="C32" s="12">
        <f>(Table5[[#This Row],[Backers Count Successul]]-$I$3)/$I$8</f>
        <v>2.0016736167513862</v>
      </c>
      <c r="E32">
        <v>1999</v>
      </c>
      <c r="F32" s="12">
        <f>(Table7[[#This Row],[Backers Count Failed]]-$J$3)/$J$8</f>
        <v>1.4702720893301906</v>
      </c>
    </row>
    <row r="33" spans="2:6" x14ac:dyDescent="0.25">
      <c r="B33" s="11">
        <v>3376</v>
      </c>
      <c r="C33" s="12">
        <f>(Table5[[#This Row],[Backers Count Successul]]-$I$3)/$I$8</f>
        <v>1.9922051601717941</v>
      </c>
      <c r="E33">
        <v>1979</v>
      </c>
      <c r="F33" s="12">
        <f>(Table7[[#This Row],[Backers Count Failed]]-$J$3)/$J$8</f>
        <v>1.4494671071147858</v>
      </c>
    </row>
    <row r="34" spans="2:6" x14ac:dyDescent="0.25">
      <c r="B34" s="11">
        <v>3318</v>
      </c>
      <c r="C34" s="12">
        <f>(Table5[[#This Row],[Backers Count Successul]]-$I$3)/$I$8</f>
        <v>1.9464409533704312</v>
      </c>
      <c r="E34">
        <v>1910</v>
      </c>
      <c r="F34" s="12">
        <f>(Table7[[#This Row],[Backers Count Failed]]-$J$3)/$J$8</f>
        <v>1.3776899184716387</v>
      </c>
    </row>
    <row r="35" spans="2:6" x14ac:dyDescent="0.25">
      <c r="B35" s="11">
        <v>3308</v>
      </c>
      <c r="C35" s="12">
        <f>(Table5[[#This Row],[Backers Count Successul]]-$I$3)/$I$8</f>
        <v>1.9385505728874377</v>
      </c>
      <c r="E35">
        <v>1886</v>
      </c>
      <c r="F35" s="12">
        <f>(Table7[[#This Row],[Backers Count Failed]]-$J$3)/$J$8</f>
        <v>1.352723939813153</v>
      </c>
    </row>
    <row r="36" spans="2:6" x14ac:dyDescent="0.25">
      <c r="B36" s="11">
        <v>3272</v>
      </c>
      <c r="C36" s="12">
        <f>(Table5[[#This Row],[Backers Count Successul]]-$I$3)/$I$8</f>
        <v>1.9101452031486608</v>
      </c>
      <c r="E36">
        <v>1825</v>
      </c>
      <c r="F36" s="12">
        <f>(Table7[[#This Row],[Backers Count Failed]]-$J$3)/$J$8</f>
        <v>1.2892687440561679</v>
      </c>
    </row>
    <row r="37" spans="2:6" x14ac:dyDescent="0.25">
      <c r="B37" s="11">
        <v>3205</v>
      </c>
      <c r="C37" s="12">
        <f>(Table5[[#This Row],[Backers Count Successul]]-$I$3)/$I$8</f>
        <v>1.8572796539126037</v>
      </c>
      <c r="E37">
        <v>1796</v>
      </c>
      <c r="F37" s="12">
        <f>(Table7[[#This Row],[Backers Count Failed]]-$J$3)/$J$8</f>
        <v>1.2591015198438309</v>
      </c>
    </row>
    <row r="38" spans="2:6" x14ac:dyDescent="0.25">
      <c r="B38" s="11">
        <v>3177</v>
      </c>
      <c r="C38" s="12">
        <f>(Table5[[#This Row],[Backers Count Successul]]-$I$3)/$I$8</f>
        <v>1.8351865885602217</v>
      </c>
      <c r="E38">
        <v>1790</v>
      </c>
      <c r="F38" s="12">
        <f>(Table7[[#This Row],[Backers Count Failed]]-$J$3)/$J$8</f>
        <v>1.2528600251792095</v>
      </c>
    </row>
    <row r="39" spans="2:6" x14ac:dyDescent="0.25">
      <c r="B39" s="11">
        <v>3131</v>
      </c>
      <c r="C39" s="12">
        <f>(Table5[[#This Row],[Backers Count Successul]]-$I$3)/$I$8</f>
        <v>1.7988908383384512</v>
      </c>
      <c r="E39">
        <v>1784</v>
      </c>
      <c r="F39" s="12">
        <f>(Table7[[#This Row],[Backers Count Failed]]-$J$3)/$J$8</f>
        <v>1.2466185305145878</v>
      </c>
    </row>
    <row r="40" spans="2:6" x14ac:dyDescent="0.25">
      <c r="B40" s="11">
        <v>3116</v>
      </c>
      <c r="C40" s="12">
        <f>(Table5[[#This Row],[Backers Count Successul]]-$I$3)/$I$8</f>
        <v>1.7870552676139608</v>
      </c>
      <c r="E40">
        <v>1758</v>
      </c>
      <c r="F40" s="12">
        <f>(Table7[[#This Row],[Backers Count Failed]]-$J$3)/$J$8</f>
        <v>1.2195720536345616</v>
      </c>
    </row>
    <row r="41" spans="2:6" x14ac:dyDescent="0.25">
      <c r="B41" s="11">
        <v>3063</v>
      </c>
      <c r="C41" s="12">
        <f>(Table5[[#This Row],[Backers Count Successul]]-$I$3)/$I$8</f>
        <v>1.7452362510540949</v>
      </c>
      <c r="E41">
        <v>1748</v>
      </c>
      <c r="F41" s="12">
        <f>(Table7[[#This Row],[Backers Count Failed]]-$J$3)/$J$8</f>
        <v>1.209169562526859</v>
      </c>
    </row>
    <row r="42" spans="2:6" x14ac:dyDescent="0.25">
      <c r="B42" s="11">
        <v>3059</v>
      </c>
      <c r="C42" s="12">
        <f>(Table5[[#This Row],[Backers Count Successul]]-$I$3)/$I$8</f>
        <v>1.7420800988608973</v>
      </c>
      <c r="E42">
        <v>1691</v>
      </c>
      <c r="F42" s="12">
        <f>(Table7[[#This Row],[Backers Count Failed]]-$J$3)/$J$8</f>
        <v>1.1498753632129552</v>
      </c>
    </row>
    <row r="43" spans="2:6" x14ac:dyDescent="0.25">
      <c r="B43" s="11">
        <v>3036</v>
      </c>
      <c r="C43" s="12">
        <f>(Table5[[#This Row],[Backers Count Successul]]-$I$3)/$I$8</f>
        <v>1.7239322237500121</v>
      </c>
      <c r="E43">
        <v>1684</v>
      </c>
      <c r="F43" s="12">
        <f>(Table7[[#This Row],[Backers Count Failed]]-$J$3)/$J$8</f>
        <v>1.1425936194375634</v>
      </c>
    </row>
    <row r="44" spans="2:6" x14ac:dyDescent="0.25">
      <c r="B44" s="11">
        <v>3016</v>
      </c>
      <c r="C44" s="12">
        <f>(Table5[[#This Row],[Backers Count Successul]]-$I$3)/$I$8</f>
        <v>1.7081514627840249</v>
      </c>
      <c r="E44">
        <v>1657</v>
      </c>
      <c r="F44" s="12">
        <f>(Table7[[#This Row],[Backers Count Failed]]-$J$3)/$J$8</f>
        <v>1.1145068934467668</v>
      </c>
    </row>
    <row r="45" spans="2:6" x14ac:dyDescent="0.25">
      <c r="B45" s="11">
        <v>2985</v>
      </c>
      <c r="C45" s="12">
        <f>(Table5[[#This Row],[Backers Count Successul]]-$I$3)/$I$8</f>
        <v>1.6836912832867448</v>
      </c>
      <c r="E45">
        <v>1625</v>
      </c>
      <c r="F45" s="12">
        <f>(Table7[[#This Row],[Backers Count Failed]]-$J$3)/$J$8</f>
        <v>1.0812189219021189</v>
      </c>
    </row>
    <row r="46" spans="2:6" x14ac:dyDescent="0.25">
      <c r="B46" s="11">
        <v>2893</v>
      </c>
      <c r="C46" s="12">
        <f>(Table5[[#This Row],[Backers Count Successul]]-$I$3)/$I$8</f>
        <v>1.6110997828432041</v>
      </c>
      <c r="E46">
        <v>1608</v>
      </c>
      <c r="F46" s="12">
        <f>(Table7[[#This Row],[Backers Count Failed]]-$J$3)/$J$8</f>
        <v>1.063534687019025</v>
      </c>
    </row>
    <row r="47" spans="2:6" x14ac:dyDescent="0.25">
      <c r="B47" s="11">
        <v>2875</v>
      </c>
      <c r="C47" s="12">
        <f>(Table5[[#This Row],[Backers Count Successul]]-$I$3)/$I$8</f>
        <v>1.5968970979738155</v>
      </c>
      <c r="E47">
        <v>1596</v>
      </c>
      <c r="F47" s="12">
        <f>(Table7[[#This Row],[Backers Count Failed]]-$J$3)/$J$8</f>
        <v>1.0510516976897819</v>
      </c>
    </row>
    <row r="48" spans="2:6" x14ac:dyDescent="0.25">
      <c r="B48" s="11">
        <v>2857</v>
      </c>
      <c r="C48" s="12">
        <f>(Table5[[#This Row],[Backers Count Successul]]-$I$3)/$I$8</f>
        <v>1.5826944131044272</v>
      </c>
      <c r="E48">
        <v>1538</v>
      </c>
      <c r="F48" s="12">
        <f>(Table7[[#This Row],[Backers Count Failed]]-$J$3)/$J$8</f>
        <v>0.99071724926510785</v>
      </c>
    </row>
    <row r="49" spans="2:6" x14ac:dyDescent="0.25">
      <c r="B49" s="11">
        <v>2805</v>
      </c>
      <c r="C49" s="12">
        <f>(Table5[[#This Row],[Backers Count Successul]]-$I$3)/$I$8</f>
        <v>1.5416644345928605</v>
      </c>
      <c r="E49">
        <v>1482</v>
      </c>
      <c r="F49" s="12">
        <f>(Table7[[#This Row],[Backers Count Failed]]-$J$3)/$J$8</f>
        <v>0.93246329906197412</v>
      </c>
    </row>
    <row r="50" spans="2:6" x14ac:dyDescent="0.25">
      <c r="B50" s="11">
        <v>2768</v>
      </c>
      <c r="C50" s="12">
        <f>(Table5[[#This Row],[Backers Count Successul]]-$I$3)/$I$8</f>
        <v>1.5124700268057842</v>
      </c>
      <c r="E50">
        <v>1467</v>
      </c>
      <c r="F50" s="12">
        <f>(Table7[[#This Row],[Backers Count Failed]]-$J$3)/$J$8</f>
        <v>0.91685956240042044</v>
      </c>
    </row>
    <row r="51" spans="2:6" x14ac:dyDescent="0.25">
      <c r="B51" s="11">
        <v>2756</v>
      </c>
      <c r="C51" s="12">
        <f>(Table5[[#This Row],[Backers Count Successul]]-$I$3)/$I$8</f>
        <v>1.5030015702261919</v>
      </c>
      <c r="E51">
        <v>1467</v>
      </c>
      <c r="F51" s="12">
        <f>(Table7[[#This Row],[Backers Count Failed]]-$J$3)/$J$8</f>
        <v>0.91685956240042044</v>
      </c>
    </row>
    <row r="52" spans="2:6" x14ac:dyDescent="0.25">
      <c r="B52" s="11">
        <v>2739</v>
      </c>
      <c r="C52" s="12">
        <f>(Table5[[#This Row],[Backers Count Successul]]-$I$3)/$I$8</f>
        <v>1.4895879234051028</v>
      </c>
      <c r="E52">
        <v>1439</v>
      </c>
      <c r="F52" s="12">
        <f>(Table7[[#This Row],[Backers Count Failed]]-$J$3)/$J$8</f>
        <v>0.88773258729885351</v>
      </c>
    </row>
    <row r="53" spans="2:6" x14ac:dyDescent="0.25">
      <c r="B53" s="11">
        <v>2725</v>
      </c>
      <c r="C53" s="12">
        <f>(Table5[[#This Row],[Backers Count Successul]]-$I$3)/$I$8</f>
        <v>1.4785413907289118</v>
      </c>
      <c r="E53">
        <v>1368</v>
      </c>
      <c r="F53" s="12">
        <f>(Table7[[#This Row],[Backers Count Failed]]-$J$3)/$J$8</f>
        <v>0.81387490043416622</v>
      </c>
    </row>
    <row r="54" spans="2:6" x14ac:dyDescent="0.25">
      <c r="B54" s="11">
        <v>2693</v>
      </c>
      <c r="C54" s="12">
        <f>(Table5[[#This Row],[Backers Count Successul]]-$I$3)/$I$8</f>
        <v>1.4532921731833324</v>
      </c>
      <c r="E54">
        <v>1335</v>
      </c>
      <c r="F54" s="12">
        <f>(Table7[[#This Row],[Backers Count Failed]]-$J$3)/$J$8</f>
        <v>0.77954667977874803</v>
      </c>
    </row>
    <row r="55" spans="2:6" x14ac:dyDescent="0.25">
      <c r="B55" s="11">
        <v>2673</v>
      </c>
      <c r="C55" s="12">
        <f>(Table5[[#This Row],[Backers Count Successul]]-$I$3)/$I$8</f>
        <v>1.4375114122173451</v>
      </c>
      <c r="E55">
        <v>1296</v>
      </c>
      <c r="F55" s="12">
        <f>(Table7[[#This Row],[Backers Count Failed]]-$J$3)/$J$8</f>
        <v>0.73897696445870853</v>
      </c>
    </row>
    <row r="56" spans="2:6" x14ac:dyDescent="0.25">
      <c r="B56" s="11">
        <v>2662</v>
      </c>
      <c r="C56" s="12">
        <f>(Table5[[#This Row],[Backers Count Successul]]-$I$3)/$I$8</f>
        <v>1.4288319936860521</v>
      </c>
      <c r="E56">
        <v>1274</v>
      </c>
      <c r="F56" s="12">
        <f>(Table7[[#This Row],[Backers Count Failed]]-$J$3)/$J$8</f>
        <v>0.71609148402176315</v>
      </c>
    </row>
    <row r="57" spans="2:6" x14ac:dyDescent="0.25">
      <c r="B57" s="11">
        <v>2551</v>
      </c>
      <c r="C57" s="12">
        <f>(Table5[[#This Row],[Backers Count Successul]]-$I$3)/$I$8</f>
        <v>1.3412487703248233</v>
      </c>
      <c r="E57">
        <v>1258</v>
      </c>
      <c r="F57" s="12">
        <f>(Table7[[#This Row],[Backers Count Failed]]-$J$3)/$J$8</f>
        <v>0.69944749824943919</v>
      </c>
    </row>
    <row r="58" spans="2:6" x14ac:dyDescent="0.25">
      <c r="B58" s="11">
        <v>2528</v>
      </c>
      <c r="C58" s="12">
        <f>(Table5[[#This Row],[Backers Count Successul]]-$I$3)/$I$8</f>
        <v>1.323100895213938</v>
      </c>
      <c r="E58">
        <v>1257</v>
      </c>
      <c r="F58" s="12">
        <f>(Table7[[#This Row],[Backers Count Failed]]-$J$3)/$J$8</f>
        <v>0.69840724913866903</v>
      </c>
    </row>
    <row r="59" spans="2:6" x14ac:dyDescent="0.25">
      <c r="B59" s="11">
        <v>2526</v>
      </c>
      <c r="C59" s="12">
        <f>(Table5[[#This Row],[Backers Count Successul]]-$I$3)/$I$8</f>
        <v>1.3215228191173394</v>
      </c>
      <c r="E59">
        <v>1229</v>
      </c>
      <c r="F59" s="12">
        <f>(Table7[[#This Row],[Backers Count Failed]]-$J$3)/$J$8</f>
        <v>0.66928027403710211</v>
      </c>
    </row>
    <row r="60" spans="2:6" x14ac:dyDescent="0.25">
      <c r="B60" s="11">
        <v>2506</v>
      </c>
      <c r="C60" s="12">
        <f>(Table5[[#This Row],[Backers Count Successul]]-$I$3)/$I$8</f>
        <v>1.3057420581513521</v>
      </c>
      <c r="E60">
        <v>1225</v>
      </c>
      <c r="F60" s="12">
        <f>(Table7[[#This Row],[Backers Count Failed]]-$J$3)/$J$8</f>
        <v>0.66511927759402112</v>
      </c>
    </row>
    <row r="61" spans="2:6" x14ac:dyDescent="0.25">
      <c r="B61" s="11">
        <v>2489</v>
      </c>
      <c r="C61" s="12">
        <f>(Table5[[#This Row],[Backers Count Successul]]-$I$3)/$I$8</f>
        <v>1.2923284113302631</v>
      </c>
      <c r="E61">
        <v>1221</v>
      </c>
      <c r="F61" s="12">
        <f>(Table7[[#This Row],[Backers Count Failed]]-$J$3)/$J$8</f>
        <v>0.66095828115094013</v>
      </c>
    </row>
    <row r="62" spans="2:6" x14ac:dyDescent="0.25">
      <c r="B62" s="11">
        <v>2475</v>
      </c>
      <c r="C62" s="12">
        <f>(Table5[[#This Row],[Backers Count Successul]]-$I$3)/$I$8</f>
        <v>1.2812818786540721</v>
      </c>
      <c r="E62">
        <v>1220</v>
      </c>
      <c r="F62" s="12">
        <f>(Table7[[#This Row],[Backers Count Failed]]-$J$3)/$J$8</f>
        <v>0.65991803204016997</v>
      </c>
    </row>
    <row r="63" spans="2:6" x14ac:dyDescent="0.25">
      <c r="B63" s="11">
        <v>2468</v>
      </c>
      <c r="C63" s="12">
        <f>(Table5[[#This Row],[Backers Count Successul]]-$I$3)/$I$8</f>
        <v>1.2757586123159765</v>
      </c>
      <c r="E63">
        <v>1198</v>
      </c>
      <c r="F63" s="12">
        <f>(Table7[[#This Row],[Backers Count Failed]]-$J$3)/$J$8</f>
        <v>0.63703255160322458</v>
      </c>
    </row>
    <row r="64" spans="2:6" x14ac:dyDescent="0.25">
      <c r="B64" s="11">
        <v>2443</v>
      </c>
      <c r="C64" s="12">
        <f>(Table5[[#This Row],[Backers Count Successul]]-$I$3)/$I$8</f>
        <v>1.2560326611084927</v>
      </c>
      <c r="E64">
        <v>1194</v>
      </c>
      <c r="F64" s="12">
        <f>(Table7[[#This Row],[Backers Count Failed]]-$J$3)/$J$8</f>
        <v>0.6328715551601436</v>
      </c>
    </row>
    <row r="65" spans="2:6" x14ac:dyDescent="0.25">
      <c r="B65" s="11">
        <v>2443</v>
      </c>
      <c r="C65" s="12">
        <f>(Table5[[#This Row],[Backers Count Successul]]-$I$3)/$I$8</f>
        <v>1.2560326611084927</v>
      </c>
      <c r="E65">
        <v>1181</v>
      </c>
      <c r="F65" s="12">
        <f>(Table7[[#This Row],[Backers Count Failed]]-$J$3)/$J$8</f>
        <v>0.61934831672013035</v>
      </c>
    </row>
    <row r="66" spans="2:6" x14ac:dyDescent="0.25">
      <c r="B66" s="11">
        <v>2441</v>
      </c>
      <c r="C66" s="12">
        <f>(Table5[[#This Row],[Backers Count Successul]]-$I$3)/$I$8</f>
        <v>1.2544545850118938</v>
      </c>
      <c r="E66">
        <v>1130</v>
      </c>
      <c r="F66" s="12">
        <f>(Table7[[#This Row],[Backers Count Failed]]-$J$3)/$J$8</f>
        <v>0.56629561207084789</v>
      </c>
    </row>
    <row r="67" spans="2:6" x14ac:dyDescent="0.25">
      <c r="B67" s="11">
        <v>2436</v>
      </c>
      <c r="C67" s="12">
        <f>(Table5[[#This Row],[Backers Count Successul]]-$I$3)/$I$8</f>
        <v>1.2505093947703971</v>
      </c>
      <c r="E67">
        <v>1121</v>
      </c>
      <c r="F67" s="12">
        <f>(Table7[[#This Row],[Backers Count Failed]]-$J$3)/$J$8</f>
        <v>0.55693337007391563</v>
      </c>
    </row>
    <row r="68" spans="2:6" x14ac:dyDescent="0.25">
      <c r="B68" s="11">
        <v>2431</v>
      </c>
      <c r="C68" s="12">
        <f>(Table5[[#This Row],[Backers Count Successul]]-$I$3)/$I$8</f>
        <v>1.2465642045289003</v>
      </c>
      <c r="E68">
        <v>1120</v>
      </c>
      <c r="F68" s="12">
        <f>(Table7[[#This Row],[Backers Count Failed]]-$J$3)/$J$8</f>
        <v>0.55589312096314547</v>
      </c>
    </row>
    <row r="69" spans="2:6" x14ac:dyDescent="0.25">
      <c r="B69" s="11">
        <v>2414</v>
      </c>
      <c r="C69" s="12">
        <f>(Table5[[#This Row],[Backers Count Successul]]-$I$3)/$I$8</f>
        <v>1.2331505577078112</v>
      </c>
      <c r="E69">
        <v>1072</v>
      </c>
      <c r="F69" s="12">
        <f>(Table7[[#This Row],[Backers Count Failed]]-$J$3)/$J$8</f>
        <v>0.50596116364617372</v>
      </c>
    </row>
    <row r="70" spans="2:6" x14ac:dyDescent="0.25">
      <c r="B70" s="11">
        <v>2409</v>
      </c>
      <c r="C70" s="12">
        <f>(Table5[[#This Row],[Backers Count Successul]]-$I$3)/$I$8</f>
        <v>1.2292053674663144</v>
      </c>
      <c r="E70">
        <v>1068</v>
      </c>
      <c r="F70" s="12">
        <f>(Table7[[#This Row],[Backers Count Failed]]-$J$3)/$J$8</f>
        <v>0.50180016720309273</v>
      </c>
    </row>
    <row r="71" spans="2:6" x14ac:dyDescent="0.25">
      <c r="B71" s="11">
        <v>2353</v>
      </c>
      <c r="C71" s="12">
        <f>(Table5[[#This Row],[Backers Count Successul]]-$I$3)/$I$8</f>
        <v>1.1850192367615502</v>
      </c>
      <c r="E71">
        <v>1063</v>
      </c>
      <c r="F71" s="12">
        <f>(Table7[[#This Row],[Backers Count Failed]]-$J$3)/$J$8</f>
        <v>0.49659892164924146</v>
      </c>
    </row>
    <row r="72" spans="2:6" x14ac:dyDescent="0.25">
      <c r="B72" s="11">
        <v>2346</v>
      </c>
      <c r="C72" s="12">
        <f>(Table5[[#This Row],[Backers Count Successul]]-$I$3)/$I$8</f>
        <v>1.1794959704234549</v>
      </c>
      <c r="E72">
        <v>1059</v>
      </c>
      <c r="F72" s="12">
        <f>(Table7[[#This Row],[Backers Count Failed]]-$J$3)/$J$8</f>
        <v>0.49243792520616048</v>
      </c>
    </row>
    <row r="73" spans="2:6" x14ac:dyDescent="0.25">
      <c r="B73" s="11">
        <v>2331</v>
      </c>
      <c r="C73" s="12">
        <f>(Table5[[#This Row],[Backers Count Successul]]-$I$3)/$I$8</f>
        <v>1.1676603996989645</v>
      </c>
      <c r="E73">
        <v>1028</v>
      </c>
      <c r="F73" s="12">
        <f>(Table7[[#This Row],[Backers Count Failed]]-$J$3)/$J$8</f>
        <v>0.4601902027722829</v>
      </c>
    </row>
    <row r="74" spans="2:6" x14ac:dyDescent="0.25">
      <c r="B74" s="11">
        <v>2326</v>
      </c>
      <c r="C74" s="12">
        <f>(Table5[[#This Row],[Backers Count Successul]]-$I$3)/$I$8</f>
        <v>1.1637152094574676</v>
      </c>
      <c r="E74">
        <v>1000</v>
      </c>
      <c r="F74" s="12">
        <f>(Table7[[#This Row],[Backers Count Failed]]-$J$3)/$J$8</f>
        <v>0.43106322767071603</v>
      </c>
    </row>
    <row r="75" spans="2:6" x14ac:dyDescent="0.25">
      <c r="B75" s="11">
        <v>2320</v>
      </c>
      <c r="C75" s="12">
        <f>(Table5[[#This Row],[Backers Count Successul]]-$I$3)/$I$8</f>
        <v>1.1589809811676715</v>
      </c>
      <c r="E75">
        <v>955</v>
      </c>
      <c r="F75" s="12">
        <f>(Table7[[#This Row],[Backers Count Failed]]-$J$3)/$J$8</f>
        <v>0.38425201768605505</v>
      </c>
    </row>
    <row r="76" spans="2:6" x14ac:dyDescent="0.25">
      <c r="B76" s="11">
        <v>2293</v>
      </c>
      <c r="C76" s="12">
        <f>(Table5[[#This Row],[Backers Count Successul]]-$I$3)/$I$8</f>
        <v>1.1376769538635887</v>
      </c>
      <c r="E76">
        <v>941</v>
      </c>
      <c r="F76" s="12">
        <f>(Table7[[#This Row],[Backers Count Failed]]-$J$3)/$J$8</f>
        <v>0.36968853013527159</v>
      </c>
    </row>
    <row r="77" spans="2:6" x14ac:dyDescent="0.25">
      <c r="B77" s="11">
        <v>2289</v>
      </c>
      <c r="C77" s="12">
        <f>(Table5[[#This Row],[Backers Count Successul]]-$I$3)/$I$8</f>
        <v>1.1345208016703914</v>
      </c>
      <c r="E77">
        <v>940</v>
      </c>
      <c r="F77" s="12">
        <f>(Table7[[#This Row],[Backers Count Failed]]-$J$3)/$J$8</f>
        <v>0.36864828102450137</v>
      </c>
    </row>
    <row r="78" spans="2:6" x14ac:dyDescent="0.25">
      <c r="B78" s="11">
        <v>2283</v>
      </c>
      <c r="C78" s="12">
        <f>(Table5[[#This Row],[Backers Count Successul]]-$I$3)/$I$8</f>
        <v>1.1297865733805952</v>
      </c>
      <c r="E78">
        <v>934</v>
      </c>
      <c r="F78" s="12">
        <f>(Table7[[#This Row],[Backers Count Failed]]-$J$3)/$J$8</f>
        <v>0.36240678635987988</v>
      </c>
    </row>
    <row r="79" spans="2:6" x14ac:dyDescent="0.25">
      <c r="B79" s="11">
        <v>2266</v>
      </c>
      <c r="C79" s="12">
        <f>(Table5[[#This Row],[Backers Count Successul]]-$I$3)/$I$8</f>
        <v>1.1163729265595062</v>
      </c>
      <c r="E79">
        <v>931</v>
      </c>
      <c r="F79" s="12">
        <f>(Table7[[#This Row],[Backers Count Failed]]-$J$3)/$J$8</f>
        <v>0.35928603902756917</v>
      </c>
    </row>
    <row r="80" spans="2:6" x14ac:dyDescent="0.25">
      <c r="B80" s="11">
        <v>2261</v>
      </c>
      <c r="C80" s="12">
        <f>(Table5[[#This Row],[Backers Count Successul]]-$I$3)/$I$8</f>
        <v>1.1124277363180093</v>
      </c>
      <c r="E80">
        <v>926</v>
      </c>
      <c r="F80" s="12">
        <f>(Table7[[#This Row],[Backers Count Failed]]-$J$3)/$J$8</f>
        <v>0.35408479347371796</v>
      </c>
    </row>
    <row r="81" spans="2:6" x14ac:dyDescent="0.25">
      <c r="B81" s="11">
        <v>2237</v>
      </c>
      <c r="C81" s="12">
        <f>(Table5[[#This Row],[Backers Count Successul]]-$I$3)/$I$8</f>
        <v>1.0934908231588247</v>
      </c>
      <c r="E81">
        <v>923</v>
      </c>
      <c r="F81" s="12">
        <f>(Table7[[#This Row],[Backers Count Failed]]-$J$3)/$J$8</f>
        <v>0.35096404614140719</v>
      </c>
    </row>
    <row r="82" spans="2:6" x14ac:dyDescent="0.25">
      <c r="B82" s="11">
        <v>2230</v>
      </c>
      <c r="C82" s="12">
        <f>(Table5[[#This Row],[Backers Count Successul]]-$I$3)/$I$8</f>
        <v>1.0879675568207292</v>
      </c>
      <c r="E82">
        <v>908</v>
      </c>
      <c r="F82" s="12">
        <f>(Table7[[#This Row],[Backers Count Failed]]-$J$3)/$J$8</f>
        <v>0.33536030947985351</v>
      </c>
    </row>
    <row r="83" spans="2:6" x14ac:dyDescent="0.25">
      <c r="B83" s="11">
        <v>2220</v>
      </c>
      <c r="C83" s="12">
        <f>(Table5[[#This Row],[Backers Count Successul]]-$I$3)/$I$8</f>
        <v>1.0800771763377357</v>
      </c>
      <c r="E83">
        <v>889</v>
      </c>
      <c r="F83" s="12">
        <f>(Table7[[#This Row],[Backers Count Failed]]-$J$3)/$J$8</f>
        <v>0.3155955763752189</v>
      </c>
    </row>
    <row r="84" spans="2:6" x14ac:dyDescent="0.25">
      <c r="B84" s="11">
        <v>2218</v>
      </c>
      <c r="C84" s="12">
        <f>(Table5[[#This Row],[Backers Count Successul]]-$I$3)/$I$8</f>
        <v>1.0784991002411368</v>
      </c>
      <c r="E84">
        <v>886</v>
      </c>
      <c r="F84" s="12">
        <f>(Table7[[#This Row],[Backers Count Failed]]-$J$3)/$J$8</f>
        <v>0.31247482904290813</v>
      </c>
    </row>
    <row r="85" spans="2:6" x14ac:dyDescent="0.25">
      <c r="B85" s="11">
        <v>2188</v>
      </c>
      <c r="C85" s="12">
        <f>(Table5[[#This Row],[Backers Count Successul]]-$I$3)/$I$8</f>
        <v>1.0548279587921561</v>
      </c>
      <c r="E85">
        <v>859</v>
      </c>
      <c r="F85" s="12">
        <f>(Table7[[#This Row],[Backers Count Failed]]-$J$3)/$J$8</f>
        <v>0.28438810305211154</v>
      </c>
    </row>
    <row r="86" spans="2:6" x14ac:dyDescent="0.25">
      <c r="B86" s="11">
        <v>2144</v>
      </c>
      <c r="C86" s="12">
        <f>(Table5[[#This Row],[Backers Count Successul]]-$I$3)/$I$8</f>
        <v>1.0201102846669843</v>
      </c>
      <c r="E86">
        <v>846</v>
      </c>
      <c r="F86" s="12">
        <f>(Table7[[#This Row],[Backers Count Failed]]-$J$3)/$J$8</f>
        <v>0.27086486461209835</v>
      </c>
    </row>
    <row r="87" spans="2:6" x14ac:dyDescent="0.25">
      <c r="B87" s="11">
        <v>2120</v>
      </c>
      <c r="C87" s="12">
        <f>(Table5[[#This Row],[Backers Count Successul]]-$I$3)/$I$8</f>
        <v>1.0011733715077997</v>
      </c>
      <c r="E87">
        <v>842</v>
      </c>
      <c r="F87" s="12">
        <f>(Table7[[#This Row],[Backers Count Failed]]-$J$3)/$J$8</f>
        <v>0.26670386816901737</v>
      </c>
    </row>
    <row r="88" spans="2:6" x14ac:dyDescent="0.25">
      <c r="B88" s="11">
        <v>2107</v>
      </c>
      <c r="C88" s="12">
        <f>(Table5[[#This Row],[Backers Count Successul]]-$I$3)/$I$8</f>
        <v>0.99091587687990801</v>
      </c>
      <c r="E88">
        <v>838</v>
      </c>
      <c r="F88" s="12">
        <f>(Table7[[#This Row],[Backers Count Failed]]-$J$3)/$J$8</f>
        <v>0.26254287172593638</v>
      </c>
    </row>
    <row r="89" spans="2:6" x14ac:dyDescent="0.25">
      <c r="B89" s="11">
        <v>2106</v>
      </c>
      <c r="C89" s="12">
        <f>(Table5[[#This Row],[Backers Count Successul]]-$I$3)/$I$8</f>
        <v>0.99012683883160868</v>
      </c>
      <c r="E89">
        <v>831</v>
      </c>
      <c r="F89" s="12">
        <f>(Table7[[#This Row],[Backers Count Failed]]-$J$3)/$J$8</f>
        <v>0.25526112795054468</v>
      </c>
    </row>
    <row r="90" spans="2:6" x14ac:dyDescent="0.25">
      <c r="B90" s="11">
        <v>2105</v>
      </c>
      <c r="C90" s="12">
        <f>(Table5[[#This Row],[Backers Count Successul]]-$I$3)/$I$8</f>
        <v>0.98933780078330935</v>
      </c>
      <c r="E90">
        <v>830</v>
      </c>
      <c r="F90" s="12">
        <f>(Table7[[#This Row],[Backers Count Failed]]-$J$3)/$J$8</f>
        <v>0.25422087883977446</v>
      </c>
    </row>
    <row r="91" spans="2:6" x14ac:dyDescent="0.25">
      <c r="B91" s="11">
        <v>2100</v>
      </c>
      <c r="C91" s="12">
        <f>(Table5[[#This Row],[Backers Count Successul]]-$I$3)/$I$8</f>
        <v>0.9853926105418126</v>
      </c>
      <c r="E91">
        <v>830</v>
      </c>
      <c r="F91" s="12">
        <f>(Table7[[#This Row],[Backers Count Failed]]-$J$3)/$J$8</f>
        <v>0.25422087883977446</v>
      </c>
    </row>
    <row r="92" spans="2:6" x14ac:dyDescent="0.25">
      <c r="B92" s="11">
        <v>2080</v>
      </c>
      <c r="C92" s="12">
        <f>(Table5[[#This Row],[Backers Count Successul]]-$I$3)/$I$8</f>
        <v>0.96961184957582536</v>
      </c>
      <c r="E92">
        <v>803</v>
      </c>
      <c r="F92" s="12">
        <f>(Table7[[#This Row],[Backers Count Failed]]-$J$3)/$J$8</f>
        <v>0.22613415284897781</v>
      </c>
    </row>
    <row r="93" spans="2:6" x14ac:dyDescent="0.25">
      <c r="B93" s="11">
        <v>2053</v>
      </c>
      <c r="C93" s="12">
        <f>(Table5[[#This Row],[Backers Count Successul]]-$I$3)/$I$8</f>
        <v>0.94830782227174271</v>
      </c>
      <c r="E93">
        <v>792</v>
      </c>
      <c r="F93" s="12">
        <f>(Table7[[#This Row],[Backers Count Failed]]-$J$3)/$J$8</f>
        <v>0.21469141263050512</v>
      </c>
    </row>
    <row r="94" spans="2:6" x14ac:dyDescent="0.25">
      <c r="B94" s="11">
        <v>2043</v>
      </c>
      <c r="C94" s="12">
        <f>(Table5[[#This Row],[Backers Count Successul]]-$I$3)/$I$8</f>
        <v>0.94041744178874909</v>
      </c>
      <c r="E94">
        <v>782</v>
      </c>
      <c r="F94" s="12">
        <f>(Table7[[#This Row],[Backers Count Failed]]-$J$3)/$J$8</f>
        <v>0.20428892152280267</v>
      </c>
    </row>
    <row r="95" spans="2:6" x14ac:dyDescent="0.25">
      <c r="B95" s="11">
        <v>2038</v>
      </c>
      <c r="C95" s="12">
        <f>(Table5[[#This Row],[Backers Count Successul]]-$I$3)/$I$8</f>
        <v>0.93647225154725233</v>
      </c>
      <c r="E95">
        <v>774</v>
      </c>
      <c r="F95" s="12">
        <f>(Table7[[#This Row],[Backers Count Failed]]-$J$3)/$J$8</f>
        <v>0.19596692863664072</v>
      </c>
    </row>
    <row r="96" spans="2:6" x14ac:dyDescent="0.25">
      <c r="B96" s="11">
        <v>2013</v>
      </c>
      <c r="C96" s="12">
        <f>(Table5[[#This Row],[Backers Count Successul]]-$I$3)/$I$8</f>
        <v>0.91674630033976834</v>
      </c>
      <c r="E96">
        <v>752</v>
      </c>
      <c r="F96" s="12">
        <f>(Table7[[#This Row],[Backers Count Failed]]-$J$3)/$J$8</f>
        <v>0.17308144819969534</v>
      </c>
    </row>
    <row r="97" spans="2:6" x14ac:dyDescent="0.25">
      <c r="B97" s="11">
        <v>1991</v>
      </c>
      <c r="C97" s="12">
        <f>(Table5[[#This Row],[Backers Count Successul]]-$I$3)/$I$8</f>
        <v>0.89938746327718244</v>
      </c>
      <c r="E97">
        <v>750</v>
      </c>
      <c r="F97" s="12">
        <f>(Table7[[#This Row],[Backers Count Failed]]-$J$3)/$J$8</f>
        <v>0.17100094997815485</v>
      </c>
    </row>
    <row r="98" spans="2:6" x14ac:dyDescent="0.25">
      <c r="B98" s="11">
        <v>1989</v>
      </c>
      <c r="C98" s="12">
        <f>(Table5[[#This Row],[Backers Count Successul]]-$I$3)/$I$8</f>
        <v>0.89780938718058367</v>
      </c>
      <c r="E98">
        <v>750</v>
      </c>
      <c r="F98" s="12">
        <f>(Table7[[#This Row],[Backers Count Failed]]-$J$3)/$J$8</f>
        <v>0.17100094997815485</v>
      </c>
    </row>
    <row r="99" spans="2:6" x14ac:dyDescent="0.25">
      <c r="B99" s="11">
        <v>1965</v>
      </c>
      <c r="C99" s="12">
        <f>(Table5[[#This Row],[Backers Count Successul]]-$I$3)/$I$8</f>
        <v>0.87887247402139912</v>
      </c>
      <c r="E99">
        <v>747</v>
      </c>
      <c r="F99" s="12">
        <f>(Table7[[#This Row],[Backers Count Failed]]-$J$3)/$J$8</f>
        <v>0.16788020264584411</v>
      </c>
    </row>
    <row r="100" spans="2:6" x14ac:dyDescent="0.25">
      <c r="B100" s="11">
        <v>1917</v>
      </c>
      <c r="C100" s="12">
        <f>(Table5[[#This Row],[Backers Count Successul]]-$I$3)/$I$8</f>
        <v>0.8409986477030299</v>
      </c>
      <c r="E100">
        <v>742</v>
      </c>
      <c r="F100" s="12">
        <f>(Table7[[#This Row],[Backers Count Failed]]-$J$3)/$J$8</f>
        <v>0.16267895709199287</v>
      </c>
    </row>
    <row r="101" spans="2:6" x14ac:dyDescent="0.25">
      <c r="B101" s="11">
        <v>1902</v>
      </c>
      <c r="C101" s="12">
        <f>(Table5[[#This Row],[Backers Count Successul]]-$I$3)/$I$8</f>
        <v>0.82916307697853953</v>
      </c>
      <c r="E101">
        <v>714</v>
      </c>
      <c r="F101" s="12">
        <f>(Table7[[#This Row],[Backers Count Failed]]-$J$3)/$J$8</f>
        <v>0.13355198199042603</v>
      </c>
    </row>
    <row r="102" spans="2:6" x14ac:dyDescent="0.25">
      <c r="B102" s="11">
        <v>1894</v>
      </c>
      <c r="C102" s="12">
        <f>(Table5[[#This Row],[Backers Count Successul]]-$I$3)/$I$8</f>
        <v>0.82285077259214467</v>
      </c>
      <c r="E102">
        <v>679</v>
      </c>
      <c r="F102" s="12">
        <f>(Table7[[#This Row],[Backers Count Failed]]-$J$3)/$J$8</f>
        <v>9.7143263113467451E-2</v>
      </c>
    </row>
    <row r="103" spans="2:6" x14ac:dyDescent="0.25">
      <c r="B103" s="11">
        <v>1887</v>
      </c>
      <c r="C103" s="12">
        <f>(Table5[[#This Row],[Backers Count Successul]]-$I$3)/$I$8</f>
        <v>0.81732750625404915</v>
      </c>
      <c r="E103">
        <v>679</v>
      </c>
      <c r="F103" s="12">
        <f>(Table7[[#This Row],[Backers Count Failed]]-$J$3)/$J$8</f>
        <v>9.7143263113467451E-2</v>
      </c>
    </row>
    <row r="104" spans="2:6" x14ac:dyDescent="0.25">
      <c r="B104" s="11">
        <v>1884</v>
      </c>
      <c r="C104" s="12">
        <f>(Table5[[#This Row],[Backers Count Successul]]-$I$3)/$I$8</f>
        <v>0.81496039210915105</v>
      </c>
      <c r="E104">
        <v>676</v>
      </c>
      <c r="F104" s="12">
        <f>(Table7[[#This Row],[Backers Count Failed]]-$J$3)/$J$8</f>
        <v>9.4022515781156724E-2</v>
      </c>
    </row>
    <row r="105" spans="2:6" x14ac:dyDescent="0.25">
      <c r="B105" s="11">
        <v>1866</v>
      </c>
      <c r="C105" s="12">
        <f>(Table5[[#This Row],[Backers Count Successul]]-$I$3)/$I$8</f>
        <v>0.80075770723976258</v>
      </c>
      <c r="E105">
        <v>674</v>
      </c>
      <c r="F105" s="12">
        <f>(Table7[[#This Row],[Backers Count Failed]]-$J$3)/$J$8</f>
        <v>9.1942017559616229E-2</v>
      </c>
    </row>
    <row r="106" spans="2:6" x14ac:dyDescent="0.25">
      <c r="B106" s="11">
        <v>1821</v>
      </c>
      <c r="C106" s="12">
        <f>(Table5[[#This Row],[Backers Count Successul]]-$I$3)/$I$8</f>
        <v>0.76525099506629146</v>
      </c>
      <c r="E106">
        <v>672</v>
      </c>
      <c r="F106" s="12">
        <f>(Table7[[#This Row],[Backers Count Failed]]-$J$3)/$J$8</f>
        <v>8.9861519338075735E-2</v>
      </c>
    </row>
    <row r="107" spans="2:6" x14ac:dyDescent="0.25">
      <c r="B107" s="11">
        <v>1815</v>
      </c>
      <c r="C107" s="12">
        <f>(Table5[[#This Row],[Backers Count Successul]]-$I$3)/$I$8</f>
        <v>0.76051676677649527</v>
      </c>
      <c r="E107">
        <v>662</v>
      </c>
      <c r="F107" s="12">
        <f>(Table7[[#This Row],[Backers Count Failed]]-$J$3)/$J$8</f>
        <v>7.9459028230373291E-2</v>
      </c>
    </row>
    <row r="108" spans="2:6" x14ac:dyDescent="0.25">
      <c r="B108" s="11">
        <v>1797</v>
      </c>
      <c r="C108" s="12">
        <f>(Table5[[#This Row],[Backers Count Successul]]-$I$3)/$I$8</f>
        <v>0.74631408190710691</v>
      </c>
      <c r="E108">
        <v>656</v>
      </c>
      <c r="F108" s="12">
        <f>(Table7[[#This Row],[Backers Count Failed]]-$J$3)/$J$8</f>
        <v>7.3217533565751822E-2</v>
      </c>
    </row>
    <row r="109" spans="2:6" x14ac:dyDescent="0.25">
      <c r="B109" s="11">
        <v>1785</v>
      </c>
      <c r="C109" s="12">
        <f>(Table5[[#This Row],[Backers Count Successul]]-$I$3)/$I$8</f>
        <v>0.73684562532751452</v>
      </c>
      <c r="E109">
        <v>648</v>
      </c>
      <c r="F109" s="12">
        <f>(Table7[[#This Row],[Backers Count Failed]]-$J$3)/$J$8</f>
        <v>6.4895540679589858E-2</v>
      </c>
    </row>
    <row r="110" spans="2:6" x14ac:dyDescent="0.25">
      <c r="B110" s="11">
        <v>1784</v>
      </c>
      <c r="C110" s="12">
        <f>(Table5[[#This Row],[Backers Count Successul]]-$I$3)/$I$8</f>
        <v>0.73605658727921519</v>
      </c>
      <c r="E110">
        <v>648</v>
      </c>
      <c r="F110" s="12">
        <f>(Table7[[#This Row],[Backers Count Failed]]-$J$3)/$J$8</f>
        <v>6.4895540679589858E-2</v>
      </c>
    </row>
    <row r="111" spans="2:6" x14ac:dyDescent="0.25">
      <c r="B111" s="11">
        <v>1782</v>
      </c>
      <c r="C111" s="12">
        <f>(Table5[[#This Row],[Backers Count Successul]]-$I$3)/$I$8</f>
        <v>0.73447851118261642</v>
      </c>
      <c r="E111">
        <v>605</v>
      </c>
      <c r="F111" s="12">
        <f>(Table7[[#This Row],[Backers Count Failed]]-$J$3)/$J$8</f>
        <v>2.0164828916469334E-2</v>
      </c>
    </row>
    <row r="112" spans="2:6" x14ac:dyDescent="0.25">
      <c r="B112" s="11">
        <v>1773</v>
      </c>
      <c r="C112" s="12">
        <f>(Table5[[#This Row],[Backers Count Successul]]-$I$3)/$I$8</f>
        <v>0.72737716874792224</v>
      </c>
      <c r="E112">
        <v>602</v>
      </c>
      <c r="F112" s="12">
        <f>(Table7[[#This Row],[Backers Count Failed]]-$J$3)/$J$8</f>
        <v>1.7044081584158599E-2</v>
      </c>
    </row>
    <row r="113" spans="2:6" x14ac:dyDescent="0.25">
      <c r="B113" s="11">
        <v>1713</v>
      </c>
      <c r="C113" s="12">
        <f>(Table5[[#This Row],[Backers Count Successul]]-$I$3)/$I$8</f>
        <v>0.68003488584996075</v>
      </c>
      <c r="E113">
        <v>594</v>
      </c>
      <c r="F113" s="12">
        <f>(Table7[[#This Row],[Backers Count Failed]]-$J$3)/$J$8</f>
        <v>8.7220886979966408E-3</v>
      </c>
    </row>
    <row r="114" spans="2:6" x14ac:dyDescent="0.25">
      <c r="B114" s="11">
        <v>1703</v>
      </c>
      <c r="C114" s="12">
        <f>(Table5[[#This Row],[Backers Count Successul]]-$I$3)/$I$8</f>
        <v>0.67214450536696713</v>
      </c>
      <c r="E114">
        <v>579</v>
      </c>
      <c r="F114" s="12">
        <f>(Table7[[#This Row],[Backers Count Failed]]-$J$3)/$J$8</f>
        <v>-6.8816479635570322E-3</v>
      </c>
    </row>
    <row r="115" spans="2:6" x14ac:dyDescent="0.25">
      <c r="B115" s="11">
        <v>1697</v>
      </c>
      <c r="C115" s="12">
        <f>(Table5[[#This Row],[Backers Count Successul]]-$I$3)/$I$8</f>
        <v>0.66741027707717093</v>
      </c>
      <c r="E115">
        <v>575</v>
      </c>
      <c r="F115" s="12">
        <f>(Table7[[#This Row],[Backers Count Failed]]-$J$3)/$J$8</f>
        <v>-1.104264440663801E-2</v>
      </c>
    </row>
    <row r="116" spans="2:6" x14ac:dyDescent="0.25">
      <c r="B116" s="11">
        <v>1690</v>
      </c>
      <c r="C116" s="12">
        <f>(Table5[[#This Row],[Backers Count Successul]]-$I$3)/$I$8</f>
        <v>0.66188701073907552</v>
      </c>
      <c r="E116">
        <v>558</v>
      </c>
      <c r="F116" s="12">
        <f>(Table7[[#This Row],[Backers Count Failed]]-$J$3)/$J$8</f>
        <v>-2.8726879289732173E-2</v>
      </c>
    </row>
    <row r="117" spans="2:6" x14ac:dyDescent="0.25">
      <c r="B117" s="11">
        <v>1684</v>
      </c>
      <c r="C117" s="12">
        <f>(Table5[[#This Row],[Backers Count Successul]]-$I$3)/$I$8</f>
        <v>0.65715278244927933</v>
      </c>
      <c r="E117">
        <v>558</v>
      </c>
      <c r="F117" s="12">
        <f>(Table7[[#This Row],[Backers Count Failed]]-$J$3)/$J$8</f>
        <v>-2.8726879289732173E-2</v>
      </c>
    </row>
    <row r="118" spans="2:6" x14ac:dyDescent="0.25">
      <c r="B118" s="11">
        <v>1681</v>
      </c>
      <c r="C118" s="12">
        <f>(Table5[[#This Row],[Backers Count Successul]]-$I$3)/$I$8</f>
        <v>0.65478566830438123</v>
      </c>
      <c r="E118">
        <v>554</v>
      </c>
      <c r="F118" s="12">
        <f>(Table7[[#This Row],[Backers Count Failed]]-$J$3)/$J$8</f>
        <v>-3.2887875732813154E-2</v>
      </c>
    </row>
    <row r="119" spans="2:6" x14ac:dyDescent="0.25">
      <c r="B119" s="11">
        <v>1629</v>
      </c>
      <c r="C119" s="12">
        <f>(Table5[[#This Row],[Backers Count Successul]]-$I$3)/$I$8</f>
        <v>0.61375568979281458</v>
      </c>
      <c r="E119">
        <v>535</v>
      </c>
      <c r="F119" s="12">
        <f>(Table7[[#This Row],[Backers Count Failed]]-$J$3)/$J$8</f>
        <v>-5.2652608837447809E-2</v>
      </c>
    </row>
    <row r="120" spans="2:6" x14ac:dyDescent="0.25">
      <c r="B120" s="11">
        <v>1621</v>
      </c>
      <c r="C120" s="12">
        <f>(Table5[[#This Row],[Backers Count Successul]]-$I$3)/$I$8</f>
        <v>0.60744338540641973</v>
      </c>
      <c r="E120">
        <v>526</v>
      </c>
      <c r="F120" s="12">
        <f>(Table7[[#This Row],[Backers Count Failed]]-$J$3)/$J$8</f>
        <v>-6.2014850834380013E-2</v>
      </c>
    </row>
    <row r="121" spans="2:6" x14ac:dyDescent="0.25">
      <c r="B121" s="11">
        <v>1613</v>
      </c>
      <c r="C121" s="12">
        <f>(Table5[[#This Row],[Backers Count Successul]]-$I$3)/$I$8</f>
        <v>0.60113108102002488</v>
      </c>
      <c r="E121">
        <v>523</v>
      </c>
      <c r="F121" s="12">
        <f>(Table7[[#This Row],[Backers Count Failed]]-$J$3)/$J$8</f>
        <v>-6.5135598166690747E-2</v>
      </c>
    </row>
    <row r="122" spans="2:6" x14ac:dyDescent="0.25">
      <c r="B122" s="11">
        <v>1606</v>
      </c>
      <c r="C122" s="12">
        <f>(Table5[[#This Row],[Backers Count Successul]]-$I$3)/$I$8</f>
        <v>0.59560781468192936</v>
      </c>
      <c r="E122">
        <v>513</v>
      </c>
      <c r="F122" s="12">
        <f>(Table7[[#This Row],[Backers Count Failed]]-$J$3)/$J$8</f>
        <v>-7.5538089274393191E-2</v>
      </c>
    </row>
    <row r="123" spans="2:6" x14ac:dyDescent="0.25">
      <c r="B123" s="11">
        <v>1605</v>
      </c>
      <c r="C123" s="12">
        <f>(Table5[[#This Row],[Backers Count Successul]]-$I$3)/$I$8</f>
        <v>0.59481877663363003</v>
      </c>
      <c r="E123">
        <v>504</v>
      </c>
      <c r="F123" s="12">
        <f>(Table7[[#This Row],[Backers Count Failed]]-$J$3)/$J$8</f>
        <v>-8.4900331271325402E-2</v>
      </c>
    </row>
    <row r="124" spans="2:6" x14ac:dyDescent="0.25">
      <c r="B124" s="11">
        <v>1604</v>
      </c>
      <c r="C124" s="12">
        <f>(Table5[[#This Row],[Backers Count Successul]]-$I$3)/$I$8</f>
        <v>0.59402973858533059</v>
      </c>
      <c r="E124">
        <v>454</v>
      </c>
      <c r="F124" s="12">
        <f>(Table7[[#This Row],[Backers Count Failed]]-$J$3)/$J$8</f>
        <v>-0.13691278680983765</v>
      </c>
    </row>
    <row r="125" spans="2:6" x14ac:dyDescent="0.25">
      <c r="B125" s="11">
        <v>1600</v>
      </c>
      <c r="C125" s="12">
        <f>(Table5[[#This Row],[Backers Count Successul]]-$I$3)/$I$8</f>
        <v>0.59087358639213317</v>
      </c>
      <c r="E125">
        <v>452</v>
      </c>
      <c r="F125" s="12">
        <f>(Table7[[#This Row],[Backers Count Failed]]-$J$3)/$J$8</f>
        <v>-0.13899328503137812</v>
      </c>
    </row>
    <row r="126" spans="2:6" x14ac:dyDescent="0.25">
      <c r="B126" s="11">
        <v>1573</v>
      </c>
      <c r="C126" s="12">
        <f>(Table5[[#This Row],[Backers Count Successul]]-$I$3)/$I$8</f>
        <v>0.56956955908805051</v>
      </c>
      <c r="E126">
        <v>452</v>
      </c>
      <c r="F126" s="12">
        <f>(Table7[[#This Row],[Backers Count Failed]]-$J$3)/$J$8</f>
        <v>-0.13899328503137812</v>
      </c>
    </row>
    <row r="127" spans="2:6" x14ac:dyDescent="0.25">
      <c r="B127" s="11">
        <v>1572</v>
      </c>
      <c r="C127" s="12">
        <f>(Table5[[#This Row],[Backers Count Successul]]-$I$3)/$I$8</f>
        <v>0.56878052103975119</v>
      </c>
      <c r="E127">
        <v>441</v>
      </c>
      <c r="F127" s="12">
        <f>(Table7[[#This Row],[Backers Count Failed]]-$J$3)/$J$8</f>
        <v>-0.15043602524985084</v>
      </c>
    </row>
    <row r="128" spans="2:6" x14ac:dyDescent="0.25">
      <c r="B128" s="11">
        <v>1561</v>
      </c>
      <c r="C128" s="12">
        <f>(Table5[[#This Row],[Backers Count Successul]]-$I$3)/$I$8</f>
        <v>0.56010110250845824</v>
      </c>
      <c r="E128">
        <v>435</v>
      </c>
      <c r="F128" s="12">
        <f>(Table7[[#This Row],[Backers Count Failed]]-$J$3)/$J$8</f>
        <v>-0.15667751991447229</v>
      </c>
    </row>
    <row r="129" spans="2:6" x14ac:dyDescent="0.25">
      <c r="B129" s="11">
        <v>1559</v>
      </c>
      <c r="C129" s="12">
        <f>(Table5[[#This Row],[Backers Count Successul]]-$I$3)/$I$8</f>
        <v>0.55852302641185947</v>
      </c>
      <c r="E129">
        <v>424</v>
      </c>
      <c r="F129" s="12">
        <f>(Table7[[#This Row],[Backers Count Failed]]-$J$3)/$J$8</f>
        <v>-0.16812026013294498</v>
      </c>
    </row>
    <row r="130" spans="2:6" x14ac:dyDescent="0.25">
      <c r="B130" s="11">
        <v>1548</v>
      </c>
      <c r="C130" s="12">
        <f>(Table5[[#This Row],[Backers Count Successul]]-$I$3)/$I$8</f>
        <v>0.54984360788056652</v>
      </c>
      <c r="E130">
        <v>418</v>
      </c>
      <c r="F130" s="12">
        <f>(Table7[[#This Row],[Backers Count Failed]]-$J$3)/$J$8</f>
        <v>-0.17436175479756647</v>
      </c>
    </row>
    <row r="131" spans="2:6" x14ac:dyDescent="0.25">
      <c r="B131" s="11">
        <v>1539</v>
      </c>
      <c r="C131" s="12">
        <f>(Table5[[#This Row],[Backers Count Successul]]-$I$3)/$I$8</f>
        <v>0.54274226544587234</v>
      </c>
      <c r="E131">
        <v>395</v>
      </c>
      <c r="F131" s="12">
        <f>(Table7[[#This Row],[Backers Count Failed]]-$J$3)/$J$8</f>
        <v>-0.19828748434528209</v>
      </c>
    </row>
    <row r="132" spans="2:6" x14ac:dyDescent="0.25">
      <c r="B132" s="11">
        <v>1518</v>
      </c>
      <c r="C132" s="12">
        <f>(Table5[[#This Row],[Backers Count Successul]]-$I$3)/$I$8</f>
        <v>0.52617246643158577</v>
      </c>
      <c r="E132">
        <v>393</v>
      </c>
      <c r="F132" s="12">
        <f>(Table7[[#This Row],[Backers Count Failed]]-$J$3)/$J$8</f>
        <v>-0.20036798256682259</v>
      </c>
    </row>
    <row r="133" spans="2:6" x14ac:dyDescent="0.25">
      <c r="B133" s="11">
        <v>1470</v>
      </c>
      <c r="C133" s="12">
        <f>(Table5[[#This Row],[Backers Count Successul]]-$I$3)/$I$8</f>
        <v>0.48829864011321655</v>
      </c>
      <c r="E133">
        <v>374</v>
      </c>
      <c r="F133" s="12">
        <f>(Table7[[#This Row],[Backers Count Failed]]-$J$3)/$J$8</f>
        <v>-0.22013271567145723</v>
      </c>
    </row>
    <row r="134" spans="2:6" x14ac:dyDescent="0.25">
      <c r="B134" s="11">
        <v>1467</v>
      </c>
      <c r="C134" s="12">
        <f>(Table5[[#This Row],[Backers Count Successul]]-$I$3)/$I$8</f>
        <v>0.48593152596831846</v>
      </c>
      <c r="E134">
        <v>362</v>
      </c>
      <c r="F134" s="12">
        <f>(Table7[[#This Row],[Backers Count Failed]]-$J$3)/$J$8</f>
        <v>-0.23261570500070017</v>
      </c>
    </row>
    <row r="135" spans="2:6" x14ac:dyDescent="0.25">
      <c r="B135" s="11">
        <v>1460</v>
      </c>
      <c r="C135" s="12">
        <f>(Table5[[#This Row],[Backers Count Successul]]-$I$3)/$I$8</f>
        <v>0.48040825963022299</v>
      </c>
      <c r="E135">
        <v>355</v>
      </c>
      <c r="F135" s="12">
        <f>(Table7[[#This Row],[Backers Count Failed]]-$J$3)/$J$8</f>
        <v>-0.23989744877609187</v>
      </c>
    </row>
    <row r="136" spans="2:6" x14ac:dyDescent="0.25">
      <c r="B136" s="11">
        <v>1442</v>
      </c>
      <c r="C136" s="12">
        <f>(Table5[[#This Row],[Backers Count Successul]]-$I$3)/$I$8</f>
        <v>0.46620557476083452</v>
      </c>
      <c r="E136">
        <v>347</v>
      </c>
      <c r="F136" s="12">
        <f>(Table7[[#This Row],[Backers Count Failed]]-$J$3)/$J$8</f>
        <v>-0.24821944166225385</v>
      </c>
    </row>
    <row r="137" spans="2:6" x14ac:dyDescent="0.25">
      <c r="B137" s="11">
        <v>1425</v>
      </c>
      <c r="C137" s="12">
        <f>(Table5[[#This Row],[Backers Count Successul]]-$I$3)/$I$8</f>
        <v>0.45279192793974543</v>
      </c>
      <c r="E137">
        <v>331</v>
      </c>
      <c r="F137" s="12">
        <f>(Table7[[#This Row],[Backers Count Failed]]-$J$3)/$J$8</f>
        <v>-0.26486342743457775</v>
      </c>
    </row>
    <row r="138" spans="2:6" x14ac:dyDescent="0.25">
      <c r="B138" s="11">
        <v>1396</v>
      </c>
      <c r="C138" s="12">
        <f>(Table5[[#This Row],[Backers Count Successul]]-$I$3)/$I$8</f>
        <v>0.42990982453906401</v>
      </c>
      <c r="E138">
        <v>328</v>
      </c>
      <c r="F138" s="12">
        <f>(Table7[[#This Row],[Backers Count Failed]]-$J$3)/$J$8</f>
        <v>-0.26798417476688852</v>
      </c>
    </row>
    <row r="139" spans="2:6" x14ac:dyDescent="0.25">
      <c r="B139" s="11">
        <v>1396</v>
      </c>
      <c r="C139" s="12">
        <f>(Table5[[#This Row],[Backers Count Successul]]-$I$3)/$I$8</f>
        <v>0.42990982453906401</v>
      </c>
      <c r="E139">
        <v>326</v>
      </c>
      <c r="F139" s="12">
        <f>(Table7[[#This Row],[Backers Count Failed]]-$J$3)/$J$8</f>
        <v>-0.27006467298842896</v>
      </c>
    </row>
    <row r="140" spans="2:6" x14ac:dyDescent="0.25">
      <c r="B140" s="11">
        <v>1385</v>
      </c>
      <c r="C140" s="12">
        <f>(Table5[[#This Row],[Backers Count Successul]]-$I$3)/$I$8</f>
        <v>0.42123040600777106</v>
      </c>
      <c r="E140">
        <v>296</v>
      </c>
      <c r="F140" s="12">
        <f>(Table7[[#This Row],[Backers Count Failed]]-$J$3)/$J$8</f>
        <v>-0.30127214631153632</v>
      </c>
    </row>
    <row r="141" spans="2:6" x14ac:dyDescent="0.25">
      <c r="B141" s="11">
        <v>1354</v>
      </c>
      <c r="C141" s="12">
        <f>(Table5[[#This Row],[Backers Count Successul]]-$I$3)/$I$8</f>
        <v>0.39677022651049093</v>
      </c>
      <c r="E141">
        <v>263</v>
      </c>
      <c r="F141" s="12">
        <f>(Table7[[#This Row],[Backers Count Failed]]-$J$3)/$J$8</f>
        <v>-0.33560036696695439</v>
      </c>
    </row>
    <row r="142" spans="2:6" x14ac:dyDescent="0.25">
      <c r="B142" s="11">
        <v>1345</v>
      </c>
      <c r="C142" s="12">
        <f>(Table5[[#This Row],[Backers Count Successul]]-$I$3)/$I$8</f>
        <v>0.3896688840757967</v>
      </c>
      <c r="E142">
        <v>257</v>
      </c>
      <c r="F142" s="12">
        <f>(Table7[[#This Row],[Backers Count Failed]]-$J$3)/$J$8</f>
        <v>-0.34184186163157587</v>
      </c>
    </row>
    <row r="143" spans="2:6" x14ac:dyDescent="0.25">
      <c r="B143" s="11">
        <v>1297</v>
      </c>
      <c r="C143" s="12">
        <f>(Table5[[#This Row],[Backers Count Successul]]-$I$3)/$I$8</f>
        <v>0.35179505775742748</v>
      </c>
      <c r="E143">
        <v>253</v>
      </c>
      <c r="F143" s="12">
        <f>(Table7[[#This Row],[Backers Count Failed]]-$J$3)/$J$8</f>
        <v>-0.34600285807465686</v>
      </c>
    </row>
    <row r="144" spans="2:6" x14ac:dyDescent="0.25">
      <c r="B144" s="11">
        <v>1280</v>
      </c>
      <c r="C144" s="12">
        <f>(Table5[[#This Row],[Backers Count Successul]]-$I$3)/$I$8</f>
        <v>0.33838141093633839</v>
      </c>
      <c r="E144">
        <v>252</v>
      </c>
      <c r="F144" s="12">
        <f>(Table7[[#This Row],[Backers Count Failed]]-$J$3)/$J$8</f>
        <v>-0.34704310718542708</v>
      </c>
    </row>
    <row r="145" spans="2:6" x14ac:dyDescent="0.25">
      <c r="B145" s="11">
        <v>1267</v>
      </c>
      <c r="C145" s="12">
        <f>(Table5[[#This Row],[Backers Count Successul]]-$I$3)/$I$8</f>
        <v>0.32812391630844673</v>
      </c>
      <c r="E145">
        <v>248</v>
      </c>
      <c r="F145" s="12">
        <f>(Table7[[#This Row],[Backers Count Failed]]-$J$3)/$J$8</f>
        <v>-0.35120410362850807</v>
      </c>
    </row>
    <row r="146" spans="2:6" x14ac:dyDescent="0.25">
      <c r="B146" s="11">
        <v>1249</v>
      </c>
      <c r="C146" s="12">
        <f>(Table5[[#This Row],[Backers Count Successul]]-$I$3)/$I$8</f>
        <v>0.31392123143905831</v>
      </c>
      <c r="E146">
        <v>245</v>
      </c>
      <c r="F146" s="12">
        <f>(Table7[[#This Row],[Backers Count Failed]]-$J$3)/$J$8</f>
        <v>-0.35432485096081884</v>
      </c>
    </row>
    <row r="147" spans="2:6" x14ac:dyDescent="0.25">
      <c r="B147" s="11">
        <v>1170</v>
      </c>
      <c r="C147" s="12">
        <f>(Table5[[#This Row],[Backers Count Successul]]-$I$3)/$I$8</f>
        <v>0.25158722562340896</v>
      </c>
      <c r="E147">
        <v>245</v>
      </c>
      <c r="F147" s="12">
        <f>(Table7[[#This Row],[Backers Count Failed]]-$J$3)/$J$8</f>
        <v>-0.35432485096081884</v>
      </c>
    </row>
    <row r="148" spans="2:6" x14ac:dyDescent="0.25">
      <c r="B148" s="11">
        <v>1152</v>
      </c>
      <c r="C148" s="12">
        <f>(Table5[[#This Row],[Backers Count Successul]]-$I$3)/$I$8</f>
        <v>0.23738454075402049</v>
      </c>
      <c r="E148">
        <v>243</v>
      </c>
      <c r="F148" s="12">
        <f>(Table7[[#This Row],[Backers Count Failed]]-$J$3)/$J$8</f>
        <v>-0.35640534918235933</v>
      </c>
    </row>
    <row r="149" spans="2:6" x14ac:dyDescent="0.25">
      <c r="B149" s="11">
        <v>1140</v>
      </c>
      <c r="C149" s="12">
        <f>(Table5[[#This Row],[Backers Count Successul]]-$I$3)/$I$8</f>
        <v>0.22791608417442819</v>
      </c>
      <c r="E149">
        <v>243</v>
      </c>
      <c r="F149" s="12">
        <f>(Table7[[#This Row],[Backers Count Failed]]-$J$3)/$J$8</f>
        <v>-0.35640534918235933</v>
      </c>
    </row>
    <row r="150" spans="2:6" x14ac:dyDescent="0.25">
      <c r="B150" s="11">
        <v>1137</v>
      </c>
      <c r="C150" s="12">
        <f>(Table5[[#This Row],[Backers Count Successul]]-$I$3)/$I$8</f>
        <v>0.22554897002953012</v>
      </c>
      <c r="E150">
        <v>226</v>
      </c>
      <c r="F150" s="12">
        <f>(Table7[[#This Row],[Backers Count Failed]]-$J$3)/$J$8</f>
        <v>-0.37408958406545345</v>
      </c>
    </row>
    <row r="151" spans="2:6" x14ac:dyDescent="0.25">
      <c r="B151" s="11">
        <v>1113</v>
      </c>
      <c r="C151" s="12">
        <f>(Table5[[#This Row],[Backers Count Successul]]-$I$3)/$I$8</f>
        <v>0.20661205687034551</v>
      </c>
      <c r="E151">
        <v>225</v>
      </c>
      <c r="F151" s="12">
        <f>(Table7[[#This Row],[Backers Count Failed]]-$J$3)/$J$8</f>
        <v>-0.37512983317622373</v>
      </c>
    </row>
    <row r="152" spans="2:6" x14ac:dyDescent="0.25">
      <c r="B152" s="11">
        <v>1101</v>
      </c>
      <c r="C152" s="12">
        <f>(Table5[[#This Row],[Backers Count Successul]]-$I$3)/$I$8</f>
        <v>0.1971436002907532</v>
      </c>
      <c r="E152">
        <v>210</v>
      </c>
      <c r="F152" s="12">
        <f>(Table7[[#This Row],[Backers Count Failed]]-$J$3)/$J$8</f>
        <v>-0.39073356983777741</v>
      </c>
    </row>
    <row r="153" spans="2:6" x14ac:dyDescent="0.25">
      <c r="B153" s="11">
        <v>1095</v>
      </c>
      <c r="C153" s="12">
        <f>(Table5[[#This Row],[Backers Count Successul]]-$I$3)/$I$8</f>
        <v>0.19240937200095704</v>
      </c>
      <c r="E153">
        <v>210</v>
      </c>
      <c r="F153" s="12">
        <f>(Table7[[#This Row],[Backers Count Failed]]-$J$3)/$J$8</f>
        <v>-0.39073356983777741</v>
      </c>
    </row>
    <row r="154" spans="2:6" x14ac:dyDescent="0.25">
      <c r="B154" s="11">
        <v>1073</v>
      </c>
      <c r="C154" s="12">
        <f>(Table5[[#This Row],[Backers Count Successul]]-$I$3)/$I$8</f>
        <v>0.17505053493837117</v>
      </c>
      <c r="E154">
        <v>200</v>
      </c>
      <c r="F154" s="12">
        <f>(Table7[[#This Row],[Backers Count Failed]]-$J$3)/$J$8</f>
        <v>-0.40113606094547982</v>
      </c>
    </row>
    <row r="155" spans="2:6" x14ac:dyDescent="0.25">
      <c r="B155" s="11">
        <v>1071</v>
      </c>
      <c r="C155" s="12">
        <f>(Table5[[#This Row],[Backers Count Successul]]-$I$3)/$I$8</f>
        <v>0.17347245884177243</v>
      </c>
      <c r="E155">
        <v>191</v>
      </c>
      <c r="F155" s="12">
        <f>(Table7[[#This Row],[Backers Count Failed]]-$J$3)/$J$8</f>
        <v>-0.41049830294241202</v>
      </c>
    </row>
    <row r="156" spans="2:6" x14ac:dyDescent="0.25">
      <c r="B156" s="11">
        <v>1071</v>
      </c>
      <c r="C156" s="12">
        <f>(Table5[[#This Row],[Backers Count Successul]]-$I$3)/$I$8</f>
        <v>0.17347245884177243</v>
      </c>
      <c r="E156">
        <v>191</v>
      </c>
      <c r="F156" s="12">
        <f>(Table7[[#This Row],[Backers Count Failed]]-$J$3)/$J$8</f>
        <v>-0.41049830294241202</v>
      </c>
    </row>
    <row r="157" spans="2:6" x14ac:dyDescent="0.25">
      <c r="B157" s="11">
        <v>1052</v>
      </c>
      <c r="C157" s="12">
        <f>(Table5[[#This Row],[Backers Count Successul]]-$I$3)/$I$8</f>
        <v>0.15848073592408463</v>
      </c>
      <c r="E157">
        <v>186</v>
      </c>
      <c r="F157" s="12">
        <f>(Table7[[#This Row],[Backers Count Failed]]-$J$3)/$J$8</f>
        <v>-0.41569954849626328</v>
      </c>
    </row>
    <row r="158" spans="2:6" x14ac:dyDescent="0.25">
      <c r="B158" s="11">
        <v>1022</v>
      </c>
      <c r="C158" s="12">
        <f>(Table5[[#This Row],[Backers Count Successul]]-$I$3)/$I$8</f>
        <v>0.13480959447510385</v>
      </c>
      <c r="E158">
        <v>183</v>
      </c>
      <c r="F158" s="12">
        <f>(Table7[[#This Row],[Backers Count Failed]]-$J$3)/$J$8</f>
        <v>-0.418820295828574</v>
      </c>
    </row>
    <row r="159" spans="2:6" x14ac:dyDescent="0.25">
      <c r="B159" s="11">
        <v>1015</v>
      </c>
      <c r="C159" s="12">
        <f>(Table5[[#This Row],[Backers Count Successul]]-$I$3)/$I$8</f>
        <v>0.12928632813700836</v>
      </c>
      <c r="E159">
        <v>181</v>
      </c>
      <c r="F159" s="12">
        <f>(Table7[[#This Row],[Backers Count Failed]]-$J$3)/$J$8</f>
        <v>-0.42090079405011449</v>
      </c>
    </row>
    <row r="160" spans="2:6" x14ac:dyDescent="0.25">
      <c r="B160" s="11">
        <v>980</v>
      </c>
      <c r="C160" s="12">
        <f>(Table5[[#This Row],[Backers Count Successul]]-$I$3)/$I$8</f>
        <v>0.1016699964465308</v>
      </c>
      <c r="E160">
        <v>180</v>
      </c>
      <c r="F160" s="12">
        <f>(Table7[[#This Row],[Backers Count Failed]]-$J$3)/$J$8</f>
        <v>-0.42194104316088471</v>
      </c>
    </row>
    <row r="161" spans="2:6" x14ac:dyDescent="0.25">
      <c r="B161" s="11">
        <v>943</v>
      </c>
      <c r="C161" s="12">
        <f>(Table5[[#This Row],[Backers Count Successul]]-$I$3)/$I$8</f>
        <v>7.2475588659454526E-2</v>
      </c>
      <c r="E161">
        <v>168</v>
      </c>
      <c r="F161" s="12">
        <f>(Table7[[#This Row],[Backers Count Failed]]-$J$3)/$J$8</f>
        <v>-0.43442403249012768</v>
      </c>
    </row>
    <row r="162" spans="2:6" x14ac:dyDescent="0.25">
      <c r="B162" s="11">
        <v>909</v>
      </c>
      <c r="C162" s="12">
        <f>(Table5[[#This Row],[Backers Count Successul]]-$I$3)/$I$8</f>
        <v>4.5648295017276325E-2</v>
      </c>
      <c r="E162">
        <v>162</v>
      </c>
      <c r="F162" s="12">
        <f>(Table7[[#This Row],[Backers Count Failed]]-$J$3)/$J$8</f>
        <v>-0.44066552715474916</v>
      </c>
    </row>
    <row r="163" spans="2:6" x14ac:dyDescent="0.25">
      <c r="B163" s="11">
        <v>903</v>
      </c>
      <c r="C163" s="12">
        <f>(Table5[[#This Row],[Backers Count Successul]]-$I$3)/$I$8</f>
        <v>4.0914066727480172E-2</v>
      </c>
      <c r="E163">
        <v>157</v>
      </c>
      <c r="F163" s="12">
        <f>(Table7[[#This Row],[Backers Count Failed]]-$J$3)/$J$8</f>
        <v>-0.44586677270860037</v>
      </c>
    </row>
    <row r="164" spans="2:6" x14ac:dyDescent="0.25">
      <c r="B164" s="11">
        <v>890</v>
      </c>
      <c r="C164" s="12">
        <f>(Table5[[#This Row],[Backers Count Successul]]-$I$3)/$I$8</f>
        <v>3.0656572099588508E-2</v>
      </c>
      <c r="E164">
        <v>156</v>
      </c>
      <c r="F164" s="12">
        <f>(Table7[[#This Row],[Backers Count Failed]]-$J$3)/$J$8</f>
        <v>-0.44690702181937059</v>
      </c>
    </row>
    <row r="165" spans="2:6" x14ac:dyDescent="0.25">
      <c r="B165" s="11">
        <v>820</v>
      </c>
      <c r="C165" s="12">
        <f>(Table5[[#This Row],[Backers Count Successul]]-$I$3)/$I$8</f>
        <v>-2.4576091281366601E-2</v>
      </c>
      <c r="E165">
        <v>154</v>
      </c>
      <c r="F165" s="12">
        <f>(Table7[[#This Row],[Backers Count Failed]]-$J$3)/$J$8</f>
        <v>-0.44898752004091108</v>
      </c>
    </row>
    <row r="166" spans="2:6" x14ac:dyDescent="0.25">
      <c r="B166" s="11">
        <v>768</v>
      </c>
      <c r="C166" s="12">
        <f>(Table5[[#This Row],[Backers Count Successul]]-$I$3)/$I$8</f>
        <v>-6.560606979293325E-2</v>
      </c>
      <c r="E166">
        <v>151</v>
      </c>
      <c r="F166" s="12">
        <f>(Table7[[#This Row],[Backers Count Failed]]-$J$3)/$J$8</f>
        <v>-0.45210826737322185</v>
      </c>
    </row>
    <row r="167" spans="2:6" x14ac:dyDescent="0.25">
      <c r="B167" s="11">
        <v>762</v>
      </c>
      <c r="C167" s="12">
        <f>(Table5[[#This Row],[Backers Count Successul]]-$I$3)/$I$8</f>
        <v>-7.0340298082729402E-2</v>
      </c>
      <c r="E167">
        <v>147</v>
      </c>
      <c r="F167" s="12">
        <f>(Table7[[#This Row],[Backers Count Failed]]-$J$3)/$J$8</f>
        <v>-0.45626926381630284</v>
      </c>
    </row>
    <row r="168" spans="2:6" x14ac:dyDescent="0.25">
      <c r="B168" s="11">
        <v>723</v>
      </c>
      <c r="C168" s="12">
        <f>(Table5[[#This Row],[Backers Count Successul]]-$I$3)/$I$8</f>
        <v>-0.1011127819664044</v>
      </c>
      <c r="E168">
        <v>143</v>
      </c>
      <c r="F168" s="12">
        <f>(Table7[[#This Row],[Backers Count Failed]]-$J$3)/$J$8</f>
        <v>-0.46043026025938377</v>
      </c>
    </row>
    <row r="169" spans="2:6" x14ac:dyDescent="0.25">
      <c r="B169" s="11">
        <v>676</v>
      </c>
      <c r="C169" s="12">
        <f>(Table5[[#This Row],[Backers Count Successul]]-$I$3)/$I$8</f>
        <v>-0.13819757023647425</v>
      </c>
      <c r="E169">
        <v>141</v>
      </c>
      <c r="F169" s="12">
        <f>(Table7[[#This Row],[Backers Count Failed]]-$J$3)/$J$8</f>
        <v>-0.46251075848092427</v>
      </c>
    </row>
    <row r="170" spans="2:6" x14ac:dyDescent="0.25">
      <c r="B170" s="11">
        <v>659</v>
      </c>
      <c r="C170" s="12">
        <f>(Table5[[#This Row],[Backers Count Successul]]-$I$3)/$I$8</f>
        <v>-0.15161121705756336</v>
      </c>
      <c r="E170">
        <v>137</v>
      </c>
      <c r="F170" s="12">
        <f>(Table7[[#This Row],[Backers Count Failed]]-$J$3)/$J$8</f>
        <v>-0.46667175492400526</v>
      </c>
    </row>
    <row r="171" spans="2:6" x14ac:dyDescent="0.25">
      <c r="B171" s="11">
        <v>645</v>
      </c>
      <c r="C171" s="12">
        <f>(Table5[[#This Row],[Backers Count Successul]]-$I$3)/$I$8</f>
        <v>-0.16265774973375438</v>
      </c>
      <c r="E171">
        <v>136</v>
      </c>
      <c r="F171" s="12">
        <f>(Table7[[#This Row],[Backers Count Failed]]-$J$3)/$J$8</f>
        <v>-0.46771200403477553</v>
      </c>
    </row>
    <row r="172" spans="2:6" x14ac:dyDescent="0.25">
      <c r="B172" s="11">
        <v>589</v>
      </c>
      <c r="C172" s="12">
        <f>(Table5[[#This Row],[Backers Count Successul]]-$I$3)/$I$8</f>
        <v>-0.20684388043851845</v>
      </c>
      <c r="E172">
        <v>133</v>
      </c>
      <c r="F172" s="12">
        <f>(Table7[[#This Row],[Backers Count Failed]]-$J$3)/$J$8</f>
        <v>-0.47083275136708624</v>
      </c>
    </row>
    <row r="173" spans="2:6" x14ac:dyDescent="0.25">
      <c r="B173" s="11">
        <v>555</v>
      </c>
      <c r="C173" s="12">
        <f>(Table5[[#This Row],[Backers Count Successul]]-$I$3)/$I$8</f>
        <v>-0.23367117408069665</v>
      </c>
      <c r="E173">
        <v>133</v>
      </c>
      <c r="F173" s="12">
        <f>(Table7[[#This Row],[Backers Count Failed]]-$J$3)/$J$8</f>
        <v>-0.47083275136708624</v>
      </c>
    </row>
    <row r="174" spans="2:6" x14ac:dyDescent="0.25">
      <c r="B174" s="11">
        <v>554</v>
      </c>
      <c r="C174" s="12">
        <f>(Table5[[#This Row],[Backers Count Successul]]-$I$3)/$I$8</f>
        <v>-0.23446021212899601</v>
      </c>
      <c r="E174">
        <v>132</v>
      </c>
      <c r="F174" s="12">
        <f>(Table7[[#This Row],[Backers Count Failed]]-$J$3)/$J$8</f>
        <v>-0.47187300047785646</v>
      </c>
    </row>
    <row r="175" spans="2:6" x14ac:dyDescent="0.25">
      <c r="B175" s="11">
        <v>546</v>
      </c>
      <c r="C175" s="12">
        <f>(Table5[[#This Row],[Backers Count Successul]]-$I$3)/$I$8</f>
        <v>-0.24077251651539089</v>
      </c>
      <c r="E175">
        <v>131</v>
      </c>
      <c r="F175" s="12">
        <f>(Table7[[#This Row],[Backers Count Failed]]-$J$3)/$J$8</f>
        <v>-0.47291324958862674</v>
      </c>
    </row>
    <row r="176" spans="2:6" x14ac:dyDescent="0.25">
      <c r="B176" s="11">
        <v>536</v>
      </c>
      <c r="C176" s="12">
        <f>(Table5[[#This Row],[Backers Count Successul]]-$I$3)/$I$8</f>
        <v>-0.24866289699838448</v>
      </c>
      <c r="E176">
        <v>130</v>
      </c>
      <c r="F176" s="12">
        <f>(Table7[[#This Row],[Backers Count Failed]]-$J$3)/$J$8</f>
        <v>-0.47395349869939696</v>
      </c>
    </row>
    <row r="177" spans="2:6" x14ac:dyDescent="0.25">
      <c r="B177" s="11">
        <v>533</v>
      </c>
      <c r="C177" s="12">
        <f>(Table5[[#This Row],[Backers Count Successul]]-$I$3)/$I$8</f>
        <v>-0.25103001114328255</v>
      </c>
      <c r="E177">
        <v>128</v>
      </c>
      <c r="F177" s="12">
        <f>(Table7[[#This Row],[Backers Count Failed]]-$J$3)/$J$8</f>
        <v>-0.47603399692093745</v>
      </c>
    </row>
    <row r="178" spans="2:6" x14ac:dyDescent="0.25">
      <c r="B178" s="11">
        <v>524</v>
      </c>
      <c r="C178" s="12">
        <f>(Table5[[#This Row],[Backers Count Successul]]-$I$3)/$I$8</f>
        <v>-0.25813135357797679</v>
      </c>
      <c r="E178">
        <v>127</v>
      </c>
      <c r="F178" s="12">
        <f>(Table7[[#This Row],[Backers Count Failed]]-$J$3)/$J$8</f>
        <v>-0.47707424603170773</v>
      </c>
    </row>
    <row r="179" spans="2:6" x14ac:dyDescent="0.25">
      <c r="B179" s="11">
        <v>498</v>
      </c>
      <c r="C179" s="12">
        <f>(Table5[[#This Row],[Backers Count Successul]]-$I$3)/$I$8</f>
        <v>-0.27864634283376011</v>
      </c>
      <c r="E179">
        <v>121</v>
      </c>
      <c r="F179" s="12">
        <f>(Table7[[#This Row],[Backers Count Failed]]-$J$3)/$J$8</f>
        <v>-0.48331574069632915</v>
      </c>
    </row>
    <row r="180" spans="2:6" x14ac:dyDescent="0.25">
      <c r="B180" s="11">
        <v>484</v>
      </c>
      <c r="C180" s="12">
        <f>(Table5[[#This Row],[Backers Count Successul]]-$I$3)/$I$8</f>
        <v>-0.28969287550995115</v>
      </c>
      <c r="E180">
        <v>120</v>
      </c>
      <c r="F180" s="12">
        <f>(Table7[[#This Row],[Backers Count Failed]]-$J$3)/$J$8</f>
        <v>-0.48435598980709943</v>
      </c>
    </row>
    <row r="181" spans="2:6" x14ac:dyDescent="0.25">
      <c r="B181" s="11">
        <v>480</v>
      </c>
      <c r="C181" s="12">
        <f>(Table5[[#This Row],[Backers Count Successul]]-$I$3)/$I$8</f>
        <v>-0.29284902770314858</v>
      </c>
      <c r="E181">
        <v>120</v>
      </c>
      <c r="F181" s="12">
        <f>(Table7[[#This Row],[Backers Count Failed]]-$J$3)/$J$8</f>
        <v>-0.48435598980709943</v>
      </c>
    </row>
    <row r="182" spans="2:6" x14ac:dyDescent="0.25">
      <c r="B182" s="11">
        <v>470</v>
      </c>
      <c r="C182" s="12">
        <f>(Table5[[#This Row],[Backers Count Successul]]-$I$3)/$I$8</f>
        <v>-0.30073940818614214</v>
      </c>
      <c r="E182">
        <v>118</v>
      </c>
      <c r="F182" s="12">
        <f>(Table7[[#This Row],[Backers Count Failed]]-$J$3)/$J$8</f>
        <v>-0.48643648802863992</v>
      </c>
    </row>
    <row r="183" spans="2:6" x14ac:dyDescent="0.25">
      <c r="B183" s="11">
        <v>462</v>
      </c>
      <c r="C183" s="12">
        <f>(Table5[[#This Row],[Backers Count Successul]]-$I$3)/$I$8</f>
        <v>-0.30705171257253699</v>
      </c>
      <c r="E183">
        <v>117</v>
      </c>
      <c r="F183" s="12">
        <f>(Table7[[#This Row],[Backers Count Failed]]-$J$3)/$J$8</f>
        <v>-0.48747673713941014</v>
      </c>
    </row>
    <row r="184" spans="2:6" x14ac:dyDescent="0.25">
      <c r="B184" s="11">
        <v>460</v>
      </c>
      <c r="C184" s="12">
        <f>(Table5[[#This Row],[Backers Count Successul]]-$I$3)/$I$8</f>
        <v>-0.30862978866913576</v>
      </c>
      <c r="E184">
        <v>115</v>
      </c>
      <c r="F184" s="12">
        <f>(Table7[[#This Row],[Backers Count Failed]]-$J$3)/$J$8</f>
        <v>-0.48955723536095064</v>
      </c>
    </row>
    <row r="185" spans="2:6" x14ac:dyDescent="0.25">
      <c r="B185" s="11">
        <v>454</v>
      </c>
      <c r="C185" s="12">
        <f>(Table5[[#This Row],[Backers Count Successul]]-$I$3)/$I$8</f>
        <v>-0.3133640169589319</v>
      </c>
      <c r="E185">
        <v>114</v>
      </c>
      <c r="F185" s="12">
        <f>(Table7[[#This Row],[Backers Count Failed]]-$J$3)/$J$8</f>
        <v>-0.49059748447172091</v>
      </c>
    </row>
    <row r="186" spans="2:6" x14ac:dyDescent="0.25">
      <c r="B186" s="11">
        <v>452</v>
      </c>
      <c r="C186" s="12">
        <f>(Table5[[#This Row],[Backers Count Successul]]-$I$3)/$I$8</f>
        <v>-0.31494209305553061</v>
      </c>
      <c r="E186">
        <v>113</v>
      </c>
      <c r="F186" s="12">
        <f>(Table7[[#This Row],[Backers Count Failed]]-$J$3)/$J$8</f>
        <v>-0.49163773358249113</v>
      </c>
    </row>
    <row r="187" spans="2:6" x14ac:dyDescent="0.25">
      <c r="B187" s="11">
        <v>432</v>
      </c>
      <c r="C187" s="12">
        <f>(Table5[[#This Row],[Backers Count Successul]]-$I$3)/$I$8</f>
        <v>-0.3307228540215178</v>
      </c>
      <c r="E187">
        <v>112</v>
      </c>
      <c r="F187" s="12">
        <f>(Table7[[#This Row],[Backers Count Failed]]-$J$3)/$J$8</f>
        <v>-0.49267798269326141</v>
      </c>
    </row>
    <row r="188" spans="2:6" x14ac:dyDescent="0.25">
      <c r="B188" s="11">
        <v>419</v>
      </c>
      <c r="C188" s="12">
        <f>(Table5[[#This Row],[Backers Count Successul]]-$I$3)/$I$8</f>
        <v>-0.34098034864940946</v>
      </c>
      <c r="E188">
        <v>112</v>
      </c>
      <c r="F188" s="12">
        <f>(Table7[[#This Row],[Backers Count Failed]]-$J$3)/$J$8</f>
        <v>-0.49267798269326141</v>
      </c>
    </row>
    <row r="189" spans="2:6" x14ac:dyDescent="0.25">
      <c r="B189" s="11">
        <v>411</v>
      </c>
      <c r="C189" s="12">
        <f>(Table5[[#This Row],[Backers Count Successul]]-$I$3)/$I$8</f>
        <v>-0.34729265303580431</v>
      </c>
      <c r="E189">
        <v>111</v>
      </c>
      <c r="F189" s="12">
        <f>(Table7[[#This Row],[Backers Count Failed]]-$J$3)/$J$8</f>
        <v>-0.49371823180403163</v>
      </c>
    </row>
    <row r="190" spans="2:6" x14ac:dyDescent="0.25">
      <c r="B190" s="11">
        <v>409</v>
      </c>
      <c r="C190" s="12">
        <f>(Table5[[#This Row],[Backers Count Successul]]-$I$3)/$I$8</f>
        <v>-0.34887072913240302</v>
      </c>
      <c r="E190">
        <v>108</v>
      </c>
      <c r="F190" s="12">
        <f>(Table7[[#This Row],[Backers Count Failed]]-$J$3)/$J$8</f>
        <v>-0.49683897913634234</v>
      </c>
    </row>
    <row r="191" spans="2:6" x14ac:dyDescent="0.25">
      <c r="B191" s="11">
        <v>397</v>
      </c>
      <c r="C191" s="12">
        <f>(Table5[[#This Row],[Backers Count Successul]]-$I$3)/$I$8</f>
        <v>-0.35833918571199536</v>
      </c>
      <c r="E191">
        <v>107</v>
      </c>
      <c r="F191" s="12">
        <f>(Table7[[#This Row],[Backers Count Failed]]-$J$3)/$J$8</f>
        <v>-0.49787922824711262</v>
      </c>
    </row>
    <row r="192" spans="2:6" x14ac:dyDescent="0.25">
      <c r="B192" s="11">
        <v>393</v>
      </c>
      <c r="C192" s="12">
        <f>(Table5[[#This Row],[Backers Count Successul]]-$I$3)/$I$8</f>
        <v>-0.36149533790519278</v>
      </c>
      <c r="E192">
        <v>106</v>
      </c>
      <c r="F192" s="12">
        <f>(Table7[[#This Row],[Backers Count Failed]]-$J$3)/$J$8</f>
        <v>-0.49891947735788283</v>
      </c>
    </row>
    <row r="193" spans="2:6" x14ac:dyDescent="0.25">
      <c r="B193" s="11">
        <v>381</v>
      </c>
      <c r="C193" s="12">
        <f>(Table5[[#This Row],[Backers Count Successul]]-$I$3)/$I$8</f>
        <v>-0.37096379448478506</v>
      </c>
      <c r="E193">
        <v>105</v>
      </c>
      <c r="F193" s="12">
        <f>(Table7[[#This Row],[Backers Count Failed]]-$J$3)/$J$8</f>
        <v>-0.49995972646865311</v>
      </c>
    </row>
    <row r="194" spans="2:6" x14ac:dyDescent="0.25">
      <c r="B194" s="11">
        <v>381</v>
      </c>
      <c r="C194" s="12">
        <f>(Table5[[#This Row],[Backers Count Successul]]-$I$3)/$I$8</f>
        <v>-0.37096379448478506</v>
      </c>
      <c r="E194">
        <v>105</v>
      </c>
      <c r="F194" s="12">
        <f>(Table7[[#This Row],[Backers Count Failed]]-$J$3)/$J$8</f>
        <v>-0.49995972646865311</v>
      </c>
    </row>
    <row r="195" spans="2:6" x14ac:dyDescent="0.25">
      <c r="B195" s="11">
        <v>375</v>
      </c>
      <c r="C195" s="12">
        <f>(Table5[[#This Row],[Backers Count Successul]]-$I$3)/$I$8</f>
        <v>-0.37569802277458125</v>
      </c>
      <c r="E195">
        <v>104</v>
      </c>
      <c r="F195" s="12">
        <f>(Table7[[#This Row],[Backers Count Failed]]-$J$3)/$J$8</f>
        <v>-0.50099997557942333</v>
      </c>
    </row>
    <row r="196" spans="2:6" x14ac:dyDescent="0.25">
      <c r="B196" s="11">
        <v>374</v>
      </c>
      <c r="C196" s="12">
        <f>(Table5[[#This Row],[Backers Count Successul]]-$I$3)/$I$8</f>
        <v>-0.37648706082288058</v>
      </c>
      <c r="E196">
        <v>102</v>
      </c>
      <c r="F196" s="12">
        <f>(Table7[[#This Row],[Backers Count Failed]]-$J$3)/$J$8</f>
        <v>-0.50308047380096388</v>
      </c>
    </row>
    <row r="197" spans="2:6" x14ac:dyDescent="0.25">
      <c r="B197" s="11">
        <v>369</v>
      </c>
      <c r="C197" s="12">
        <f>(Table5[[#This Row],[Backers Count Successul]]-$I$3)/$I$8</f>
        <v>-0.38043225106437739</v>
      </c>
      <c r="E197">
        <v>101</v>
      </c>
      <c r="F197" s="12">
        <f>(Table7[[#This Row],[Backers Count Failed]]-$J$3)/$J$8</f>
        <v>-0.50412072291173404</v>
      </c>
    </row>
    <row r="198" spans="2:6" x14ac:dyDescent="0.25">
      <c r="B198" s="11">
        <v>366</v>
      </c>
      <c r="C198" s="12">
        <f>(Table5[[#This Row],[Backers Count Successul]]-$I$3)/$I$8</f>
        <v>-0.38279936520927543</v>
      </c>
      <c r="E198">
        <v>100</v>
      </c>
      <c r="F198" s="12">
        <f>(Table7[[#This Row],[Backers Count Failed]]-$J$3)/$J$8</f>
        <v>-0.50516097202250432</v>
      </c>
    </row>
    <row r="199" spans="2:6" x14ac:dyDescent="0.25">
      <c r="B199" s="11">
        <v>363</v>
      </c>
      <c r="C199" s="12">
        <f>(Table5[[#This Row],[Backers Count Successul]]-$I$3)/$I$8</f>
        <v>-0.38516647935417353</v>
      </c>
      <c r="E199">
        <v>94</v>
      </c>
      <c r="F199" s="12">
        <f>(Table7[[#This Row],[Backers Count Failed]]-$J$3)/$J$8</f>
        <v>-0.51140246668712575</v>
      </c>
    </row>
    <row r="200" spans="2:6" x14ac:dyDescent="0.25">
      <c r="B200" s="11">
        <v>361</v>
      </c>
      <c r="C200" s="12">
        <f>(Table5[[#This Row],[Backers Count Successul]]-$I$3)/$I$8</f>
        <v>-0.38674455545077224</v>
      </c>
      <c r="E200">
        <v>94</v>
      </c>
      <c r="F200" s="12">
        <f>(Table7[[#This Row],[Backers Count Failed]]-$J$3)/$J$8</f>
        <v>-0.51140246668712575</v>
      </c>
    </row>
    <row r="201" spans="2:6" x14ac:dyDescent="0.25">
      <c r="B201" s="11">
        <v>340</v>
      </c>
      <c r="C201" s="12">
        <f>(Table5[[#This Row],[Backers Count Successul]]-$I$3)/$I$8</f>
        <v>-0.40331435446505876</v>
      </c>
      <c r="E201">
        <v>92</v>
      </c>
      <c r="F201" s="12">
        <f>(Table7[[#This Row],[Backers Count Failed]]-$J$3)/$J$8</f>
        <v>-0.5134829649086663</v>
      </c>
    </row>
    <row r="202" spans="2:6" x14ac:dyDescent="0.25">
      <c r="B202" s="11">
        <v>337</v>
      </c>
      <c r="C202" s="12">
        <f>(Table5[[#This Row],[Backers Count Successul]]-$I$3)/$I$8</f>
        <v>-0.40568146860995685</v>
      </c>
      <c r="E202">
        <v>92</v>
      </c>
      <c r="F202" s="12">
        <f>(Table7[[#This Row],[Backers Count Failed]]-$J$3)/$J$8</f>
        <v>-0.5134829649086663</v>
      </c>
    </row>
    <row r="203" spans="2:6" x14ac:dyDescent="0.25">
      <c r="B203" s="11">
        <v>336</v>
      </c>
      <c r="C203" s="12">
        <f>(Table5[[#This Row],[Backers Count Successul]]-$I$3)/$I$8</f>
        <v>-0.40647050665825624</v>
      </c>
      <c r="E203">
        <v>92</v>
      </c>
      <c r="F203" s="12">
        <f>(Table7[[#This Row],[Backers Count Failed]]-$J$3)/$J$8</f>
        <v>-0.5134829649086663</v>
      </c>
    </row>
    <row r="204" spans="2:6" x14ac:dyDescent="0.25">
      <c r="B204" s="11">
        <v>331</v>
      </c>
      <c r="C204" s="12">
        <f>(Table5[[#This Row],[Backers Count Successul]]-$I$3)/$I$8</f>
        <v>-0.41041569689975299</v>
      </c>
      <c r="E204">
        <v>91</v>
      </c>
      <c r="F204" s="12">
        <f>(Table7[[#This Row],[Backers Count Failed]]-$J$3)/$J$8</f>
        <v>-0.51452321401943657</v>
      </c>
    </row>
    <row r="205" spans="2:6" x14ac:dyDescent="0.25">
      <c r="B205" s="11">
        <v>330</v>
      </c>
      <c r="C205" s="12">
        <f>(Table5[[#This Row],[Backers Count Successul]]-$I$3)/$I$8</f>
        <v>-0.41120473494805238</v>
      </c>
      <c r="E205">
        <v>88</v>
      </c>
      <c r="F205" s="12">
        <f>(Table7[[#This Row],[Backers Count Failed]]-$J$3)/$J$8</f>
        <v>-0.51764396135174728</v>
      </c>
    </row>
    <row r="206" spans="2:6" x14ac:dyDescent="0.25">
      <c r="B206" s="11">
        <v>329</v>
      </c>
      <c r="C206" s="12">
        <f>(Table5[[#This Row],[Backers Count Successul]]-$I$3)/$I$8</f>
        <v>-0.4119937729963517</v>
      </c>
      <c r="E206">
        <v>87</v>
      </c>
      <c r="F206" s="12">
        <f>(Table7[[#This Row],[Backers Count Failed]]-$J$3)/$J$8</f>
        <v>-0.51868421046251756</v>
      </c>
    </row>
    <row r="207" spans="2:6" x14ac:dyDescent="0.25">
      <c r="B207" s="11">
        <v>323</v>
      </c>
      <c r="C207" s="12">
        <f>(Table5[[#This Row],[Backers Count Successul]]-$I$3)/$I$8</f>
        <v>-0.4167280012861479</v>
      </c>
      <c r="E207">
        <v>86</v>
      </c>
      <c r="F207" s="12">
        <f>(Table7[[#This Row],[Backers Count Failed]]-$J$3)/$J$8</f>
        <v>-0.51972445957328772</v>
      </c>
    </row>
    <row r="208" spans="2:6" x14ac:dyDescent="0.25">
      <c r="B208" s="11">
        <v>316</v>
      </c>
      <c r="C208" s="12">
        <f>(Table5[[#This Row],[Backers Count Successul]]-$I$3)/$I$8</f>
        <v>-0.42225126762424336</v>
      </c>
      <c r="E208">
        <v>86</v>
      </c>
      <c r="F208" s="12">
        <f>(Table7[[#This Row],[Backers Count Failed]]-$J$3)/$J$8</f>
        <v>-0.51972445957328772</v>
      </c>
    </row>
    <row r="209" spans="2:6" x14ac:dyDescent="0.25">
      <c r="B209" s="11">
        <v>307</v>
      </c>
      <c r="C209" s="12">
        <f>(Table5[[#This Row],[Backers Count Successul]]-$I$3)/$I$8</f>
        <v>-0.4293526100589376</v>
      </c>
      <c r="E209">
        <v>86</v>
      </c>
      <c r="F209" s="12">
        <f>(Table7[[#This Row],[Backers Count Failed]]-$J$3)/$J$8</f>
        <v>-0.51972445957328772</v>
      </c>
    </row>
    <row r="210" spans="2:6" x14ac:dyDescent="0.25">
      <c r="B210" s="11">
        <v>307</v>
      </c>
      <c r="C210" s="12">
        <f>(Table5[[#This Row],[Backers Count Successul]]-$I$3)/$I$8</f>
        <v>-0.4293526100589376</v>
      </c>
      <c r="E210">
        <v>84</v>
      </c>
      <c r="F210" s="12">
        <f>(Table7[[#This Row],[Backers Count Failed]]-$J$3)/$J$8</f>
        <v>-0.52180495779482827</v>
      </c>
    </row>
    <row r="211" spans="2:6" x14ac:dyDescent="0.25">
      <c r="B211" s="11">
        <v>303</v>
      </c>
      <c r="C211" s="12">
        <f>(Table5[[#This Row],[Backers Count Successul]]-$I$3)/$I$8</f>
        <v>-0.43250876225213503</v>
      </c>
      <c r="E211">
        <v>83</v>
      </c>
      <c r="F211" s="12">
        <f>(Table7[[#This Row],[Backers Count Failed]]-$J$3)/$J$8</f>
        <v>-0.52284520690559844</v>
      </c>
    </row>
    <row r="212" spans="2:6" x14ac:dyDescent="0.25">
      <c r="B212" s="11">
        <v>300</v>
      </c>
      <c r="C212" s="12">
        <f>(Table5[[#This Row],[Backers Count Successul]]-$I$3)/$I$8</f>
        <v>-0.43487587639703312</v>
      </c>
      <c r="E212">
        <v>83</v>
      </c>
      <c r="F212" s="12">
        <f>(Table7[[#This Row],[Backers Count Failed]]-$J$3)/$J$8</f>
        <v>-0.52284520690559844</v>
      </c>
    </row>
    <row r="213" spans="2:6" x14ac:dyDescent="0.25">
      <c r="B213" s="11">
        <v>300</v>
      </c>
      <c r="C213" s="12">
        <f>(Table5[[#This Row],[Backers Count Successul]]-$I$3)/$I$8</f>
        <v>-0.43487587639703312</v>
      </c>
      <c r="E213">
        <v>82</v>
      </c>
      <c r="F213" s="12">
        <f>(Table7[[#This Row],[Backers Count Failed]]-$J$3)/$J$8</f>
        <v>-0.52388545601636871</v>
      </c>
    </row>
    <row r="214" spans="2:6" x14ac:dyDescent="0.25">
      <c r="B214" s="11">
        <v>299</v>
      </c>
      <c r="C214" s="12">
        <f>(Table5[[#This Row],[Backers Count Successul]]-$I$3)/$I$8</f>
        <v>-0.43566491444533251</v>
      </c>
      <c r="E214">
        <v>80</v>
      </c>
      <c r="F214" s="12">
        <f>(Table7[[#This Row],[Backers Count Failed]]-$J$3)/$J$8</f>
        <v>-0.52596595423790926</v>
      </c>
    </row>
    <row r="215" spans="2:6" x14ac:dyDescent="0.25">
      <c r="B215" s="11">
        <v>297</v>
      </c>
      <c r="C215" s="12">
        <f>(Table5[[#This Row],[Backers Count Successul]]-$I$3)/$I$8</f>
        <v>-0.43724299054193122</v>
      </c>
      <c r="E215">
        <v>80</v>
      </c>
      <c r="F215" s="12">
        <f>(Table7[[#This Row],[Backers Count Failed]]-$J$3)/$J$8</f>
        <v>-0.52596595423790926</v>
      </c>
    </row>
    <row r="216" spans="2:6" x14ac:dyDescent="0.25">
      <c r="B216" s="11">
        <v>296</v>
      </c>
      <c r="C216" s="12">
        <f>(Table5[[#This Row],[Backers Count Successul]]-$I$3)/$I$8</f>
        <v>-0.43803202859023055</v>
      </c>
      <c r="E216">
        <v>79</v>
      </c>
      <c r="F216" s="12">
        <f>(Table7[[#This Row],[Backers Count Failed]]-$J$3)/$J$8</f>
        <v>-0.52700620334867943</v>
      </c>
    </row>
    <row r="217" spans="2:6" x14ac:dyDescent="0.25">
      <c r="B217" s="11">
        <v>295</v>
      </c>
      <c r="C217" s="12">
        <f>(Table5[[#This Row],[Backers Count Successul]]-$I$3)/$I$8</f>
        <v>-0.43882106663852993</v>
      </c>
      <c r="E217">
        <v>78</v>
      </c>
      <c r="F217" s="12">
        <f>(Table7[[#This Row],[Backers Count Failed]]-$J$3)/$J$8</f>
        <v>-0.5280464524594497</v>
      </c>
    </row>
    <row r="218" spans="2:6" x14ac:dyDescent="0.25">
      <c r="B218" s="11">
        <v>290</v>
      </c>
      <c r="C218" s="12">
        <f>(Table5[[#This Row],[Backers Count Successul]]-$I$3)/$I$8</f>
        <v>-0.44276625688002674</v>
      </c>
      <c r="E218">
        <v>78</v>
      </c>
      <c r="F218" s="12">
        <f>(Table7[[#This Row],[Backers Count Failed]]-$J$3)/$J$8</f>
        <v>-0.5280464524594497</v>
      </c>
    </row>
    <row r="219" spans="2:6" x14ac:dyDescent="0.25">
      <c r="B219" s="11">
        <v>288</v>
      </c>
      <c r="C219" s="12">
        <f>(Table5[[#This Row],[Backers Count Successul]]-$I$3)/$I$8</f>
        <v>-0.44434433297662546</v>
      </c>
      <c r="E219">
        <v>77</v>
      </c>
      <c r="F219" s="12">
        <f>(Table7[[#This Row],[Backers Count Failed]]-$J$3)/$J$8</f>
        <v>-0.52908670157021997</v>
      </c>
    </row>
    <row r="220" spans="2:6" x14ac:dyDescent="0.25">
      <c r="B220" s="11">
        <v>282</v>
      </c>
      <c r="C220" s="12">
        <f>(Table5[[#This Row],[Backers Count Successul]]-$I$3)/$I$8</f>
        <v>-0.44907856126642159</v>
      </c>
      <c r="E220">
        <v>77</v>
      </c>
      <c r="F220" s="12">
        <f>(Table7[[#This Row],[Backers Count Failed]]-$J$3)/$J$8</f>
        <v>-0.52908670157021997</v>
      </c>
    </row>
    <row r="221" spans="2:6" x14ac:dyDescent="0.25">
      <c r="B221" s="11">
        <v>280</v>
      </c>
      <c r="C221" s="12">
        <f>(Table5[[#This Row],[Backers Count Successul]]-$I$3)/$I$8</f>
        <v>-0.45065663736302031</v>
      </c>
      <c r="E221">
        <v>77</v>
      </c>
      <c r="F221" s="12">
        <f>(Table7[[#This Row],[Backers Count Failed]]-$J$3)/$J$8</f>
        <v>-0.52908670157021997</v>
      </c>
    </row>
    <row r="222" spans="2:6" x14ac:dyDescent="0.25">
      <c r="B222" s="11">
        <v>279</v>
      </c>
      <c r="C222" s="12">
        <f>(Table5[[#This Row],[Backers Count Successul]]-$I$3)/$I$8</f>
        <v>-0.45144567541131964</v>
      </c>
      <c r="E222">
        <v>76</v>
      </c>
      <c r="F222" s="12">
        <f>(Table7[[#This Row],[Backers Count Failed]]-$J$3)/$J$8</f>
        <v>-0.53012695068099025</v>
      </c>
    </row>
    <row r="223" spans="2:6" x14ac:dyDescent="0.25">
      <c r="B223" s="11">
        <v>275</v>
      </c>
      <c r="C223" s="12">
        <f>(Table5[[#This Row],[Backers Count Successul]]-$I$3)/$I$8</f>
        <v>-0.45460182760451712</v>
      </c>
      <c r="E223">
        <v>75</v>
      </c>
      <c r="F223" s="12">
        <f>(Table7[[#This Row],[Backers Count Failed]]-$J$3)/$J$8</f>
        <v>-0.53116719979176041</v>
      </c>
    </row>
    <row r="224" spans="2:6" x14ac:dyDescent="0.25">
      <c r="B224" s="11">
        <v>272</v>
      </c>
      <c r="C224" s="12">
        <f>(Table5[[#This Row],[Backers Count Successul]]-$I$3)/$I$8</f>
        <v>-0.45696894174941516</v>
      </c>
      <c r="E224">
        <v>75</v>
      </c>
      <c r="F224" s="12">
        <f>(Table7[[#This Row],[Backers Count Failed]]-$J$3)/$J$8</f>
        <v>-0.53116719979176041</v>
      </c>
    </row>
    <row r="225" spans="2:6" x14ac:dyDescent="0.25">
      <c r="B225" s="11">
        <v>270</v>
      </c>
      <c r="C225" s="12">
        <f>(Table5[[#This Row],[Backers Count Successul]]-$I$3)/$I$8</f>
        <v>-0.45854701784601387</v>
      </c>
      <c r="E225">
        <v>75</v>
      </c>
      <c r="F225" s="12">
        <f>(Table7[[#This Row],[Backers Count Failed]]-$J$3)/$J$8</f>
        <v>-0.53116719979176041</v>
      </c>
    </row>
    <row r="226" spans="2:6" x14ac:dyDescent="0.25">
      <c r="B226" s="11">
        <v>269</v>
      </c>
      <c r="C226" s="12">
        <f>(Table5[[#This Row],[Backers Count Successul]]-$I$3)/$I$8</f>
        <v>-0.45933605589431326</v>
      </c>
      <c r="E226">
        <v>75</v>
      </c>
      <c r="F226" s="12">
        <f>(Table7[[#This Row],[Backers Count Failed]]-$J$3)/$J$8</f>
        <v>-0.53116719979176041</v>
      </c>
    </row>
    <row r="227" spans="2:6" x14ac:dyDescent="0.25">
      <c r="B227" s="11">
        <v>268</v>
      </c>
      <c r="C227" s="12">
        <f>(Table5[[#This Row],[Backers Count Successul]]-$I$3)/$I$8</f>
        <v>-0.46012509394261258</v>
      </c>
      <c r="E227">
        <v>73</v>
      </c>
      <c r="F227" s="12">
        <f>(Table7[[#This Row],[Backers Count Failed]]-$J$3)/$J$8</f>
        <v>-0.53324769801330096</v>
      </c>
    </row>
    <row r="228" spans="2:6" x14ac:dyDescent="0.25">
      <c r="B228" s="11">
        <v>266</v>
      </c>
      <c r="C228" s="12">
        <f>(Table5[[#This Row],[Backers Count Successul]]-$I$3)/$I$8</f>
        <v>-0.46170317003921135</v>
      </c>
      <c r="E228">
        <v>73</v>
      </c>
      <c r="F228" s="12">
        <f>(Table7[[#This Row],[Backers Count Failed]]-$J$3)/$J$8</f>
        <v>-0.53324769801330096</v>
      </c>
    </row>
    <row r="229" spans="2:6" x14ac:dyDescent="0.25">
      <c r="B229" s="11">
        <v>264</v>
      </c>
      <c r="C229" s="12">
        <f>(Table5[[#This Row],[Backers Count Successul]]-$I$3)/$I$8</f>
        <v>-0.46328124613581007</v>
      </c>
      <c r="E229">
        <v>71</v>
      </c>
      <c r="F229" s="12">
        <f>(Table7[[#This Row],[Backers Count Failed]]-$J$3)/$J$8</f>
        <v>-0.5353281962348414</v>
      </c>
    </row>
    <row r="230" spans="2:6" x14ac:dyDescent="0.25">
      <c r="B230" s="11">
        <v>261</v>
      </c>
      <c r="C230" s="12">
        <f>(Table5[[#This Row],[Backers Count Successul]]-$I$3)/$I$8</f>
        <v>-0.46564836028070811</v>
      </c>
      <c r="E230">
        <v>70</v>
      </c>
      <c r="F230" s="12">
        <f>(Table7[[#This Row],[Backers Count Failed]]-$J$3)/$J$8</f>
        <v>-0.53636844534561168</v>
      </c>
    </row>
    <row r="231" spans="2:6" x14ac:dyDescent="0.25">
      <c r="B231" s="11">
        <v>261</v>
      </c>
      <c r="C231" s="12">
        <f>(Table5[[#This Row],[Backers Count Successul]]-$I$3)/$I$8</f>
        <v>-0.46564836028070811</v>
      </c>
      <c r="E231">
        <v>67</v>
      </c>
      <c r="F231" s="12">
        <f>(Table7[[#This Row],[Backers Count Failed]]-$J$3)/$J$8</f>
        <v>-0.53948919267792239</v>
      </c>
    </row>
    <row r="232" spans="2:6" x14ac:dyDescent="0.25">
      <c r="B232" s="11">
        <v>255</v>
      </c>
      <c r="C232" s="12">
        <f>(Table5[[#This Row],[Backers Count Successul]]-$I$3)/$I$8</f>
        <v>-0.47038258857050425</v>
      </c>
      <c r="E232">
        <v>67</v>
      </c>
      <c r="F232" s="12">
        <f>(Table7[[#This Row],[Backers Count Failed]]-$J$3)/$J$8</f>
        <v>-0.53948919267792239</v>
      </c>
    </row>
    <row r="233" spans="2:6" x14ac:dyDescent="0.25">
      <c r="B233" s="11">
        <v>254</v>
      </c>
      <c r="C233" s="12">
        <f>(Table5[[#This Row],[Backers Count Successul]]-$I$3)/$I$8</f>
        <v>-0.47117162661880363</v>
      </c>
      <c r="E233">
        <v>67</v>
      </c>
      <c r="F233" s="12">
        <f>(Table7[[#This Row],[Backers Count Failed]]-$J$3)/$J$8</f>
        <v>-0.53948919267792239</v>
      </c>
    </row>
    <row r="234" spans="2:6" x14ac:dyDescent="0.25">
      <c r="B234" s="11">
        <v>253</v>
      </c>
      <c r="C234" s="12">
        <f>(Table5[[#This Row],[Backers Count Successul]]-$I$3)/$I$8</f>
        <v>-0.47196066466710301</v>
      </c>
      <c r="E234">
        <v>67</v>
      </c>
      <c r="F234" s="12">
        <f>(Table7[[#This Row],[Backers Count Failed]]-$J$3)/$J$8</f>
        <v>-0.53948919267792239</v>
      </c>
    </row>
    <row r="235" spans="2:6" x14ac:dyDescent="0.25">
      <c r="B235" s="11">
        <v>252</v>
      </c>
      <c r="C235" s="12">
        <f>(Table5[[#This Row],[Backers Count Successul]]-$I$3)/$I$8</f>
        <v>-0.47274970271540234</v>
      </c>
      <c r="E235">
        <v>67</v>
      </c>
      <c r="F235" s="12">
        <f>(Table7[[#This Row],[Backers Count Failed]]-$J$3)/$J$8</f>
        <v>-0.53948919267792239</v>
      </c>
    </row>
    <row r="236" spans="2:6" x14ac:dyDescent="0.25">
      <c r="B236" s="11">
        <v>250</v>
      </c>
      <c r="C236" s="12">
        <f>(Table5[[#This Row],[Backers Count Successul]]-$I$3)/$I$8</f>
        <v>-0.47432777881200106</v>
      </c>
      <c r="E236">
        <v>67</v>
      </c>
      <c r="F236" s="12">
        <f>(Table7[[#This Row],[Backers Count Failed]]-$J$3)/$J$8</f>
        <v>-0.53948919267792239</v>
      </c>
    </row>
    <row r="237" spans="2:6" x14ac:dyDescent="0.25">
      <c r="B237" s="11">
        <v>249</v>
      </c>
      <c r="C237" s="12">
        <f>(Table5[[#This Row],[Backers Count Successul]]-$I$3)/$I$8</f>
        <v>-0.47511681686030044</v>
      </c>
      <c r="E237">
        <v>67</v>
      </c>
      <c r="F237" s="12">
        <f>(Table7[[#This Row],[Backers Count Failed]]-$J$3)/$J$8</f>
        <v>-0.53948919267792239</v>
      </c>
    </row>
    <row r="238" spans="2:6" x14ac:dyDescent="0.25">
      <c r="B238" s="11">
        <v>249</v>
      </c>
      <c r="C238" s="12">
        <f>(Table5[[#This Row],[Backers Count Successul]]-$I$3)/$I$8</f>
        <v>-0.47511681686030044</v>
      </c>
      <c r="E238">
        <v>65</v>
      </c>
      <c r="F238" s="12">
        <f>(Table7[[#This Row],[Backers Count Failed]]-$J$3)/$J$8</f>
        <v>-0.54156969089946294</v>
      </c>
    </row>
    <row r="239" spans="2:6" x14ac:dyDescent="0.25">
      <c r="B239" s="11">
        <v>247</v>
      </c>
      <c r="C239" s="12">
        <f>(Table5[[#This Row],[Backers Count Successul]]-$I$3)/$I$8</f>
        <v>-0.47669489295689915</v>
      </c>
      <c r="E239">
        <v>65</v>
      </c>
      <c r="F239" s="12">
        <f>(Table7[[#This Row],[Backers Count Failed]]-$J$3)/$J$8</f>
        <v>-0.54156969089946294</v>
      </c>
    </row>
    <row r="240" spans="2:6" x14ac:dyDescent="0.25">
      <c r="B240" s="11">
        <v>247</v>
      </c>
      <c r="C240" s="12">
        <f>(Table5[[#This Row],[Backers Count Successul]]-$I$3)/$I$8</f>
        <v>-0.47669489295689915</v>
      </c>
      <c r="E240">
        <v>64</v>
      </c>
      <c r="F240" s="12">
        <f>(Table7[[#This Row],[Backers Count Failed]]-$J$3)/$J$8</f>
        <v>-0.5426099400102331</v>
      </c>
    </row>
    <row r="241" spans="2:6" x14ac:dyDescent="0.25">
      <c r="B241" s="11">
        <v>246</v>
      </c>
      <c r="C241" s="12">
        <f>(Table5[[#This Row],[Backers Count Successul]]-$I$3)/$I$8</f>
        <v>-0.47748393100519848</v>
      </c>
      <c r="E241">
        <v>64</v>
      </c>
      <c r="F241" s="12">
        <f>(Table7[[#This Row],[Backers Count Failed]]-$J$3)/$J$8</f>
        <v>-0.5426099400102331</v>
      </c>
    </row>
    <row r="242" spans="2:6" x14ac:dyDescent="0.25">
      <c r="B242" s="11">
        <v>246</v>
      </c>
      <c r="C242" s="12">
        <f>(Table5[[#This Row],[Backers Count Successul]]-$I$3)/$I$8</f>
        <v>-0.47748393100519848</v>
      </c>
      <c r="E242">
        <v>64</v>
      </c>
      <c r="F242" s="12">
        <f>(Table7[[#This Row],[Backers Count Failed]]-$J$3)/$J$8</f>
        <v>-0.5426099400102331</v>
      </c>
    </row>
    <row r="243" spans="2:6" x14ac:dyDescent="0.25">
      <c r="B243" s="11">
        <v>245</v>
      </c>
      <c r="C243" s="12">
        <f>(Table5[[#This Row],[Backers Count Successul]]-$I$3)/$I$8</f>
        <v>-0.47827296905349787</v>
      </c>
      <c r="E243">
        <v>64</v>
      </c>
      <c r="F243" s="12">
        <f>(Table7[[#This Row],[Backers Count Failed]]-$J$3)/$J$8</f>
        <v>-0.5426099400102331</v>
      </c>
    </row>
    <row r="244" spans="2:6" x14ac:dyDescent="0.25">
      <c r="B244" s="11">
        <v>244</v>
      </c>
      <c r="C244" s="12">
        <f>(Table5[[#This Row],[Backers Count Successul]]-$I$3)/$I$8</f>
        <v>-0.47906200710179719</v>
      </c>
      <c r="E244">
        <v>63</v>
      </c>
      <c r="F244" s="12">
        <f>(Table7[[#This Row],[Backers Count Failed]]-$J$3)/$J$8</f>
        <v>-0.54365018912100338</v>
      </c>
    </row>
    <row r="245" spans="2:6" x14ac:dyDescent="0.25">
      <c r="B245" s="11">
        <v>244</v>
      </c>
      <c r="C245" s="12">
        <f>(Table5[[#This Row],[Backers Count Successul]]-$I$3)/$I$8</f>
        <v>-0.47906200710179719</v>
      </c>
      <c r="E245">
        <v>63</v>
      </c>
      <c r="F245" s="12">
        <f>(Table7[[#This Row],[Backers Count Failed]]-$J$3)/$J$8</f>
        <v>-0.54365018912100338</v>
      </c>
    </row>
    <row r="246" spans="2:6" x14ac:dyDescent="0.25">
      <c r="B246" s="11">
        <v>241</v>
      </c>
      <c r="C246" s="12">
        <f>(Table5[[#This Row],[Backers Count Successul]]-$I$3)/$I$8</f>
        <v>-0.48142912124669529</v>
      </c>
      <c r="E246">
        <v>62</v>
      </c>
      <c r="F246" s="12">
        <f>(Table7[[#This Row],[Backers Count Failed]]-$J$3)/$J$8</f>
        <v>-0.54469043823177365</v>
      </c>
    </row>
    <row r="247" spans="2:6" x14ac:dyDescent="0.25">
      <c r="B247" s="11">
        <v>239</v>
      </c>
      <c r="C247" s="12">
        <f>(Table5[[#This Row],[Backers Count Successul]]-$I$3)/$I$8</f>
        <v>-0.483007197343294</v>
      </c>
      <c r="E247">
        <v>62</v>
      </c>
      <c r="F247" s="12">
        <f>(Table7[[#This Row],[Backers Count Failed]]-$J$3)/$J$8</f>
        <v>-0.54469043823177365</v>
      </c>
    </row>
    <row r="248" spans="2:6" x14ac:dyDescent="0.25">
      <c r="B248" s="11">
        <v>238</v>
      </c>
      <c r="C248" s="12">
        <f>(Table5[[#This Row],[Backers Count Successul]]-$I$3)/$I$8</f>
        <v>-0.48379623539159339</v>
      </c>
      <c r="E248">
        <v>60</v>
      </c>
      <c r="F248" s="12">
        <f>(Table7[[#This Row],[Backers Count Failed]]-$J$3)/$J$8</f>
        <v>-0.54677093645331409</v>
      </c>
    </row>
    <row r="249" spans="2:6" x14ac:dyDescent="0.25">
      <c r="B249" s="11">
        <v>238</v>
      </c>
      <c r="C249" s="12">
        <f>(Table5[[#This Row],[Backers Count Successul]]-$I$3)/$I$8</f>
        <v>-0.48379623539159339</v>
      </c>
      <c r="E249">
        <v>58</v>
      </c>
      <c r="F249" s="12">
        <f>(Table7[[#This Row],[Backers Count Failed]]-$J$3)/$J$8</f>
        <v>-0.54885143467485464</v>
      </c>
    </row>
    <row r="250" spans="2:6" x14ac:dyDescent="0.25">
      <c r="B250" s="11">
        <v>237</v>
      </c>
      <c r="C250" s="12">
        <f>(Table5[[#This Row],[Backers Count Successul]]-$I$3)/$I$8</f>
        <v>-0.48458527343989272</v>
      </c>
      <c r="E250">
        <v>57</v>
      </c>
      <c r="F250" s="12">
        <f>(Table7[[#This Row],[Backers Count Failed]]-$J$3)/$J$8</f>
        <v>-0.54989168378562481</v>
      </c>
    </row>
    <row r="251" spans="2:6" x14ac:dyDescent="0.25">
      <c r="B251" s="11">
        <v>236</v>
      </c>
      <c r="C251" s="12">
        <f>(Table5[[#This Row],[Backers Count Successul]]-$I$3)/$I$8</f>
        <v>-0.4853743114881921</v>
      </c>
      <c r="E251">
        <v>57</v>
      </c>
      <c r="F251" s="12">
        <f>(Table7[[#This Row],[Backers Count Failed]]-$J$3)/$J$8</f>
        <v>-0.54989168378562481</v>
      </c>
    </row>
    <row r="252" spans="2:6" x14ac:dyDescent="0.25">
      <c r="B252" s="11">
        <v>236</v>
      </c>
      <c r="C252" s="12">
        <f>(Table5[[#This Row],[Backers Count Successul]]-$I$3)/$I$8</f>
        <v>-0.4853743114881921</v>
      </c>
      <c r="E252">
        <v>56</v>
      </c>
      <c r="F252" s="12">
        <f>(Table7[[#This Row],[Backers Count Failed]]-$J$3)/$J$8</f>
        <v>-0.55093193289639508</v>
      </c>
    </row>
    <row r="253" spans="2:6" x14ac:dyDescent="0.25">
      <c r="B253" s="11">
        <v>235</v>
      </c>
      <c r="C253" s="12">
        <f>(Table5[[#This Row],[Backers Count Successul]]-$I$3)/$I$8</f>
        <v>-0.48616334953649143</v>
      </c>
      <c r="E253">
        <v>56</v>
      </c>
      <c r="F253" s="12">
        <f>(Table7[[#This Row],[Backers Count Failed]]-$J$3)/$J$8</f>
        <v>-0.55093193289639508</v>
      </c>
    </row>
    <row r="254" spans="2:6" x14ac:dyDescent="0.25">
      <c r="B254" s="11">
        <v>234</v>
      </c>
      <c r="C254" s="12">
        <f>(Table5[[#This Row],[Backers Count Successul]]-$I$3)/$I$8</f>
        <v>-0.48695238758479081</v>
      </c>
      <c r="E254">
        <v>55</v>
      </c>
      <c r="F254" s="12">
        <f>(Table7[[#This Row],[Backers Count Failed]]-$J$3)/$J$8</f>
        <v>-0.55197218200716536</v>
      </c>
    </row>
    <row r="255" spans="2:6" x14ac:dyDescent="0.25">
      <c r="B255" s="11">
        <v>233</v>
      </c>
      <c r="C255" s="12">
        <f>(Table5[[#This Row],[Backers Count Successul]]-$I$3)/$I$8</f>
        <v>-0.48774142563309014</v>
      </c>
      <c r="E255">
        <v>55</v>
      </c>
      <c r="F255" s="12">
        <f>(Table7[[#This Row],[Backers Count Failed]]-$J$3)/$J$8</f>
        <v>-0.55197218200716536</v>
      </c>
    </row>
    <row r="256" spans="2:6" x14ac:dyDescent="0.25">
      <c r="B256" s="11">
        <v>227</v>
      </c>
      <c r="C256" s="12">
        <f>(Table5[[#This Row],[Backers Count Successul]]-$I$3)/$I$8</f>
        <v>-0.49247565392288634</v>
      </c>
      <c r="E256">
        <v>54</v>
      </c>
      <c r="F256" s="12">
        <f>(Table7[[#This Row],[Backers Count Failed]]-$J$3)/$J$8</f>
        <v>-0.55301243111793563</v>
      </c>
    </row>
    <row r="257" spans="2:6" x14ac:dyDescent="0.25">
      <c r="B257" s="11">
        <v>226</v>
      </c>
      <c r="C257" s="12">
        <f>(Table5[[#This Row],[Backers Count Successul]]-$I$3)/$I$8</f>
        <v>-0.49326469197118566</v>
      </c>
      <c r="E257">
        <v>53</v>
      </c>
      <c r="F257" s="12">
        <f>(Table7[[#This Row],[Backers Count Failed]]-$J$3)/$J$8</f>
        <v>-0.5540526802287058</v>
      </c>
    </row>
    <row r="258" spans="2:6" x14ac:dyDescent="0.25">
      <c r="B258" s="11">
        <v>226</v>
      </c>
      <c r="C258" s="12">
        <f>(Table5[[#This Row],[Backers Count Successul]]-$I$3)/$I$8</f>
        <v>-0.49326469197118566</v>
      </c>
      <c r="E258">
        <v>52</v>
      </c>
      <c r="F258" s="12">
        <f>(Table7[[#This Row],[Backers Count Failed]]-$J$3)/$J$8</f>
        <v>-0.55509292933947607</v>
      </c>
    </row>
    <row r="259" spans="2:6" x14ac:dyDescent="0.25">
      <c r="B259" s="11">
        <v>225</v>
      </c>
      <c r="C259" s="12">
        <f>(Table5[[#This Row],[Backers Count Successul]]-$I$3)/$I$8</f>
        <v>-0.49405373001948505</v>
      </c>
      <c r="E259">
        <v>49</v>
      </c>
      <c r="F259" s="12">
        <f>(Table7[[#This Row],[Backers Count Failed]]-$J$3)/$J$8</f>
        <v>-0.55821367667178678</v>
      </c>
    </row>
    <row r="260" spans="2:6" x14ac:dyDescent="0.25">
      <c r="B260" s="11">
        <v>223</v>
      </c>
      <c r="C260" s="12">
        <f>(Table5[[#This Row],[Backers Count Successul]]-$I$3)/$I$8</f>
        <v>-0.49563180611608376</v>
      </c>
      <c r="E260">
        <v>49</v>
      </c>
      <c r="F260" s="12">
        <f>(Table7[[#This Row],[Backers Count Failed]]-$J$3)/$J$8</f>
        <v>-0.55821367667178678</v>
      </c>
    </row>
    <row r="261" spans="2:6" x14ac:dyDescent="0.25">
      <c r="B261" s="11">
        <v>222</v>
      </c>
      <c r="C261" s="12">
        <f>(Table5[[#This Row],[Backers Count Successul]]-$I$3)/$I$8</f>
        <v>-0.49642084416438309</v>
      </c>
      <c r="E261">
        <v>48</v>
      </c>
      <c r="F261" s="12">
        <f>(Table7[[#This Row],[Backers Count Failed]]-$J$3)/$J$8</f>
        <v>-0.55925392578255706</v>
      </c>
    </row>
    <row r="262" spans="2:6" x14ac:dyDescent="0.25">
      <c r="B262" s="11">
        <v>222</v>
      </c>
      <c r="C262" s="12">
        <f>(Table5[[#This Row],[Backers Count Successul]]-$I$3)/$I$8</f>
        <v>-0.49642084416438309</v>
      </c>
      <c r="E262">
        <v>47</v>
      </c>
      <c r="F262" s="12">
        <f>(Table7[[#This Row],[Backers Count Failed]]-$J$3)/$J$8</f>
        <v>-0.56029417489332733</v>
      </c>
    </row>
    <row r="263" spans="2:6" x14ac:dyDescent="0.25">
      <c r="B263" s="11">
        <v>221</v>
      </c>
      <c r="C263" s="12">
        <f>(Table5[[#This Row],[Backers Count Successul]]-$I$3)/$I$8</f>
        <v>-0.49720988221268247</v>
      </c>
      <c r="E263">
        <v>46</v>
      </c>
      <c r="F263" s="12">
        <f>(Table7[[#This Row],[Backers Count Failed]]-$J$3)/$J$8</f>
        <v>-0.5613344240040975</v>
      </c>
    </row>
    <row r="264" spans="2:6" x14ac:dyDescent="0.25">
      <c r="B264" s="11">
        <v>221</v>
      </c>
      <c r="C264" s="12">
        <f>(Table5[[#This Row],[Backers Count Successul]]-$I$3)/$I$8</f>
        <v>-0.49720988221268247</v>
      </c>
      <c r="E264">
        <v>45</v>
      </c>
      <c r="F264" s="12">
        <f>(Table7[[#This Row],[Backers Count Failed]]-$J$3)/$J$8</f>
        <v>-0.56237467311486777</v>
      </c>
    </row>
    <row r="265" spans="2:6" x14ac:dyDescent="0.25">
      <c r="B265" s="11">
        <v>220</v>
      </c>
      <c r="C265" s="12">
        <f>(Table5[[#This Row],[Backers Count Successul]]-$I$3)/$I$8</f>
        <v>-0.4979989202609818</v>
      </c>
      <c r="E265">
        <v>44</v>
      </c>
      <c r="F265" s="12">
        <f>(Table7[[#This Row],[Backers Count Failed]]-$J$3)/$J$8</f>
        <v>-0.56341492222563805</v>
      </c>
    </row>
    <row r="266" spans="2:6" x14ac:dyDescent="0.25">
      <c r="B266" s="11">
        <v>220</v>
      </c>
      <c r="C266" s="12">
        <f>(Table5[[#This Row],[Backers Count Successul]]-$I$3)/$I$8</f>
        <v>-0.4979989202609818</v>
      </c>
      <c r="E266">
        <v>44</v>
      </c>
      <c r="F266" s="12">
        <f>(Table7[[#This Row],[Backers Count Failed]]-$J$3)/$J$8</f>
        <v>-0.56341492222563805</v>
      </c>
    </row>
    <row r="267" spans="2:6" x14ac:dyDescent="0.25">
      <c r="B267" s="11">
        <v>219</v>
      </c>
      <c r="C267" s="12">
        <f>(Table5[[#This Row],[Backers Count Successul]]-$I$3)/$I$8</f>
        <v>-0.49878795830928119</v>
      </c>
      <c r="E267">
        <v>42</v>
      </c>
      <c r="F267" s="12">
        <f>(Table7[[#This Row],[Backers Count Failed]]-$J$3)/$J$8</f>
        <v>-0.56549542044717849</v>
      </c>
    </row>
    <row r="268" spans="2:6" x14ac:dyDescent="0.25">
      <c r="B268" s="11">
        <v>218</v>
      </c>
      <c r="C268" s="12">
        <f>(Table5[[#This Row],[Backers Count Successul]]-$I$3)/$I$8</f>
        <v>-0.49957699635758052</v>
      </c>
      <c r="E268">
        <v>41</v>
      </c>
      <c r="F268" s="12">
        <f>(Table7[[#This Row],[Backers Count Failed]]-$J$3)/$J$8</f>
        <v>-0.56653566955794876</v>
      </c>
    </row>
    <row r="269" spans="2:6" x14ac:dyDescent="0.25">
      <c r="B269" s="11">
        <v>218</v>
      </c>
      <c r="C269" s="12">
        <f>(Table5[[#This Row],[Backers Count Successul]]-$I$3)/$I$8</f>
        <v>-0.49957699635758052</v>
      </c>
      <c r="E269">
        <v>41</v>
      </c>
      <c r="F269" s="12">
        <f>(Table7[[#This Row],[Backers Count Failed]]-$J$3)/$J$8</f>
        <v>-0.56653566955794876</v>
      </c>
    </row>
    <row r="270" spans="2:6" x14ac:dyDescent="0.25">
      <c r="B270" s="11">
        <v>217</v>
      </c>
      <c r="C270" s="12">
        <f>(Table5[[#This Row],[Backers Count Successul]]-$I$3)/$I$8</f>
        <v>-0.5003660344058799</v>
      </c>
      <c r="E270">
        <v>40</v>
      </c>
      <c r="F270" s="12">
        <f>(Table7[[#This Row],[Backers Count Failed]]-$J$3)/$J$8</f>
        <v>-0.56757591866871904</v>
      </c>
    </row>
    <row r="271" spans="2:6" x14ac:dyDescent="0.25">
      <c r="B271" s="11">
        <v>216</v>
      </c>
      <c r="C271" s="12">
        <f>(Table5[[#This Row],[Backers Count Successul]]-$I$3)/$I$8</f>
        <v>-0.50115507245417923</v>
      </c>
      <c r="E271">
        <v>40</v>
      </c>
      <c r="F271" s="12">
        <f>(Table7[[#This Row],[Backers Count Failed]]-$J$3)/$J$8</f>
        <v>-0.56757591866871904</v>
      </c>
    </row>
    <row r="272" spans="2:6" x14ac:dyDescent="0.25">
      <c r="B272" s="11">
        <v>214</v>
      </c>
      <c r="C272" s="12">
        <f>(Table5[[#This Row],[Backers Count Successul]]-$I$3)/$I$8</f>
        <v>-0.502733148550778</v>
      </c>
      <c r="E272">
        <v>40</v>
      </c>
      <c r="F272" s="12">
        <f>(Table7[[#This Row],[Backers Count Failed]]-$J$3)/$J$8</f>
        <v>-0.56757591866871904</v>
      </c>
    </row>
    <row r="273" spans="2:6" x14ac:dyDescent="0.25">
      <c r="B273" s="11">
        <v>211</v>
      </c>
      <c r="C273" s="12">
        <f>(Table5[[#This Row],[Backers Count Successul]]-$I$3)/$I$8</f>
        <v>-0.50510026269567609</v>
      </c>
      <c r="E273">
        <v>39</v>
      </c>
      <c r="F273" s="12">
        <f>(Table7[[#This Row],[Backers Count Failed]]-$J$3)/$J$8</f>
        <v>-0.56861616777948931</v>
      </c>
    </row>
    <row r="274" spans="2:6" x14ac:dyDescent="0.25">
      <c r="B274" s="11">
        <v>211</v>
      </c>
      <c r="C274" s="12">
        <f>(Table5[[#This Row],[Backers Count Successul]]-$I$3)/$I$8</f>
        <v>-0.50510026269567609</v>
      </c>
      <c r="E274">
        <v>38</v>
      </c>
      <c r="F274" s="12">
        <f>(Table7[[#This Row],[Backers Count Failed]]-$J$3)/$J$8</f>
        <v>-0.56965641689025948</v>
      </c>
    </row>
    <row r="275" spans="2:6" x14ac:dyDescent="0.25">
      <c r="B275" s="11">
        <v>210</v>
      </c>
      <c r="C275" s="12">
        <f>(Table5[[#This Row],[Backers Count Successul]]-$I$3)/$I$8</f>
        <v>-0.50588930074397542</v>
      </c>
      <c r="E275">
        <v>38</v>
      </c>
      <c r="F275" s="12">
        <f>(Table7[[#This Row],[Backers Count Failed]]-$J$3)/$J$8</f>
        <v>-0.56965641689025948</v>
      </c>
    </row>
    <row r="276" spans="2:6" x14ac:dyDescent="0.25">
      <c r="B276" s="11">
        <v>209</v>
      </c>
      <c r="C276" s="12">
        <f>(Table5[[#This Row],[Backers Count Successul]]-$I$3)/$I$8</f>
        <v>-0.50667833879227475</v>
      </c>
      <c r="E276">
        <v>38</v>
      </c>
      <c r="F276" s="12">
        <f>(Table7[[#This Row],[Backers Count Failed]]-$J$3)/$J$8</f>
        <v>-0.56965641689025948</v>
      </c>
    </row>
    <row r="277" spans="2:6" x14ac:dyDescent="0.25">
      <c r="B277" s="11">
        <v>207</v>
      </c>
      <c r="C277" s="12">
        <f>(Table5[[#This Row],[Backers Count Successul]]-$I$3)/$I$8</f>
        <v>-0.50825641488887352</v>
      </c>
      <c r="E277">
        <v>37</v>
      </c>
      <c r="F277" s="12">
        <f>(Table7[[#This Row],[Backers Count Failed]]-$J$3)/$J$8</f>
        <v>-0.57069666600102975</v>
      </c>
    </row>
    <row r="278" spans="2:6" x14ac:dyDescent="0.25">
      <c r="B278" s="11">
        <v>207</v>
      </c>
      <c r="C278" s="12">
        <f>(Table5[[#This Row],[Backers Count Successul]]-$I$3)/$I$8</f>
        <v>-0.50825641488887352</v>
      </c>
      <c r="E278">
        <v>37</v>
      </c>
      <c r="F278" s="12">
        <f>(Table7[[#This Row],[Backers Count Failed]]-$J$3)/$J$8</f>
        <v>-0.57069666600102975</v>
      </c>
    </row>
    <row r="279" spans="2:6" x14ac:dyDescent="0.25">
      <c r="B279" s="11">
        <v>206</v>
      </c>
      <c r="C279" s="12">
        <f>(Table5[[#This Row],[Backers Count Successul]]-$I$3)/$I$8</f>
        <v>-0.50904545293717285</v>
      </c>
      <c r="E279">
        <v>37</v>
      </c>
      <c r="F279" s="12">
        <f>(Table7[[#This Row],[Backers Count Failed]]-$J$3)/$J$8</f>
        <v>-0.57069666600102975</v>
      </c>
    </row>
    <row r="280" spans="2:6" x14ac:dyDescent="0.25">
      <c r="B280" s="11">
        <v>205</v>
      </c>
      <c r="C280" s="12">
        <f>(Table5[[#This Row],[Backers Count Successul]]-$I$3)/$I$8</f>
        <v>-0.50983449098547218</v>
      </c>
      <c r="E280">
        <v>36</v>
      </c>
      <c r="F280" s="12">
        <f>(Table7[[#This Row],[Backers Count Failed]]-$J$3)/$J$8</f>
        <v>-0.57173691511180003</v>
      </c>
    </row>
    <row r="281" spans="2:6" x14ac:dyDescent="0.25">
      <c r="B281" s="11">
        <v>203</v>
      </c>
      <c r="C281" s="12">
        <f>(Table5[[#This Row],[Backers Count Successul]]-$I$3)/$I$8</f>
        <v>-0.51141256708207095</v>
      </c>
      <c r="E281">
        <v>35</v>
      </c>
      <c r="F281" s="12">
        <f>(Table7[[#This Row],[Backers Count Failed]]-$J$3)/$J$8</f>
        <v>-0.57277716422257019</v>
      </c>
    </row>
    <row r="282" spans="2:6" x14ac:dyDescent="0.25">
      <c r="B282" s="11">
        <v>203</v>
      </c>
      <c r="C282" s="12">
        <f>(Table5[[#This Row],[Backers Count Successul]]-$I$3)/$I$8</f>
        <v>-0.51141256708207095</v>
      </c>
      <c r="E282">
        <v>35</v>
      </c>
      <c r="F282" s="12">
        <f>(Table7[[#This Row],[Backers Count Failed]]-$J$3)/$J$8</f>
        <v>-0.57277716422257019</v>
      </c>
    </row>
    <row r="283" spans="2:6" x14ac:dyDescent="0.25">
      <c r="B283" s="11">
        <v>202</v>
      </c>
      <c r="C283" s="12">
        <f>(Table5[[#This Row],[Backers Count Successul]]-$I$3)/$I$8</f>
        <v>-0.51220160513037027</v>
      </c>
      <c r="E283">
        <v>35</v>
      </c>
      <c r="F283" s="12">
        <f>(Table7[[#This Row],[Backers Count Failed]]-$J$3)/$J$8</f>
        <v>-0.57277716422257019</v>
      </c>
    </row>
    <row r="284" spans="2:6" x14ac:dyDescent="0.25">
      <c r="B284" s="11">
        <v>202</v>
      </c>
      <c r="C284" s="12">
        <f>(Table5[[#This Row],[Backers Count Successul]]-$I$3)/$I$8</f>
        <v>-0.51220160513037027</v>
      </c>
      <c r="E284">
        <v>34</v>
      </c>
      <c r="F284" s="12">
        <f>(Table7[[#This Row],[Backers Count Failed]]-$J$3)/$J$8</f>
        <v>-0.57381741333334046</v>
      </c>
    </row>
    <row r="285" spans="2:6" x14ac:dyDescent="0.25">
      <c r="B285" s="11">
        <v>201</v>
      </c>
      <c r="C285" s="12">
        <f>(Table5[[#This Row],[Backers Count Successul]]-$I$3)/$I$8</f>
        <v>-0.5129906431786696</v>
      </c>
      <c r="E285">
        <v>33</v>
      </c>
      <c r="F285" s="12">
        <f>(Table7[[#This Row],[Backers Count Failed]]-$J$3)/$J$8</f>
        <v>-0.57485766244411074</v>
      </c>
    </row>
    <row r="286" spans="2:6" x14ac:dyDescent="0.25">
      <c r="B286" s="11">
        <v>199</v>
      </c>
      <c r="C286" s="12">
        <f>(Table5[[#This Row],[Backers Count Successul]]-$I$3)/$I$8</f>
        <v>-0.51456871927526837</v>
      </c>
      <c r="E286">
        <v>33</v>
      </c>
      <c r="F286" s="12">
        <f>(Table7[[#This Row],[Backers Count Failed]]-$J$3)/$J$8</f>
        <v>-0.57485766244411074</v>
      </c>
    </row>
    <row r="287" spans="2:6" x14ac:dyDescent="0.25">
      <c r="B287" s="11">
        <v>199</v>
      </c>
      <c r="C287" s="12">
        <f>(Table5[[#This Row],[Backers Count Successul]]-$I$3)/$I$8</f>
        <v>-0.51456871927526837</v>
      </c>
      <c r="E287">
        <v>33</v>
      </c>
      <c r="F287" s="12">
        <f>(Table7[[#This Row],[Backers Count Failed]]-$J$3)/$J$8</f>
        <v>-0.57485766244411074</v>
      </c>
    </row>
    <row r="288" spans="2:6" x14ac:dyDescent="0.25">
      <c r="B288" s="11">
        <v>199</v>
      </c>
      <c r="C288" s="12">
        <f>(Table5[[#This Row],[Backers Count Successul]]-$I$3)/$I$8</f>
        <v>-0.51456871927526837</v>
      </c>
      <c r="E288">
        <v>32</v>
      </c>
      <c r="F288" s="12">
        <f>(Table7[[#This Row],[Backers Count Failed]]-$J$3)/$J$8</f>
        <v>-0.57589791155488101</v>
      </c>
    </row>
    <row r="289" spans="2:6" x14ac:dyDescent="0.25">
      <c r="B289" s="11">
        <v>198</v>
      </c>
      <c r="C289" s="12">
        <f>(Table5[[#This Row],[Backers Count Successul]]-$I$3)/$I$8</f>
        <v>-0.5153577573235677</v>
      </c>
      <c r="E289">
        <v>32</v>
      </c>
      <c r="F289" s="12">
        <f>(Table7[[#This Row],[Backers Count Failed]]-$J$3)/$J$8</f>
        <v>-0.57589791155488101</v>
      </c>
    </row>
    <row r="290" spans="2:6" x14ac:dyDescent="0.25">
      <c r="B290" s="11">
        <v>198</v>
      </c>
      <c r="C290" s="12">
        <f>(Table5[[#This Row],[Backers Count Successul]]-$I$3)/$I$8</f>
        <v>-0.5153577573235677</v>
      </c>
      <c r="E290">
        <v>31</v>
      </c>
      <c r="F290" s="12">
        <f>(Table7[[#This Row],[Backers Count Failed]]-$J$3)/$J$8</f>
        <v>-0.57693816066565118</v>
      </c>
    </row>
    <row r="291" spans="2:6" x14ac:dyDescent="0.25">
      <c r="B291" s="11">
        <v>198</v>
      </c>
      <c r="C291" s="12">
        <f>(Table5[[#This Row],[Backers Count Successul]]-$I$3)/$I$8</f>
        <v>-0.5153577573235677</v>
      </c>
      <c r="E291">
        <v>31</v>
      </c>
      <c r="F291" s="12">
        <f>(Table7[[#This Row],[Backers Count Failed]]-$J$3)/$J$8</f>
        <v>-0.57693816066565118</v>
      </c>
    </row>
    <row r="292" spans="2:6" x14ac:dyDescent="0.25">
      <c r="B292" s="11">
        <v>196</v>
      </c>
      <c r="C292" s="12">
        <f>(Table5[[#This Row],[Backers Count Successul]]-$I$3)/$I$8</f>
        <v>-0.51693583342016647</v>
      </c>
      <c r="E292">
        <v>31</v>
      </c>
      <c r="F292" s="12">
        <f>(Table7[[#This Row],[Backers Count Failed]]-$J$3)/$J$8</f>
        <v>-0.57693816066565118</v>
      </c>
    </row>
    <row r="293" spans="2:6" x14ac:dyDescent="0.25">
      <c r="B293" s="11">
        <v>195</v>
      </c>
      <c r="C293" s="12">
        <f>(Table5[[#This Row],[Backers Count Successul]]-$I$3)/$I$8</f>
        <v>-0.5177248714684658</v>
      </c>
      <c r="E293">
        <v>31</v>
      </c>
      <c r="F293" s="12">
        <f>(Table7[[#This Row],[Backers Count Failed]]-$J$3)/$J$8</f>
        <v>-0.57693816066565118</v>
      </c>
    </row>
    <row r="294" spans="2:6" x14ac:dyDescent="0.25">
      <c r="B294" s="11">
        <v>195</v>
      </c>
      <c r="C294" s="12">
        <f>(Table5[[#This Row],[Backers Count Successul]]-$I$3)/$I$8</f>
        <v>-0.5177248714684658</v>
      </c>
      <c r="E294">
        <v>31</v>
      </c>
      <c r="F294" s="12">
        <f>(Table7[[#This Row],[Backers Count Failed]]-$J$3)/$J$8</f>
        <v>-0.57693816066565118</v>
      </c>
    </row>
    <row r="295" spans="2:6" x14ac:dyDescent="0.25">
      <c r="B295" s="11">
        <v>194</v>
      </c>
      <c r="C295" s="12">
        <f>(Table5[[#This Row],[Backers Count Successul]]-$I$3)/$I$8</f>
        <v>-0.51851390951676513</v>
      </c>
      <c r="E295">
        <v>30</v>
      </c>
      <c r="F295" s="12">
        <f>(Table7[[#This Row],[Backers Count Failed]]-$J$3)/$J$8</f>
        <v>-0.57797840977642145</v>
      </c>
    </row>
    <row r="296" spans="2:6" x14ac:dyDescent="0.25">
      <c r="B296" s="11">
        <v>194</v>
      </c>
      <c r="C296" s="12">
        <f>(Table5[[#This Row],[Backers Count Successul]]-$I$3)/$I$8</f>
        <v>-0.51851390951676513</v>
      </c>
      <c r="E296">
        <v>30</v>
      </c>
      <c r="F296" s="12">
        <f>(Table7[[#This Row],[Backers Count Failed]]-$J$3)/$J$8</f>
        <v>-0.57797840977642145</v>
      </c>
    </row>
    <row r="297" spans="2:6" x14ac:dyDescent="0.25">
      <c r="B297" s="11">
        <v>194</v>
      </c>
      <c r="C297" s="12">
        <f>(Table5[[#This Row],[Backers Count Successul]]-$I$3)/$I$8</f>
        <v>-0.51851390951676513</v>
      </c>
      <c r="E297">
        <v>29</v>
      </c>
      <c r="F297" s="12">
        <f>(Table7[[#This Row],[Backers Count Failed]]-$J$3)/$J$8</f>
        <v>-0.57901865888719173</v>
      </c>
    </row>
    <row r="298" spans="2:6" x14ac:dyDescent="0.25">
      <c r="B298" s="11">
        <v>194</v>
      </c>
      <c r="C298" s="12">
        <f>(Table5[[#This Row],[Backers Count Successul]]-$I$3)/$I$8</f>
        <v>-0.51851390951676513</v>
      </c>
      <c r="E298">
        <v>27</v>
      </c>
      <c r="F298" s="12">
        <f>(Table7[[#This Row],[Backers Count Failed]]-$J$3)/$J$8</f>
        <v>-0.58109915710873217</v>
      </c>
    </row>
    <row r="299" spans="2:6" x14ac:dyDescent="0.25">
      <c r="B299" s="11">
        <v>193</v>
      </c>
      <c r="C299" s="12">
        <f>(Table5[[#This Row],[Backers Count Successul]]-$I$3)/$I$8</f>
        <v>-0.51930294756506457</v>
      </c>
      <c r="E299">
        <v>27</v>
      </c>
      <c r="F299" s="12">
        <f>(Table7[[#This Row],[Backers Count Failed]]-$J$3)/$J$8</f>
        <v>-0.58109915710873217</v>
      </c>
    </row>
    <row r="300" spans="2:6" x14ac:dyDescent="0.25">
      <c r="B300" s="11">
        <v>192</v>
      </c>
      <c r="C300" s="12">
        <f>(Table5[[#This Row],[Backers Count Successul]]-$I$3)/$I$8</f>
        <v>-0.52009198561336389</v>
      </c>
      <c r="E300">
        <v>26</v>
      </c>
      <c r="F300" s="12">
        <f>(Table7[[#This Row],[Backers Count Failed]]-$J$3)/$J$8</f>
        <v>-0.58213940621950244</v>
      </c>
    </row>
    <row r="301" spans="2:6" x14ac:dyDescent="0.25">
      <c r="B301" s="11">
        <v>192</v>
      </c>
      <c r="C301" s="12">
        <f>(Table5[[#This Row],[Backers Count Successul]]-$I$3)/$I$8</f>
        <v>-0.52009198561336389</v>
      </c>
      <c r="E301">
        <v>26</v>
      </c>
      <c r="F301" s="12">
        <f>(Table7[[#This Row],[Backers Count Failed]]-$J$3)/$J$8</f>
        <v>-0.58213940621950244</v>
      </c>
    </row>
    <row r="302" spans="2:6" x14ac:dyDescent="0.25">
      <c r="B302" s="11">
        <v>191</v>
      </c>
      <c r="C302" s="12">
        <f>(Table5[[#This Row],[Backers Count Successul]]-$I$3)/$I$8</f>
        <v>-0.52088102366166322</v>
      </c>
      <c r="E302">
        <v>26</v>
      </c>
      <c r="F302" s="12">
        <f>(Table7[[#This Row],[Backers Count Failed]]-$J$3)/$J$8</f>
        <v>-0.58213940621950244</v>
      </c>
    </row>
    <row r="303" spans="2:6" x14ac:dyDescent="0.25">
      <c r="B303" s="11">
        <v>191</v>
      </c>
      <c r="C303" s="12">
        <f>(Table5[[#This Row],[Backers Count Successul]]-$I$3)/$I$8</f>
        <v>-0.52088102366166322</v>
      </c>
      <c r="E303">
        <v>25</v>
      </c>
      <c r="F303" s="12">
        <f>(Table7[[#This Row],[Backers Count Failed]]-$J$3)/$J$8</f>
        <v>-0.58317965533027272</v>
      </c>
    </row>
    <row r="304" spans="2:6" x14ac:dyDescent="0.25">
      <c r="B304" s="11">
        <v>191</v>
      </c>
      <c r="C304" s="12">
        <f>(Table5[[#This Row],[Backers Count Successul]]-$I$3)/$I$8</f>
        <v>-0.52088102366166322</v>
      </c>
      <c r="E304">
        <v>25</v>
      </c>
      <c r="F304" s="12">
        <f>(Table7[[#This Row],[Backers Count Failed]]-$J$3)/$J$8</f>
        <v>-0.58317965533027272</v>
      </c>
    </row>
    <row r="305" spans="2:6" x14ac:dyDescent="0.25">
      <c r="B305" s="11">
        <v>190</v>
      </c>
      <c r="C305" s="12">
        <f>(Table5[[#This Row],[Backers Count Successul]]-$I$3)/$I$8</f>
        <v>-0.52167006170996255</v>
      </c>
      <c r="E305">
        <v>24</v>
      </c>
      <c r="F305" s="12">
        <f>(Table7[[#This Row],[Backers Count Failed]]-$J$3)/$J$8</f>
        <v>-0.58421990444104288</v>
      </c>
    </row>
    <row r="306" spans="2:6" x14ac:dyDescent="0.25">
      <c r="B306" s="11">
        <v>190</v>
      </c>
      <c r="C306" s="12">
        <f>(Table5[[#This Row],[Backers Count Successul]]-$I$3)/$I$8</f>
        <v>-0.52167006170996255</v>
      </c>
      <c r="E306">
        <v>24</v>
      </c>
      <c r="F306" s="12">
        <f>(Table7[[#This Row],[Backers Count Failed]]-$J$3)/$J$8</f>
        <v>-0.58421990444104288</v>
      </c>
    </row>
    <row r="307" spans="2:6" x14ac:dyDescent="0.25">
      <c r="B307" s="11">
        <v>189</v>
      </c>
      <c r="C307" s="12">
        <f>(Table5[[#This Row],[Backers Count Successul]]-$I$3)/$I$8</f>
        <v>-0.52245909975826199</v>
      </c>
      <c r="E307">
        <v>24</v>
      </c>
      <c r="F307" s="12">
        <f>(Table7[[#This Row],[Backers Count Failed]]-$J$3)/$J$8</f>
        <v>-0.58421990444104288</v>
      </c>
    </row>
    <row r="308" spans="2:6" x14ac:dyDescent="0.25">
      <c r="B308" s="11">
        <v>189</v>
      </c>
      <c r="C308" s="12">
        <f>(Table5[[#This Row],[Backers Count Successul]]-$I$3)/$I$8</f>
        <v>-0.52245909975826199</v>
      </c>
      <c r="E308">
        <v>23</v>
      </c>
      <c r="F308" s="12">
        <f>(Table7[[#This Row],[Backers Count Failed]]-$J$3)/$J$8</f>
        <v>-0.58526015355181316</v>
      </c>
    </row>
    <row r="309" spans="2:6" x14ac:dyDescent="0.25">
      <c r="B309" s="11">
        <v>187</v>
      </c>
      <c r="C309" s="12">
        <f>(Table5[[#This Row],[Backers Count Successul]]-$I$3)/$I$8</f>
        <v>-0.52403717585486065</v>
      </c>
      <c r="E309">
        <v>22</v>
      </c>
      <c r="F309" s="12">
        <f>(Table7[[#This Row],[Backers Count Failed]]-$J$3)/$J$8</f>
        <v>-0.58630040266258343</v>
      </c>
    </row>
    <row r="310" spans="2:6" x14ac:dyDescent="0.25">
      <c r="B310" s="11">
        <v>186</v>
      </c>
      <c r="C310" s="12">
        <f>(Table5[[#This Row],[Backers Count Successul]]-$I$3)/$I$8</f>
        <v>-0.52482621390315998</v>
      </c>
      <c r="E310">
        <v>21</v>
      </c>
      <c r="F310" s="12">
        <f>(Table7[[#This Row],[Backers Count Failed]]-$J$3)/$J$8</f>
        <v>-0.58734065177335371</v>
      </c>
    </row>
    <row r="311" spans="2:6" x14ac:dyDescent="0.25">
      <c r="B311" s="11">
        <v>186</v>
      </c>
      <c r="C311" s="12">
        <f>(Table5[[#This Row],[Backers Count Successul]]-$I$3)/$I$8</f>
        <v>-0.52482621390315998</v>
      </c>
      <c r="E311">
        <v>21</v>
      </c>
      <c r="F311" s="12">
        <f>(Table7[[#This Row],[Backers Count Failed]]-$J$3)/$J$8</f>
        <v>-0.58734065177335371</v>
      </c>
    </row>
    <row r="312" spans="2:6" x14ac:dyDescent="0.25">
      <c r="B312" s="11">
        <v>186</v>
      </c>
      <c r="C312" s="12">
        <f>(Table5[[#This Row],[Backers Count Successul]]-$I$3)/$I$8</f>
        <v>-0.52482621390315998</v>
      </c>
      <c r="E312">
        <v>21</v>
      </c>
      <c r="F312" s="12">
        <f>(Table7[[#This Row],[Backers Count Failed]]-$J$3)/$J$8</f>
        <v>-0.58734065177335371</v>
      </c>
    </row>
    <row r="313" spans="2:6" x14ac:dyDescent="0.25">
      <c r="B313" s="11">
        <v>186</v>
      </c>
      <c r="C313" s="12">
        <f>(Table5[[#This Row],[Backers Count Successul]]-$I$3)/$I$8</f>
        <v>-0.52482621390315998</v>
      </c>
      <c r="E313">
        <v>19</v>
      </c>
      <c r="F313" s="12">
        <f>(Table7[[#This Row],[Backers Count Failed]]-$J$3)/$J$8</f>
        <v>-0.58942114999489414</v>
      </c>
    </row>
    <row r="314" spans="2:6" x14ac:dyDescent="0.25">
      <c r="B314" s="11">
        <v>186</v>
      </c>
      <c r="C314" s="12">
        <f>(Table5[[#This Row],[Backers Count Successul]]-$I$3)/$I$8</f>
        <v>-0.52482621390315998</v>
      </c>
      <c r="E314">
        <v>19</v>
      </c>
      <c r="F314" s="12">
        <f>(Table7[[#This Row],[Backers Count Failed]]-$J$3)/$J$8</f>
        <v>-0.58942114999489414</v>
      </c>
    </row>
    <row r="315" spans="2:6" x14ac:dyDescent="0.25">
      <c r="B315" s="11">
        <v>185</v>
      </c>
      <c r="C315" s="12">
        <f>(Table5[[#This Row],[Backers Count Successul]]-$I$3)/$I$8</f>
        <v>-0.52561525195145942</v>
      </c>
      <c r="E315">
        <v>19</v>
      </c>
      <c r="F315" s="12">
        <f>(Table7[[#This Row],[Backers Count Failed]]-$J$3)/$J$8</f>
        <v>-0.58942114999489414</v>
      </c>
    </row>
    <row r="316" spans="2:6" x14ac:dyDescent="0.25">
      <c r="B316" s="11">
        <v>184</v>
      </c>
      <c r="C316" s="12">
        <f>(Table5[[#This Row],[Backers Count Successul]]-$I$3)/$I$8</f>
        <v>-0.52640428999975875</v>
      </c>
      <c r="E316">
        <v>18</v>
      </c>
      <c r="F316" s="12">
        <f>(Table7[[#This Row],[Backers Count Failed]]-$J$3)/$J$8</f>
        <v>-0.59046139910566442</v>
      </c>
    </row>
    <row r="317" spans="2:6" x14ac:dyDescent="0.25">
      <c r="B317" s="11">
        <v>183</v>
      </c>
      <c r="C317" s="12">
        <f>(Table5[[#This Row],[Backers Count Successul]]-$I$3)/$I$8</f>
        <v>-0.52719332804805807</v>
      </c>
      <c r="E317">
        <v>18</v>
      </c>
      <c r="F317" s="12">
        <f>(Table7[[#This Row],[Backers Count Failed]]-$J$3)/$J$8</f>
        <v>-0.59046139910566442</v>
      </c>
    </row>
    <row r="318" spans="2:6" x14ac:dyDescent="0.25">
      <c r="B318" s="11">
        <v>183</v>
      </c>
      <c r="C318" s="12">
        <f>(Table5[[#This Row],[Backers Count Successul]]-$I$3)/$I$8</f>
        <v>-0.52719332804805807</v>
      </c>
      <c r="E318">
        <v>17</v>
      </c>
      <c r="F318" s="12">
        <f>(Table7[[#This Row],[Backers Count Failed]]-$J$3)/$J$8</f>
        <v>-0.59150164821643469</v>
      </c>
    </row>
    <row r="319" spans="2:6" x14ac:dyDescent="0.25">
      <c r="B319" s="11">
        <v>182</v>
      </c>
      <c r="C319" s="12">
        <f>(Table5[[#This Row],[Backers Count Successul]]-$I$3)/$I$8</f>
        <v>-0.5279823660963574</v>
      </c>
      <c r="E319">
        <v>17</v>
      </c>
      <c r="F319" s="12">
        <f>(Table7[[#This Row],[Backers Count Failed]]-$J$3)/$J$8</f>
        <v>-0.59150164821643469</v>
      </c>
    </row>
    <row r="320" spans="2:6" x14ac:dyDescent="0.25">
      <c r="B320" s="11">
        <v>181</v>
      </c>
      <c r="C320" s="12">
        <f>(Table5[[#This Row],[Backers Count Successul]]-$I$3)/$I$8</f>
        <v>-0.52877140414465684</v>
      </c>
      <c r="E320">
        <v>17</v>
      </c>
      <c r="F320" s="12">
        <f>(Table7[[#This Row],[Backers Count Failed]]-$J$3)/$J$8</f>
        <v>-0.59150164821643469</v>
      </c>
    </row>
    <row r="321" spans="2:6" x14ac:dyDescent="0.25">
      <c r="B321" s="11">
        <v>181</v>
      </c>
      <c r="C321" s="12">
        <f>(Table5[[#This Row],[Backers Count Successul]]-$I$3)/$I$8</f>
        <v>-0.52877140414465684</v>
      </c>
      <c r="E321">
        <v>16</v>
      </c>
      <c r="F321" s="12">
        <f>(Table7[[#This Row],[Backers Count Failed]]-$J$3)/$J$8</f>
        <v>-0.59254189732720486</v>
      </c>
    </row>
    <row r="322" spans="2:6" x14ac:dyDescent="0.25">
      <c r="B322" s="11">
        <v>180</v>
      </c>
      <c r="C322" s="12">
        <f>(Table5[[#This Row],[Backers Count Successul]]-$I$3)/$I$8</f>
        <v>-0.52956044219295617</v>
      </c>
      <c r="E322">
        <v>16</v>
      </c>
      <c r="F322" s="12">
        <f>(Table7[[#This Row],[Backers Count Failed]]-$J$3)/$J$8</f>
        <v>-0.59254189732720486</v>
      </c>
    </row>
    <row r="323" spans="2:6" x14ac:dyDescent="0.25">
      <c r="B323" s="11">
        <v>180</v>
      </c>
      <c r="C323" s="12">
        <f>(Table5[[#This Row],[Backers Count Successul]]-$I$3)/$I$8</f>
        <v>-0.52956044219295617</v>
      </c>
      <c r="E323">
        <v>16</v>
      </c>
      <c r="F323" s="12">
        <f>(Table7[[#This Row],[Backers Count Failed]]-$J$3)/$J$8</f>
        <v>-0.59254189732720486</v>
      </c>
    </row>
    <row r="324" spans="2:6" x14ac:dyDescent="0.25">
      <c r="B324" s="11">
        <v>180</v>
      </c>
      <c r="C324" s="12">
        <f>(Table5[[#This Row],[Backers Count Successul]]-$I$3)/$I$8</f>
        <v>-0.52956044219295617</v>
      </c>
      <c r="E324">
        <v>16</v>
      </c>
      <c r="F324" s="12">
        <f>(Table7[[#This Row],[Backers Count Failed]]-$J$3)/$J$8</f>
        <v>-0.59254189732720486</v>
      </c>
    </row>
    <row r="325" spans="2:6" x14ac:dyDescent="0.25">
      <c r="B325" s="11">
        <v>180</v>
      </c>
      <c r="C325" s="12">
        <f>(Table5[[#This Row],[Backers Count Successul]]-$I$3)/$I$8</f>
        <v>-0.52956044219295617</v>
      </c>
      <c r="E325">
        <v>15</v>
      </c>
      <c r="F325" s="12">
        <f>(Table7[[#This Row],[Backers Count Failed]]-$J$3)/$J$8</f>
        <v>-0.59358214643797513</v>
      </c>
    </row>
    <row r="326" spans="2:6" x14ac:dyDescent="0.25">
      <c r="B326" s="11">
        <v>179</v>
      </c>
      <c r="C326" s="12">
        <f>(Table5[[#This Row],[Backers Count Successul]]-$I$3)/$I$8</f>
        <v>-0.5303494802412555</v>
      </c>
      <c r="E326">
        <v>15</v>
      </c>
      <c r="F326" s="12">
        <f>(Table7[[#This Row],[Backers Count Failed]]-$J$3)/$J$8</f>
        <v>-0.59358214643797513</v>
      </c>
    </row>
    <row r="327" spans="2:6" x14ac:dyDescent="0.25">
      <c r="B327" s="11">
        <v>176</v>
      </c>
      <c r="C327" s="12">
        <f>(Table5[[#This Row],[Backers Count Successul]]-$I$3)/$I$8</f>
        <v>-0.5327165943861536</v>
      </c>
      <c r="E327">
        <v>15</v>
      </c>
      <c r="F327" s="12">
        <f>(Table7[[#This Row],[Backers Count Failed]]-$J$3)/$J$8</f>
        <v>-0.59358214643797513</v>
      </c>
    </row>
    <row r="328" spans="2:6" x14ac:dyDescent="0.25">
      <c r="B328" s="11">
        <v>175</v>
      </c>
      <c r="C328" s="12">
        <f>(Table5[[#This Row],[Backers Count Successul]]-$I$3)/$I$8</f>
        <v>-0.53350563243445293</v>
      </c>
      <c r="E328">
        <v>15</v>
      </c>
      <c r="F328" s="12">
        <f>(Table7[[#This Row],[Backers Count Failed]]-$J$3)/$J$8</f>
        <v>-0.59358214643797513</v>
      </c>
    </row>
    <row r="329" spans="2:6" x14ac:dyDescent="0.25">
      <c r="B329" s="11">
        <v>174</v>
      </c>
      <c r="C329" s="12">
        <f>(Table5[[#This Row],[Backers Count Successul]]-$I$3)/$I$8</f>
        <v>-0.53429467048275237</v>
      </c>
      <c r="E329">
        <v>15</v>
      </c>
      <c r="F329" s="12">
        <f>(Table7[[#This Row],[Backers Count Failed]]-$J$3)/$J$8</f>
        <v>-0.59358214643797513</v>
      </c>
    </row>
    <row r="330" spans="2:6" x14ac:dyDescent="0.25">
      <c r="B330" s="11">
        <v>174</v>
      </c>
      <c r="C330" s="12">
        <f>(Table5[[#This Row],[Backers Count Successul]]-$I$3)/$I$8</f>
        <v>-0.53429467048275237</v>
      </c>
      <c r="E330">
        <v>15</v>
      </c>
      <c r="F330" s="12">
        <f>(Table7[[#This Row],[Backers Count Failed]]-$J$3)/$J$8</f>
        <v>-0.59358214643797513</v>
      </c>
    </row>
    <row r="331" spans="2:6" x14ac:dyDescent="0.25">
      <c r="B331" s="11">
        <v>173</v>
      </c>
      <c r="C331" s="12">
        <f>(Table5[[#This Row],[Backers Count Successul]]-$I$3)/$I$8</f>
        <v>-0.53508370853105169</v>
      </c>
      <c r="E331">
        <v>14</v>
      </c>
      <c r="F331" s="12">
        <f>(Table7[[#This Row],[Backers Count Failed]]-$J$3)/$J$8</f>
        <v>-0.59462239554874541</v>
      </c>
    </row>
    <row r="332" spans="2:6" x14ac:dyDescent="0.25">
      <c r="B332" s="11">
        <v>172</v>
      </c>
      <c r="C332" s="12">
        <f>(Table5[[#This Row],[Backers Count Successul]]-$I$3)/$I$8</f>
        <v>-0.53587274657935102</v>
      </c>
      <c r="E332">
        <v>14</v>
      </c>
      <c r="F332" s="12">
        <f>(Table7[[#This Row],[Backers Count Failed]]-$J$3)/$J$8</f>
        <v>-0.59462239554874541</v>
      </c>
    </row>
    <row r="333" spans="2:6" x14ac:dyDescent="0.25">
      <c r="B333" s="11">
        <v>170</v>
      </c>
      <c r="C333" s="12">
        <f>(Table5[[#This Row],[Backers Count Successul]]-$I$3)/$I$8</f>
        <v>-0.53745082267594979</v>
      </c>
      <c r="E333">
        <v>13</v>
      </c>
      <c r="F333" s="12">
        <f>(Table7[[#This Row],[Backers Count Failed]]-$J$3)/$J$8</f>
        <v>-0.59566264465951557</v>
      </c>
    </row>
    <row r="334" spans="2:6" x14ac:dyDescent="0.25">
      <c r="B334" s="11">
        <v>170</v>
      </c>
      <c r="C334" s="12">
        <f>(Table5[[#This Row],[Backers Count Successul]]-$I$3)/$I$8</f>
        <v>-0.53745082267594979</v>
      </c>
      <c r="E334">
        <v>13</v>
      </c>
      <c r="F334" s="12">
        <f>(Table7[[#This Row],[Backers Count Failed]]-$J$3)/$J$8</f>
        <v>-0.59566264465951557</v>
      </c>
    </row>
    <row r="335" spans="2:6" x14ac:dyDescent="0.25">
      <c r="B335" s="11">
        <v>170</v>
      </c>
      <c r="C335" s="12">
        <f>(Table5[[#This Row],[Backers Count Successul]]-$I$3)/$I$8</f>
        <v>-0.53745082267594979</v>
      </c>
      <c r="E335">
        <v>12</v>
      </c>
      <c r="F335" s="12">
        <f>(Table7[[#This Row],[Backers Count Failed]]-$J$3)/$J$8</f>
        <v>-0.59670289377028585</v>
      </c>
    </row>
    <row r="336" spans="2:6" x14ac:dyDescent="0.25">
      <c r="B336" s="11">
        <v>169</v>
      </c>
      <c r="C336" s="12">
        <f>(Table5[[#This Row],[Backers Count Successul]]-$I$3)/$I$8</f>
        <v>-0.53823986072424912</v>
      </c>
      <c r="E336">
        <v>12</v>
      </c>
      <c r="F336" s="12">
        <f>(Table7[[#This Row],[Backers Count Failed]]-$J$3)/$J$8</f>
        <v>-0.59670289377028585</v>
      </c>
    </row>
    <row r="337" spans="2:6" x14ac:dyDescent="0.25">
      <c r="B337" s="11">
        <v>168</v>
      </c>
      <c r="C337" s="12">
        <f>(Table5[[#This Row],[Backers Count Successul]]-$I$3)/$I$8</f>
        <v>-0.53902889877254845</v>
      </c>
      <c r="E337">
        <v>10</v>
      </c>
      <c r="F337" s="12">
        <f>(Table7[[#This Row],[Backers Count Failed]]-$J$3)/$J$8</f>
        <v>-0.5987833919918264</v>
      </c>
    </row>
    <row r="338" spans="2:6" x14ac:dyDescent="0.25">
      <c r="B338" s="11">
        <v>168</v>
      </c>
      <c r="C338" s="12">
        <f>(Table5[[#This Row],[Backers Count Successul]]-$I$3)/$I$8</f>
        <v>-0.53902889877254845</v>
      </c>
      <c r="E338">
        <v>10</v>
      </c>
      <c r="F338" s="12">
        <f>(Table7[[#This Row],[Backers Count Failed]]-$J$3)/$J$8</f>
        <v>-0.5987833919918264</v>
      </c>
    </row>
    <row r="339" spans="2:6" x14ac:dyDescent="0.25">
      <c r="B339" s="11">
        <v>166</v>
      </c>
      <c r="C339" s="12">
        <f>(Table5[[#This Row],[Backers Count Successul]]-$I$3)/$I$8</f>
        <v>-0.54060697486914722</v>
      </c>
      <c r="E339">
        <v>10</v>
      </c>
      <c r="F339" s="12">
        <f>(Table7[[#This Row],[Backers Count Failed]]-$J$3)/$J$8</f>
        <v>-0.5987833919918264</v>
      </c>
    </row>
    <row r="340" spans="2:6" x14ac:dyDescent="0.25">
      <c r="B340" s="11">
        <v>165</v>
      </c>
      <c r="C340" s="12">
        <f>(Table5[[#This Row],[Backers Count Successul]]-$I$3)/$I$8</f>
        <v>-0.54139601291744655</v>
      </c>
      <c r="E340">
        <v>10</v>
      </c>
      <c r="F340" s="12">
        <f>(Table7[[#This Row],[Backers Count Failed]]-$J$3)/$J$8</f>
        <v>-0.5987833919918264</v>
      </c>
    </row>
    <row r="341" spans="2:6" x14ac:dyDescent="0.25">
      <c r="B341" s="11">
        <v>165</v>
      </c>
      <c r="C341" s="12">
        <f>(Table5[[#This Row],[Backers Count Successul]]-$I$3)/$I$8</f>
        <v>-0.54139601291744655</v>
      </c>
      <c r="E341">
        <v>9</v>
      </c>
      <c r="F341" s="12">
        <f>(Table7[[#This Row],[Backers Count Failed]]-$J$3)/$J$8</f>
        <v>-0.59982364110259656</v>
      </c>
    </row>
    <row r="342" spans="2:6" x14ac:dyDescent="0.25">
      <c r="B342" s="11">
        <v>165</v>
      </c>
      <c r="C342" s="12">
        <f>(Table5[[#This Row],[Backers Count Successul]]-$I$3)/$I$8</f>
        <v>-0.54139601291744655</v>
      </c>
      <c r="E342">
        <v>9</v>
      </c>
      <c r="F342" s="12">
        <f>(Table7[[#This Row],[Backers Count Failed]]-$J$3)/$J$8</f>
        <v>-0.59982364110259656</v>
      </c>
    </row>
    <row r="343" spans="2:6" x14ac:dyDescent="0.25">
      <c r="B343" s="11">
        <v>165</v>
      </c>
      <c r="C343" s="12">
        <f>(Table5[[#This Row],[Backers Count Successul]]-$I$3)/$I$8</f>
        <v>-0.54139601291744655</v>
      </c>
      <c r="E343">
        <v>7</v>
      </c>
      <c r="F343" s="12">
        <f>(Table7[[#This Row],[Backers Count Failed]]-$J$3)/$J$8</f>
        <v>-0.60190413932413711</v>
      </c>
    </row>
    <row r="344" spans="2:6" x14ac:dyDescent="0.25">
      <c r="B344" s="11">
        <v>164</v>
      </c>
      <c r="C344" s="12">
        <f>(Table5[[#This Row],[Backers Count Successul]]-$I$3)/$I$8</f>
        <v>-0.54218505096574587</v>
      </c>
      <c r="E344">
        <v>7</v>
      </c>
      <c r="F344" s="12">
        <f>(Table7[[#This Row],[Backers Count Failed]]-$J$3)/$J$8</f>
        <v>-0.60190413932413711</v>
      </c>
    </row>
    <row r="345" spans="2:6" x14ac:dyDescent="0.25">
      <c r="B345" s="11">
        <v>164</v>
      </c>
      <c r="C345" s="12">
        <f>(Table5[[#This Row],[Backers Count Successul]]-$I$3)/$I$8</f>
        <v>-0.54218505096574587</v>
      </c>
      <c r="E345">
        <v>6</v>
      </c>
      <c r="F345" s="12">
        <f>(Table7[[#This Row],[Backers Count Failed]]-$J$3)/$J$8</f>
        <v>-0.60294438843490739</v>
      </c>
    </row>
    <row r="346" spans="2:6" x14ac:dyDescent="0.25">
      <c r="B346" s="11">
        <v>164</v>
      </c>
      <c r="C346" s="12">
        <f>(Table5[[#This Row],[Backers Count Successul]]-$I$3)/$I$8</f>
        <v>-0.54218505096574587</v>
      </c>
      <c r="E346">
        <v>5</v>
      </c>
      <c r="F346" s="12">
        <f>(Table7[[#This Row],[Backers Count Failed]]-$J$3)/$J$8</f>
        <v>-0.60398463754567755</v>
      </c>
    </row>
    <row r="347" spans="2:6" x14ac:dyDescent="0.25">
      <c r="B347" s="11">
        <v>164</v>
      </c>
      <c r="C347" s="12">
        <f>(Table5[[#This Row],[Backers Count Successul]]-$I$3)/$I$8</f>
        <v>-0.54218505096574587</v>
      </c>
      <c r="E347">
        <v>5</v>
      </c>
      <c r="F347" s="12">
        <f>(Table7[[#This Row],[Backers Count Failed]]-$J$3)/$J$8</f>
        <v>-0.60398463754567755</v>
      </c>
    </row>
    <row r="348" spans="2:6" x14ac:dyDescent="0.25">
      <c r="B348" s="11">
        <v>164</v>
      </c>
      <c r="C348" s="12">
        <f>(Table5[[#This Row],[Backers Count Successul]]-$I$3)/$I$8</f>
        <v>-0.54218505096574587</v>
      </c>
      <c r="E348">
        <v>1</v>
      </c>
      <c r="F348" s="12">
        <f>(Table7[[#This Row],[Backers Count Failed]]-$J$3)/$J$8</f>
        <v>-0.60814563398875854</v>
      </c>
    </row>
    <row r="349" spans="2:6" x14ac:dyDescent="0.25">
      <c r="B349" s="11">
        <v>163</v>
      </c>
      <c r="C349" s="12">
        <f>(Table5[[#This Row],[Backers Count Successul]]-$I$3)/$I$8</f>
        <v>-0.54297408901404531</v>
      </c>
      <c r="E349">
        <v>1</v>
      </c>
      <c r="F349" s="12">
        <f>(Table7[[#This Row],[Backers Count Failed]]-$J$3)/$J$8</f>
        <v>-0.60814563398875854</v>
      </c>
    </row>
    <row r="350" spans="2:6" x14ac:dyDescent="0.25">
      <c r="B350" s="11">
        <v>163</v>
      </c>
      <c r="C350" s="12">
        <f>(Table5[[#This Row],[Backers Count Successul]]-$I$3)/$I$8</f>
        <v>-0.54297408901404531</v>
      </c>
      <c r="E350">
        <v>1</v>
      </c>
      <c r="F350" s="12">
        <f>(Table7[[#This Row],[Backers Count Failed]]-$J$3)/$J$8</f>
        <v>-0.60814563398875854</v>
      </c>
    </row>
    <row r="351" spans="2:6" x14ac:dyDescent="0.25">
      <c r="B351" s="11">
        <v>161</v>
      </c>
      <c r="C351" s="12">
        <f>(Table5[[#This Row],[Backers Count Successul]]-$I$3)/$I$8</f>
        <v>-0.54455216511064397</v>
      </c>
      <c r="E351">
        <v>1</v>
      </c>
      <c r="F351" s="12">
        <f>(Table7[[#This Row],[Backers Count Failed]]-$J$3)/$J$8</f>
        <v>-0.60814563398875854</v>
      </c>
    </row>
    <row r="352" spans="2:6" x14ac:dyDescent="0.25">
      <c r="B352" s="11">
        <v>160</v>
      </c>
      <c r="C352" s="12">
        <f>(Table5[[#This Row],[Backers Count Successul]]-$I$3)/$I$8</f>
        <v>-0.5453412031589433</v>
      </c>
      <c r="E352">
        <v>1</v>
      </c>
      <c r="F352" s="12">
        <f>(Table7[[#This Row],[Backers Count Failed]]-$J$3)/$J$8</f>
        <v>-0.60814563398875854</v>
      </c>
    </row>
    <row r="353" spans="2:6" x14ac:dyDescent="0.25">
      <c r="B353" s="11">
        <v>160</v>
      </c>
      <c r="C353" s="12">
        <f>(Table5[[#This Row],[Backers Count Successul]]-$I$3)/$I$8</f>
        <v>-0.5453412031589433</v>
      </c>
      <c r="E353">
        <v>1</v>
      </c>
      <c r="F353" s="12">
        <f>(Table7[[#This Row],[Backers Count Failed]]-$J$3)/$J$8</f>
        <v>-0.60814563398875854</v>
      </c>
    </row>
    <row r="354" spans="2:6" x14ac:dyDescent="0.25">
      <c r="B354" s="11">
        <v>159</v>
      </c>
      <c r="C354" s="12">
        <f>(Table5[[#This Row],[Backers Count Successul]]-$I$3)/$I$8</f>
        <v>-0.54613024120724274</v>
      </c>
      <c r="E354">
        <v>1</v>
      </c>
      <c r="F354" s="12">
        <f>(Table7[[#This Row],[Backers Count Failed]]-$J$3)/$J$8</f>
        <v>-0.60814563398875854</v>
      </c>
    </row>
    <row r="355" spans="2:6" x14ac:dyDescent="0.25">
      <c r="B355" s="11">
        <v>159</v>
      </c>
      <c r="C355" s="12">
        <f>(Table5[[#This Row],[Backers Count Successul]]-$I$3)/$I$8</f>
        <v>-0.54613024120724274</v>
      </c>
      <c r="E355">
        <v>1</v>
      </c>
      <c r="F355" s="12">
        <f>(Table7[[#This Row],[Backers Count Failed]]-$J$3)/$J$8</f>
        <v>-0.60814563398875854</v>
      </c>
    </row>
    <row r="356" spans="2:6" x14ac:dyDescent="0.25">
      <c r="B356" s="11">
        <v>159</v>
      </c>
      <c r="C356" s="12">
        <f>(Table5[[#This Row],[Backers Count Successul]]-$I$3)/$I$8</f>
        <v>-0.54613024120724274</v>
      </c>
      <c r="E356">
        <v>1</v>
      </c>
      <c r="F356" s="12">
        <f>(Table7[[#This Row],[Backers Count Failed]]-$J$3)/$J$8</f>
        <v>-0.60814563398875854</v>
      </c>
    </row>
    <row r="357" spans="2:6" x14ac:dyDescent="0.25">
      <c r="B357" s="11">
        <v>158</v>
      </c>
      <c r="C357" s="12">
        <f>(Table5[[#This Row],[Backers Count Successul]]-$I$3)/$I$8</f>
        <v>-0.54691927925554207</v>
      </c>
      <c r="E357">
        <v>1</v>
      </c>
      <c r="F357" s="12">
        <f>(Table7[[#This Row],[Backers Count Failed]]-$J$3)/$J$8</f>
        <v>-0.60814563398875854</v>
      </c>
    </row>
    <row r="358" spans="2:6" x14ac:dyDescent="0.25">
      <c r="B358" s="11">
        <v>158</v>
      </c>
      <c r="C358" s="12">
        <f>(Table5[[#This Row],[Backers Count Successul]]-$I$3)/$I$8</f>
        <v>-0.54691927925554207</v>
      </c>
      <c r="E358">
        <v>1</v>
      </c>
      <c r="F358" s="12">
        <f>(Table7[[#This Row],[Backers Count Failed]]-$J$3)/$J$8</f>
        <v>-0.60814563398875854</v>
      </c>
    </row>
    <row r="359" spans="2:6" x14ac:dyDescent="0.25">
      <c r="B359" s="11">
        <v>157</v>
      </c>
      <c r="C359" s="12">
        <f>(Table5[[#This Row],[Backers Count Successul]]-$I$3)/$I$8</f>
        <v>-0.5477083173038414</v>
      </c>
      <c r="E359">
        <v>1</v>
      </c>
      <c r="F359" s="12">
        <f>(Table7[[#This Row],[Backers Count Failed]]-$J$3)/$J$8</f>
        <v>-0.60814563398875854</v>
      </c>
    </row>
    <row r="360" spans="2:6" x14ac:dyDescent="0.25">
      <c r="B360" s="11">
        <v>157</v>
      </c>
      <c r="C360" s="12">
        <f>(Table5[[#This Row],[Backers Count Successul]]-$I$3)/$I$8</f>
        <v>-0.5477083173038414</v>
      </c>
      <c r="E360">
        <v>1</v>
      </c>
      <c r="F360" s="12">
        <f>(Table7[[#This Row],[Backers Count Failed]]-$J$3)/$J$8</f>
        <v>-0.60814563398875854</v>
      </c>
    </row>
    <row r="361" spans="2:6" x14ac:dyDescent="0.25">
      <c r="B361" s="11">
        <v>157</v>
      </c>
      <c r="C361" s="12">
        <f>(Table5[[#This Row],[Backers Count Successul]]-$I$3)/$I$8</f>
        <v>-0.5477083173038414</v>
      </c>
      <c r="E361">
        <v>1</v>
      </c>
      <c r="F361" s="12">
        <f>(Table7[[#This Row],[Backers Count Failed]]-$J$3)/$J$8</f>
        <v>-0.60814563398875854</v>
      </c>
    </row>
    <row r="362" spans="2:6" x14ac:dyDescent="0.25">
      <c r="B362" s="11">
        <v>157</v>
      </c>
      <c r="C362" s="12">
        <f>(Table5[[#This Row],[Backers Count Successul]]-$I$3)/$I$8</f>
        <v>-0.5477083173038414</v>
      </c>
      <c r="E362">
        <v>1</v>
      </c>
      <c r="F362" s="12">
        <f>(Table7[[#This Row],[Backers Count Failed]]-$J$3)/$J$8</f>
        <v>-0.60814563398875854</v>
      </c>
    </row>
    <row r="363" spans="2:6" x14ac:dyDescent="0.25">
      <c r="B363" s="11">
        <v>157</v>
      </c>
      <c r="C363" s="12">
        <f>(Table5[[#This Row],[Backers Count Successul]]-$I$3)/$I$8</f>
        <v>-0.5477083173038414</v>
      </c>
      <c r="E363">
        <v>1</v>
      </c>
      <c r="F363" s="12">
        <f>(Table7[[#This Row],[Backers Count Failed]]-$J$3)/$J$8</f>
        <v>-0.60814563398875854</v>
      </c>
    </row>
    <row r="364" spans="2:6" x14ac:dyDescent="0.25">
      <c r="B364" s="11">
        <v>156</v>
      </c>
      <c r="C364" s="12">
        <f>(Table5[[#This Row],[Backers Count Successul]]-$I$3)/$I$8</f>
        <v>-0.54849735535214084</v>
      </c>
      <c r="E364">
        <v>1</v>
      </c>
      <c r="F364" s="12">
        <f>(Table7[[#This Row],[Backers Count Failed]]-$J$3)/$J$8</f>
        <v>-0.60814563398875854</v>
      </c>
    </row>
    <row r="365" spans="2:6" x14ac:dyDescent="0.25">
      <c r="B365" s="11">
        <v>156</v>
      </c>
      <c r="C365" s="12">
        <f>(Table5[[#This Row],[Backers Count Successul]]-$I$3)/$I$8</f>
        <v>-0.54849735535214084</v>
      </c>
      <c r="E365">
        <v>0</v>
      </c>
      <c r="F365" s="12">
        <f>(Table7[[#This Row],[Backers Count Failed]]-$J$3)/$J$8</f>
        <v>-0.60918588309952881</v>
      </c>
    </row>
    <row r="366" spans="2:6" x14ac:dyDescent="0.25">
      <c r="B366" s="11">
        <v>155</v>
      </c>
      <c r="C366" s="12">
        <f>(Table5[[#This Row],[Backers Count Successul]]-$I$3)/$I$8</f>
        <v>-0.54928639340044016</v>
      </c>
      <c r="E366">
        <v>0</v>
      </c>
      <c r="F366" s="12">
        <f>(Table7[[#This Row],[Backers Count Failed]]-$J$3)/$J$8</f>
        <v>-0.60918588309952881</v>
      </c>
    </row>
    <row r="367" spans="2:6" x14ac:dyDescent="0.25">
      <c r="B367" s="11">
        <v>155</v>
      </c>
      <c r="C367" s="12">
        <f>(Table5[[#This Row],[Backers Count Successul]]-$I$3)/$I$8</f>
        <v>-0.54928639340044016</v>
      </c>
    </row>
    <row r="368" spans="2:6" x14ac:dyDescent="0.25">
      <c r="B368" s="11">
        <v>155</v>
      </c>
      <c r="C368" s="12">
        <f>(Table5[[#This Row],[Backers Count Successul]]-$I$3)/$I$8</f>
        <v>-0.54928639340044016</v>
      </c>
    </row>
    <row r="369" spans="2:3" x14ac:dyDescent="0.25">
      <c r="B369" s="11">
        <v>155</v>
      </c>
      <c r="C369" s="12">
        <f>(Table5[[#This Row],[Backers Count Successul]]-$I$3)/$I$8</f>
        <v>-0.54928639340044016</v>
      </c>
    </row>
    <row r="370" spans="2:3" x14ac:dyDescent="0.25">
      <c r="B370" s="11">
        <v>154</v>
      </c>
      <c r="C370" s="12">
        <f>(Table5[[#This Row],[Backers Count Successul]]-$I$3)/$I$8</f>
        <v>-0.55007543144873949</v>
      </c>
    </row>
    <row r="371" spans="2:3" x14ac:dyDescent="0.25">
      <c r="B371" s="11">
        <v>154</v>
      </c>
      <c r="C371" s="12">
        <f>(Table5[[#This Row],[Backers Count Successul]]-$I$3)/$I$8</f>
        <v>-0.55007543144873949</v>
      </c>
    </row>
    <row r="372" spans="2:3" x14ac:dyDescent="0.25">
      <c r="B372" s="11">
        <v>154</v>
      </c>
      <c r="C372" s="12">
        <f>(Table5[[#This Row],[Backers Count Successul]]-$I$3)/$I$8</f>
        <v>-0.55007543144873949</v>
      </c>
    </row>
    <row r="373" spans="2:3" x14ac:dyDescent="0.25">
      <c r="B373" s="11">
        <v>154</v>
      </c>
      <c r="C373" s="12">
        <f>(Table5[[#This Row],[Backers Count Successul]]-$I$3)/$I$8</f>
        <v>-0.55007543144873949</v>
      </c>
    </row>
    <row r="374" spans="2:3" x14ac:dyDescent="0.25">
      <c r="B374" s="11">
        <v>150</v>
      </c>
      <c r="C374" s="12">
        <f>(Table5[[#This Row],[Backers Count Successul]]-$I$3)/$I$8</f>
        <v>-0.55323158364193692</v>
      </c>
    </row>
    <row r="375" spans="2:3" x14ac:dyDescent="0.25">
      <c r="B375" s="11">
        <v>150</v>
      </c>
      <c r="C375" s="12">
        <f>(Table5[[#This Row],[Backers Count Successul]]-$I$3)/$I$8</f>
        <v>-0.55323158364193692</v>
      </c>
    </row>
    <row r="376" spans="2:3" x14ac:dyDescent="0.25">
      <c r="B376" s="11">
        <v>149</v>
      </c>
      <c r="C376" s="12">
        <f>(Table5[[#This Row],[Backers Count Successul]]-$I$3)/$I$8</f>
        <v>-0.55402062169023625</v>
      </c>
    </row>
    <row r="377" spans="2:3" x14ac:dyDescent="0.25">
      <c r="B377" s="11">
        <v>149</v>
      </c>
      <c r="C377" s="12">
        <f>(Table5[[#This Row],[Backers Count Successul]]-$I$3)/$I$8</f>
        <v>-0.55402062169023625</v>
      </c>
    </row>
    <row r="378" spans="2:3" x14ac:dyDescent="0.25">
      <c r="B378" s="11">
        <v>148</v>
      </c>
      <c r="C378" s="12">
        <f>(Table5[[#This Row],[Backers Count Successul]]-$I$3)/$I$8</f>
        <v>-0.55480965973853569</v>
      </c>
    </row>
    <row r="379" spans="2:3" x14ac:dyDescent="0.25">
      <c r="B379" s="11">
        <v>148</v>
      </c>
      <c r="C379" s="12">
        <f>(Table5[[#This Row],[Backers Count Successul]]-$I$3)/$I$8</f>
        <v>-0.55480965973853569</v>
      </c>
    </row>
    <row r="380" spans="2:3" x14ac:dyDescent="0.25">
      <c r="B380" s="11">
        <v>147</v>
      </c>
      <c r="C380" s="12">
        <f>(Table5[[#This Row],[Backers Count Successul]]-$I$3)/$I$8</f>
        <v>-0.55559869778683502</v>
      </c>
    </row>
    <row r="381" spans="2:3" x14ac:dyDescent="0.25">
      <c r="B381" s="11">
        <v>147</v>
      </c>
      <c r="C381" s="12">
        <f>(Table5[[#This Row],[Backers Count Successul]]-$I$3)/$I$8</f>
        <v>-0.55559869778683502</v>
      </c>
    </row>
    <row r="382" spans="2:3" x14ac:dyDescent="0.25">
      <c r="B382" s="11">
        <v>147</v>
      </c>
      <c r="C382" s="12">
        <f>(Table5[[#This Row],[Backers Count Successul]]-$I$3)/$I$8</f>
        <v>-0.55559869778683502</v>
      </c>
    </row>
    <row r="383" spans="2:3" x14ac:dyDescent="0.25">
      <c r="B383" s="11">
        <v>146</v>
      </c>
      <c r="C383" s="12">
        <f>(Table5[[#This Row],[Backers Count Successul]]-$I$3)/$I$8</f>
        <v>-0.55638773583513434</v>
      </c>
    </row>
    <row r="384" spans="2:3" x14ac:dyDescent="0.25">
      <c r="B384" s="11">
        <v>144</v>
      </c>
      <c r="C384" s="12">
        <f>(Table5[[#This Row],[Backers Count Successul]]-$I$3)/$I$8</f>
        <v>-0.55796581193173311</v>
      </c>
    </row>
    <row r="385" spans="2:3" x14ac:dyDescent="0.25">
      <c r="B385" s="11">
        <v>144</v>
      </c>
      <c r="C385" s="12">
        <f>(Table5[[#This Row],[Backers Count Successul]]-$I$3)/$I$8</f>
        <v>-0.55796581193173311</v>
      </c>
    </row>
    <row r="386" spans="2:3" x14ac:dyDescent="0.25">
      <c r="B386" s="11">
        <v>144</v>
      </c>
      <c r="C386" s="12">
        <f>(Table5[[#This Row],[Backers Count Successul]]-$I$3)/$I$8</f>
        <v>-0.55796581193173311</v>
      </c>
    </row>
    <row r="387" spans="2:3" x14ac:dyDescent="0.25">
      <c r="B387" s="11">
        <v>144</v>
      </c>
      <c r="C387" s="12">
        <f>(Table5[[#This Row],[Backers Count Successul]]-$I$3)/$I$8</f>
        <v>-0.55796581193173311</v>
      </c>
    </row>
    <row r="388" spans="2:3" x14ac:dyDescent="0.25">
      <c r="B388" s="11">
        <v>143</v>
      </c>
      <c r="C388" s="12">
        <f>(Table5[[#This Row],[Backers Count Successul]]-$I$3)/$I$8</f>
        <v>-0.55875484998003244</v>
      </c>
    </row>
    <row r="389" spans="2:3" x14ac:dyDescent="0.25">
      <c r="B389" s="11">
        <v>142</v>
      </c>
      <c r="C389" s="12">
        <f>(Table5[[#This Row],[Backers Count Successul]]-$I$3)/$I$8</f>
        <v>-0.55954388802833177</v>
      </c>
    </row>
    <row r="390" spans="2:3" x14ac:dyDescent="0.25">
      <c r="B390" s="11">
        <v>142</v>
      </c>
      <c r="C390" s="12">
        <f>(Table5[[#This Row],[Backers Count Successul]]-$I$3)/$I$8</f>
        <v>-0.55954388802833177</v>
      </c>
    </row>
    <row r="391" spans="2:3" x14ac:dyDescent="0.25">
      <c r="B391" s="11">
        <v>142</v>
      </c>
      <c r="C391" s="12">
        <f>(Table5[[#This Row],[Backers Count Successul]]-$I$3)/$I$8</f>
        <v>-0.55954388802833177</v>
      </c>
    </row>
    <row r="392" spans="2:3" x14ac:dyDescent="0.25">
      <c r="B392" s="11">
        <v>142</v>
      </c>
      <c r="C392" s="12">
        <f>(Table5[[#This Row],[Backers Count Successul]]-$I$3)/$I$8</f>
        <v>-0.55954388802833177</v>
      </c>
    </row>
    <row r="393" spans="2:3" x14ac:dyDescent="0.25">
      <c r="B393" s="11">
        <v>140</v>
      </c>
      <c r="C393" s="12">
        <f>(Table5[[#This Row],[Backers Count Successul]]-$I$3)/$I$8</f>
        <v>-0.56112196412493054</v>
      </c>
    </row>
    <row r="394" spans="2:3" x14ac:dyDescent="0.25">
      <c r="B394" s="11">
        <v>140</v>
      </c>
      <c r="C394" s="12">
        <f>(Table5[[#This Row],[Backers Count Successul]]-$I$3)/$I$8</f>
        <v>-0.56112196412493054</v>
      </c>
    </row>
    <row r="395" spans="2:3" x14ac:dyDescent="0.25">
      <c r="B395" s="11">
        <v>140</v>
      </c>
      <c r="C395" s="12">
        <f>(Table5[[#This Row],[Backers Count Successul]]-$I$3)/$I$8</f>
        <v>-0.56112196412493054</v>
      </c>
    </row>
    <row r="396" spans="2:3" x14ac:dyDescent="0.25">
      <c r="B396" s="11">
        <v>139</v>
      </c>
      <c r="C396" s="12">
        <f>(Table5[[#This Row],[Backers Count Successul]]-$I$3)/$I$8</f>
        <v>-0.56191100217322987</v>
      </c>
    </row>
    <row r="397" spans="2:3" x14ac:dyDescent="0.25">
      <c r="B397" s="11">
        <v>139</v>
      </c>
      <c r="C397" s="12">
        <f>(Table5[[#This Row],[Backers Count Successul]]-$I$3)/$I$8</f>
        <v>-0.56191100217322987</v>
      </c>
    </row>
    <row r="398" spans="2:3" x14ac:dyDescent="0.25">
      <c r="B398" s="11">
        <v>138</v>
      </c>
      <c r="C398" s="12">
        <f>(Table5[[#This Row],[Backers Count Successul]]-$I$3)/$I$8</f>
        <v>-0.5627000402215292</v>
      </c>
    </row>
    <row r="399" spans="2:3" x14ac:dyDescent="0.25">
      <c r="B399" s="11">
        <v>138</v>
      </c>
      <c r="C399" s="12">
        <f>(Table5[[#This Row],[Backers Count Successul]]-$I$3)/$I$8</f>
        <v>-0.5627000402215292</v>
      </c>
    </row>
    <row r="400" spans="2:3" x14ac:dyDescent="0.25">
      <c r="B400" s="11">
        <v>138</v>
      </c>
      <c r="C400" s="12">
        <f>(Table5[[#This Row],[Backers Count Successul]]-$I$3)/$I$8</f>
        <v>-0.5627000402215292</v>
      </c>
    </row>
    <row r="401" spans="2:3" x14ac:dyDescent="0.25">
      <c r="B401" s="11">
        <v>137</v>
      </c>
      <c r="C401" s="12">
        <f>(Table5[[#This Row],[Backers Count Successul]]-$I$3)/$I$8</f>
        <v>-0.56348907826982864</v>
      </c>
    </row>
    <row r="402" spans="2:3" x14ac:dyDescent="0.25">
      <c r="B402" s="11">
        <v>137</v>
      </c>
      <c r="C402" s="12">
        <f>(Table5[[#This Row],[Backers Count Successul]]-$I$3)/$I$8</f>
        <v>-0.56348907826982864</v>
      </c>
    </row>
    <row r="403" spans="2:3" x14ac:dyDescent="0.25">
      <c r="B403" s="11">
        <v>136</v>
      </c>
      <c r="C403" s="12">
        <f>(Table5[[#This Row],[Backers Count Successul]]-$I$3)/$I$8</f>
        <v>-0.56427811631812796</v>
      </c>
    </row>
    <row r="404" spans="2:3" x14ac:dyDescent="0.25">
      <c r="B404" s="11">
        <v>135</v>
      </c>
      <c r="C404" s="12">
        <f>(Table5[[#This Row],[Backers Count Successul]]-$I$3)/$I$8</f>
        <v>-0.56506715436642729</v>
      </c>
    </row>
    <row r="405" spans="2:3" x14ac:dyDescent="0.25">
      <c r="B405" s="11">
        <v>135</v>
      </c>
      <c r="C405" s="12">
        <f>(Table5[[#This Row],[Backers Count Successul]]-$I$3)/$I$8</f>
        <v>-0.56506715436642729</v>
      </c>
    </row>
    <row r="406" spans="2:3" x14ac:dyDescent="0.25">
      <c r="B406" s="11">
        <v>135</v>
      </c>
      <c r="C406" s="12">
        <f>(Table5[[#This Row],[Backers Count Successul]]-$I$3)/$I$8</f>
        <v>-0.56506715436642729</v>
      </c>
    </row>
    <row r="407" spans="2:3" x14ac:dyDescent="0.25">
      <c r="B407" s="11">
        <v>134</v>
      </c>
      <c r="C407" s="12">
        <f>(Table5[[#This Row],[Backers Count Successul]]-$I$3)/$I$8</f>
        <v>-0.56585619241472662</v>
      </c>
    </row>
    <row r="408" spans="2:3" x14ac:dyDescent="0.25">
      <c r="B408" s="11">
        <v>134</v>
      </c>
      <c r="C408" s="12">
        <f>(Table5[[#This Row],[Backers Count Successul]]-$I$3)/$I$8</f>
        <v>-0.56585619241472662</v>
      </c>
    </row>
    <row r="409" spans="2:3" x14ac:dyDescent="0.25">
      <c r="B409" s="11">
        <v>134</v>
      </c>
      <c r="C409" s="12">
        <f>(Table5[[#This Row],[Backers Count Successul]]-$I$3)/$I$8</f>
        <v>-0.56585619241472662</v>
      </c>
    </row>
    <row r="410" spans="2:3" x14ac:dyDescent="0.25">
      <c r="B410" s="11">
        <v>133</v>
      </c>
      <c r="C410" s="12">
        <f>(Table5[[#This Row],[Backers Count Successul]]-$I$3)/$I$8</f>
        <v>-0.56664523046302606</v>
      </c>
    </row>
    <row r="411" spans="2:3" x14ac:dyDescent="0.25">
      <c r="B411" s="11">
        <v>133</v>
      </c>
      <c r="C411" s="12">
        <f>(Table5[[#This Row],[Backers Count Successul]]-$I$3)/$I$8</f>
        <v>-0.56664523046302606</v>
      </c>
    </row>
    <row r="412" spans="2:3" x14ac:dyDescent="0.25">
      <c r="B412" s="11">
        <v>133</v>
      </c>
      <c r="C412" s="12">
        <f>(Table5[[#This Row],[Backers Count Successul]]-$I$3)/$I$8</f>
        <v>-0.56664523046302606</v>
      </c>
    </row>
    <row r="413" spans="2:3" x14ac:dyDescent="0.25">
      <c r="B413" s="11">
        <v>132</v>
      </c>
      <c r="C413" s="12">
        <f>(Table5[[#This Row],[Backers Count Successul]]-$I$3)/$I$8</f>
        <v>-0.56743426851132539</v>
      </c>
    </row>
    <row r="414" spans="2:3" x14ac:dyDescent="0.25">
      <c r="B414" s="11">
        <v>132</v>
      </c>
      <c r="C414" s="12">
        <f>(Table5[[#This Row],[Backers Count Successul]]-$I$3)/$I$8</f>
        <v>-0.56743426851132539</v>
      </c>
    </row>
    <row r="415" spans="2:3" x14ac:dyDescent="0.25">
      <c r="B415" s="11">
        <v>132</v>
      </c>
      <c r="C415" s="12">
        <f>(Table5[[#This Row],[Backers Count Successul]]-$I$3)/$I$8</f>
        <v>-0.56743426851132539</v>
      </c>
    </row>
    <row r="416" spans="2:3" x14ac:dyDescent="0.25">
      <c r="B416" s="11">
        <v>131</v>
      </c>
      <c r="C416" s="12">
        <f>(Table5[[#This Row],[Backers Count Successul]]-$I$3)/$I$8</f>
        <v>-0.56822330655962472</v>
      </c>
    </row>
    <row r="417" spans="2:3" x14ac:dyDescent="0.25">
      <c r="B417" s="11">
        <v>131</v>
      </c>
      <c r="C417" s="12">
        <f>(Table5[[#This Row],[Backers Count Successul]]-$I$3)/$I$8</f>
        <v>-0.56822330655962472</v>
      </c>
    </row>
    <row r="418" spans="2:3" x14ac:dyDescent="0.25">
      <c r="B418" s="11">
        <v>131</v>
      </c>
      <c r="C418" s="12">
        <f>(Table5[[#This Row],[Backers Count Successul]]-$I$3)/$I$8</f>
        <v>-0.56822330655962472</v>
      </c>
    </row>
    <row r="419" spans="2:3" x14ac:dyDescent="0.25">
      <c r="B419" s="11">
        <v>131</v>
      </c>
      <c r="C419" s="12">
        <f>(Table5[[#This Row],[Backers Count Successul]]-$I$3)/$I$8</f>
        <v>-0.56822330655962472</v>
      </c>
    </row>
    <row r="420" spans="2:3" x14ac:dyDescent="0.25">
      <c r="B420" s="11">
        <v>131</v>
      </c>
      <c r="C420" s="12">
        <f>(Table5[[#This Row],[Backers Count Successul]]-$I$3)/$I$8</f>
        <v>-0.56822330655962472</v>
      </c>
    </row>
    <row r="421" spans="2:3" x14ac:dyDescent="0.25">
      <c r="B421" s="11">
        <v>130</v>
      </c>
      <c r="C421" s="12">
        <f>(Table5[[#This Row],[Backers Count Successul]]-$I$3)/$I$8</f>
        <v>-0.56901234460792416</v>
      </c>
    </row>
    <row r="422" spans="2:3" x14ac:dyDescent="0.25">
      <c r="B422" s="11">
        <v>130</v>
      </c>
      <c r="C422" s="12">
        <f>(Table5[[#This Row],[Backers Count Successul]]-$I$3)/$I$8</f>
        <v>-0.56901234460792416</v>
      </c>
    </row>
    <row r="423" spans="2:3" x14ac:dyDescent="0.25">
      <c r="B423" s="11">
        <v>129</v>
      </c>
      <c r="C423" s="12">
        <f>(Table5[[#This Row],[Backers Count Successul]]-$I$3)/$I$8</f>
        <v>-0.56980138265622349</v>
      </c>
    </row>
    <row r="424" spans="2:3" x14ac:dyDescent="0.25">
      <c r="B424" s="11">
        <v>129</v>
      </c>
      <c r="C424" s="12">
        <f>(Table5[[#This Row],[Backers Count Successul]]-$I$3)/$I$8</f>
        <v>-0.56980138265622349</v>
      </c>
    </row>
    <row r="425" spans="2:3" x14ac:dyDescent="0.25">
      <c r="B425" s="11">
        <v>128</v>
      </c>
      <c r="C425" s="12">
        <f>(Table5[[#This Row],[Backers Count Successul]]-$I$3)/$I$8</f>
        <v>-0.57059042070452282</v>
      </c>
    </row>
    <row r="426" spans="2:3" x14ac:dyDescent="0.25">
      <c r="B426" s="11">
        <v>128</v>
      </c>
      <c r="C426" s="12">
        <f>(Table5[[#This Row],[Backers Count Successul]]-$I$3)/$I$8</f>
        <v>-0.57059042070452282</v>
      </c>
    </row>
    <row r="427" spans="2:3" x14ac:dyDescent="0.25">
      <c r="B427" s="11">
        <v>127</v>
      </c>
      <c r="C427" s="12">
        <f>(Table5[[#This Row],[Backers Count Successul]]-$I$3)/$I$8</f>
        <v>-0.57137945875282214</v>
      </c>
    </row>
    <row r="428" spans="2:3" x14ac:dyDescent="0.25">
      <c r="B428" s="11">
        <v>127</v>
      </c>
      <c r="C428" s="12">
        <f>(Table5[[#This Row],[Backers Count Successul]]-$I$3)/$I$8</f>
        <v>-0.57137945875282214</v>
      </c>
    </row>
    <row r="429" spans="2:3" x14ac:dyDescent="0.25">
      <c r="B429" s="11">
        <v>126</v>
      </c>
      <c r="C429" s="12">
        <f>(Table5[[#This Row],[Backers Count Successul]]-$I$3)/$I$8</f>
        <v>-0.57216849680112158</v>
      </c>
    </row>
    <row r="430" spans="2:3" x14ac:dyDescent="0.25">
      <c r="B430" s="11">
        <v>126</v>
      </c>
      <c r="C430" s="12">
        <f>(Table5[[#This Row],[Backers Count Successul]]-$I$3)/$I$8</f>
        <v>-0.57216849680112158</v>
      </c>
    </row>
    <row r="431" spans="2:3" x14ac:dyDescent="0.25">
      <c r="B431" s="11">
        <v>126</v>
      </c>
      <c r="C431" s="12">
        <f>(Table5[[#This Row],[Backers Count Successul]]-$I$3)/$I$8</f>
        <v>-0.57216849680112158</v>
      </c>
    </row>
    <row r="432" spans="2:3" x14ac:dyDescent="0.25">
      <c r="B432" s="11">
        <v>126</v>
      </c>
      <c r="C432" s="12">
        <f>(Table5[[#This Row],[Backers Count Successul]]-$I$3)/$I$8</f>
        <v>-0.57216849680112158</v>
      </c>
    </row>
    <row r="433" spans="2:3" x14ac:dyDescent="0.25">
      <c r="B433" s="11">
        <v>126</v>
      </c>
      <c r="C433" s="12">
        <f>(Table5[[#This Row],[Backers Count Successul]]-$I$3)/$I$8</f>
        <v>-0.57216849680112158</v>
      </c>
    </row>
    <row r="434" spans="2:3" x14ac:dyDescent="0.25">
      <c r="B434" s="11">
        <v>125</v>
      </c>
      <c r="C434" s="12">
        <f>(Table5[[#This Row],[Backers Count Successul]]-$I$3)/$I$8</f>
        <v>-0.57295753484942091</v>
      </c>
    </row>
    <row r="435" spans="2:3" x14ac:dyDescent="0.25">
      <c r="B435" s="11">
        <v>123</v>
      </c>
      <c r="C435" s="12">
        <f>(Table5[[#This Row],[Backers Count Successul]]-$I$3)/$I$8</f>
        <v>-0.57453561094601957</v>
      </c>
    </row>
    <row r="436" spans="2:3" x14ac:dyDescent="0.25">
      <c r="B436" s="11">
        <v>123</v>
      </c>
      <c r="C436" s="12">
        <f>(Table5[[#This Row],[Backers Count Successul]]-$I$3)/$I$8</f>
        <v>-0.57453561094601957</v>
      </c>
    </row>
    <row r="437" spans="2:3" x14ac:dyDescent="0.25">
      <c r="B437" s="11">
        <v>123</v>
      </c>
      <c r="C437" s="12">
        <f>(Table5[[#This Row],[Backers Count Successul]]-$I$3)/$I$8</f>
        <v>-0.57453561094601957</v>
      </c>
    </row>
    <row r="438" spans="2:3" x14ac:dyDescent="0.25">
      <c r="B438" s="11">
        <v>122</v>
      </c>
      <c r="C438" s="12">
        <f>(Table5[[#This Row],[Backers Count Successul]]-$I$3)/$I$8</f>
        <v>-0.57532464899431901</v>
      </c>
    </row>
    <row r="439" spans="2:3" x14ac:dyDescent="0.25">
      <c r="B439" s="11">
        <v>122</v>
      </c>
      <c r="C439" s="12">
        <f>(Table5[[#This Row],[Backers Count Successul]]-$I$3)/$I$8</f>
        <v>-0.57532464899431901</v>
      </c>
    </row>
    <row r="440" spans="2:3" x14ac:dyDescent="0.25">
      <c r="B440" s="11">
        <v>122</v>
      </c>
      <c r="C440" s="12">
        <f>(Table5[[#This Row],[Backers Count Successul]]-$I$3)/$I$8</f>
        <v>-0.57532464899431901</v>
      </c>
    </row>
    <row r="441" spans="2:3" x14ac:dyDescent="0.25">
      <c r="B441" s="11">
        <v>122</v>
      </c>
      <c r="C441" s="12">
        <f>(Table5[[#This Row],[Backers Count Successul]]-$I$3)/$I$8</f>
        <v>-0.57532464899431901</v>
      </c>
    </row>
    <row r="442" spans="2:3" x14ac:dyDescent="0.25">
      <c r="B442" s="11">
        <v>121</v>
      </c>
      <c r="C442" s="12">
        <f>(Table5[[#This Row],[Backers Count Successul]]-$I$3)/$I$8</f>
        <v>-0.57611368704261834</v>
      </c>
    </row>
    <row r="443" spans="2:3" x14ac:dyDescent="0.25">
      <c r="B443" s="11">
        <v>121</v>
      </c>
      <c r="C443" s="12">
        <f>(Table5[[#This Row],[Backers Count Successul]]-$I$3)/$I$8</f>
        <v>-0.57611368704261834</v>
      </c>
    </row>
    <row r="444" spans="2:3" x14ac:dyDescent="0.25">
      <c r="B444" s="11">
        <v>121</v>
      </c>
      <c r="C444" s="12">
        <f>(Table5[[#This Row],[Backers Count Successul]]-$I$3)/$I$8</f>
        <v>-0.57611368704261834</v>
      </c>
    </row>
    <row r="445" spans="2:3" x14ac:dyDescent="0.25">
      <c r="B445" s="11">
        <v>119</v>
      </c>
      <c r="C445" s="12">
        <f>(Table5[[#This Row],[Backers Count Successul]]-$I$3)/$I$8</f>
        <v>-0.57769176313921711</v>
      </c>
    </row>
    <row r="446" spans="2:3" x14ac:dyDescent="0.25">
      <c r="B446" s="11">
        <v>117</v>
      </c>
      <c r="C446" s="12">
        <f>(Table5[[#This Row],[Backers Count Successul]]-$I$3)/$I$8</f>
        <v>-0.57926983923581576</v>
      </c>
    </row>
    <row r="447" spans="2:3" x14ac:dyDescent="0.25">
      <c r="B447" s="11">
        <v>117</v>
      </c>
      <c r="C447" s="12">
        <f>(Table5[[#This Row],[Backers Count Successul]]-$I$3)/$I$8</f>
        <v>-0.57926983923581576</v>
      </c>
    </row>
    <row r="448" spans="2:3" x14ac:dyDescent="0.25">
      <c r="B448" s="11">
        <v>116</v>
      </c>
      <c r="C448" s="12">
        <f>(Table5[[#This Row],[Backers Count Successul]]-$I$3)/$I$8</f>
        <v>-0.58005887728411509</v>
      </c>
    </row>
    <row r="449" spans="2:3" x14ac:dyDescent="0.25">
      <c r="B449" s="11">
        <v>116</v>
      </c>
      <c r="C449" s="12">
        <f>(Table5[[#This Row],[Backers Count Successul]]-$I$3)/$I$8</f>
        <v>-0.58005887728411509</v>
      </c>
    </row>
    <row r="450" spans="2:3" x14ac:dyDescent="0.25">
      <c r="B450" s="11">
        <v>115</v>
      </c>
      <c r="C450" s="12">
        <f>(Table5[[#This Row],[Backers Count Successul]]-$I$3)/$I$8</f>
        <v>-0.58084791533241453</v>
      </c>
    </row>
    <row r="451" spans="2:3" x14ac:dyDescent="0.25">
      <c r="B451" s="11">
        <v>114</v>
      </c>
      <c r="C451" s="12">
        <f>(Table5[[#This Row],[Backers Count Successul]]-$I$3)/$I$8</f>
        <v>-0.58163695338071386</v>
      </c>
    </row>
    <row r="452" spans="2:3" x14ac:dyDescent="0.25">
      <c r="B452" s="11">
        <v>114</v>
      </c>
      <c r="C452" s="12">
        <f>(Table5[[#This Row],[Backers Count Successul]]-$I$3)/$I$8</f>
        <v>-0.58163695338071386</v>
      </c>
    </row>
    <row r="453" spans="2:3" x14ac:dyDescent="0.25">
      <c r="B453" s="11">
        <v>114</v>
      </c>
      <c r="C453" s="12">
        <f>(Table5[[#This Row],[Backers Count Successul]]-$I$3)/$I$8</f>
        <v>-0.58163695338071386</v>
      </c>
    </row>
    <row r="454" spans="2:3" x14ac:dyDescent="0.25">
      <c r="B454" s="11">
        <v>113</v>
      </c>
      <c r="C454" s="12">
        <f>(Table5[[#This Row],[Backers Count Successul]]-$I$3)/$I$8</f>
        <v>-0.58242599142901319</v>
      </c>
    </row>
    <row r="455" spans="2:3" x14ac:dyDescent="0.25">
      <c r="B455" s="11">
        <v>113</v>
      </c>
      <c r="C455" s="12">
        <f>(Table5[[#This Row],[Backers Count Successul]]-$I$3)/$I$8</f>
        <v>-0.58242599142901319</v>
      </c>
    </row>
    <row r="456" spans="2:3" x14ac:dyDescent="0.25">
      <c r="B456" s="11">
        <v>112</v>
      </c>
      <c r="C456" s="12">
        <f>(Table5[[#This Row],[Backers Count Successul]]-$I$3)/$I$8</f>
        <v>-0.58321502947731252</v>
      </c>
    </row>
    <row r="457" spans="2:3" x14ac:dyDescent="0.25">
      <c r="B457" s="11">
        <v>112</v>
      </c>
      <c r="C457" s="12">
        <f>(Table5[[#This Row],[Backers Count Successul]]-$I$3)/$I$8</f>
        <v>-0.58321502947731252</v>
      </c>
    </row>
    <row r="458" spans="2:3" x14ac:dyDescent="0.25">
      <c r="B458" s="11">
        <v>112</v>
      </c>
      <c r="C458" s="12">
        <f>(Table5[[#This Row],[Backers Count Successul]]-$I$3)/$I$8</f>
        <v>-0.58321502947731252</v>
      </c>
    </row>
    <row r="459" spans="2:3" x14ac:dyDescent="0.25">
      <c r="B459" s="11">
        <v>111</v>
      </c>
      <c r="C459" s="12">
        <f>(Table5[[#This Row],[Backers Count Successul]]-$I$3)/$I$8</f>
        <v>-0.58400406752561196</v>
      </c>
    </row>
    <row r="460" spans="2:3" x14ac:dyDescent="0.25">
      <c r="B460" s="11">
        <v>110</v>
      </c>
      <c r="C460" s="12">
        <f>(Table5[[#This Row],[Backers Count Successul]]-$I$3)/$I$8</f>
        <v>-0.58479310557391129</v>
      </c>
    </row>
    <row r="461" spans="2:3" x14ac:dyDescent="0.25">
      <c r="B461" s="11">
        <v>110</v>
      </c>
      <c r="C461" s="12">
        <f>(Table5[[#This Row],[Backers Count Successul]]-$I$3)/$I$8</f>
        <v>-0.58479310557391129</v>
      </c>
    </row>
    <row r="462" spans="2:3" x14ac:dyDescent="0.25">
      <c r="B462" s="11">
        <v>110</v>
      </c>
      <c r="C462" s="12">
        <f>(Table5[[#This Row],[Backers Count Successul]]-$I$3)/$I$8</f>
        <v>-0.58479310557391129</v>
      </c>
    </row>
    <row r="463" spans="2:3" x14ac:dyDescent="0.25">
      <c r="B463" s="11">
        <v>110</v>
      </c>
      <c r="C463" s="12">
        <f>(Table5[[#This Row],[Backers Count Successul]]-$I$3)/$I$8</f>
        <v>-0.58479310557391129</v>
      </c>
    </row>
    <row r="464" spans="2:3" x14ac:dyDescent="0.25">
      <c r="B464" s="11">
        <v>107</v>
      </c>
      <c r="C464" s="12">
        <f>(Table5[[#This Row],[Backers Count Successul]]-$I$3)/$I$8</f>
        <v>-0.58716021971880938</v>
      </c>
    </row>
    <row r="465" spans="2:3" x14ac:dyDescent="0.25">
      <c r="B465" s="11">
        <v>107</v>
      </c>
      <c r="C465" s="12">
        <f>(Table5[[#This Row],[Backers Count Successul]]-$I$3)/$I$8</f>
        <v>-0.58716021971880938</v>
      </c>
    </row>
    <row r="466" spans="2:3" x14ac:dyDescent="0.25">
      <c r="B466" s="11">
        <v>107</v>
      </c>
      <c r="C466" s="12">
        <f>(Table5[[#This Row],[Backers Count Successul]]-$I$3)/$I$8</f>
        <v>-0.58716021971880938</v>
      </c>
    </row>
    <row r="467" spans="2:3" x14ac:dyDescent="0.25">
      <c r="B467" s="11">
        <v>107</v>
      </c>
      <c r="C467" s="12">
        <f>(Table5[[#This Row],[Backers Count Successul]]-$I$3)/$I$8</f>
        <v>-0.58716021971880938</v>
      </c>
    </row>
    <row r="468" spans="2:3" x14ac:dyDescent="0.25">
      <c r="B468" s="11">
        <v>107</v>
      </c>
      <c r="C468" s="12">
        <f>(Table5[[#This Row],[Backers Count Successul]]-$I$3)/$I$8</f>
        <v>-0.58716021971880938</v>
      </c>
    </row>
    <row r="469" spans="2:3" x14ac:dyDescent="0.25">
      <c r="B469" s="11">
        <v>106</v>
      </c>
      <c r="C469" s="12">
        <f>(Table5[[#This Row],[Backers Count Successul]]-$I$3)/$I$8</f>
        <v>-0.58794925776710871</v>
      </c>
    </row>
    <row r="470" spans="2:3" x14ac:dyDescent="0.25">
      <c r="B470" s="11">
        <v>106</v>
      </c>
      <c r="C470" s="12">
        <f>(Table5[[#This Row],[Backers Count Successul]]-$I$3)/$I$8</f>
        <v>-0.58794925776710871</v>
      </c>
    </row>
    <row r="471" spans="2:3" x14ac:dyDescent="0.25">
      <c r="B471" s="11">
        <v>105</v>
      </c>
      <c r="C471" s="12">
        <f>(Table5[[#This Row],[Backers Count Successul]]-$I$3)/$I$8</f>
        <v>-0.58873829581540804</v>
      </c>
    </row>
    <row r="472" spans="2:3" x14ac:dyDescent="0.25">
      <c r="B472" s="11">
        <v>103</v>
      </c>
      <c r="C472" s="12">
        <f>(Table5[[#This Row],[Backers Count Successul]]-$I$3)/$I$8</f>
        <v>-0.59031637191200681</v>
      </c>
    </row>
    <row r="473" spans="2:3" x14ac:dyDescent="0.25">
      <c r="B473" s="11">
        <v>103</v>
      </c>
      <c r="C473" s="12">
        <f>(Table5[[#This Row],[Backers Count Successul]]-$I$3)/$I$8</f>
        <v>-0.59031637191200681</v>
      </c>
    </row>
    <row r="474" spans="2:3" x14ac:dyDescent="0.25">
      <c r="B474" s="11">
        <v>102</v>
      </c>
      <c r="C474" s="12">
        <f>(Table5[[#This Row],[Backers Count Successul]]-$I$3)/$I$8</f>
        <v>-0.59110540996030614</v>
      </c>
    </row>
    <row r="475" spans="2:3" x14ac:dyDescent="0.25">
      <c r="B475" s="11">
        <v>102</v>
      </c>
      <c r="C475" s="12">
        <f>(Table5[[#This Row],[Backers Count Successul]]-$I$3)/$I$8</f>
        <v>-0.59110540996030614</v>
      </c>
    </row>
    <row r="476" spans="2:3" x14ac:dyDescent="0.25">
      <c r="B476" s="11">
        <v>101</v>
      </c>
      <c r="C476" s="12">
        <f>(Table5[[#This Row],[Backers Count Successul]]-$I$3)/$I$8</f>
        <v>-0.59189444800860547</v>
      </c>
    </row>
    <row r="477" spans="2:3" x14ac:dyDescent="0.25">
      <c r="B477" s="11">
        <v>101</v>
      </c>
      <c r="C477" s="12">
        <f>(Table5[[#This Row],[Backers Count Successul]]-$I$3)/$I$8</f>
        <v>-0.59189444800860547</v>
      </c>
    </row>
    <row r="478" spans="2:3" x14ac:dyDescent="0.25">
      <c r="B478" s="11">
        <v>100</v>
      </c>
      <c r="C478" s="12">
        <f>(Table5[[#This Row],[Backers Count Successul]]-$I$3)/$I$8</f>
        <v>-0.59268348605690491</v>
      </c>
    </row>
    <row r="479" spans="2:3" x14ac:dyDescent="0.25">
      <c r="B479" s="11">
        <v>100</v>
      </c>
      <c r="C479" s="12">
        <f>(Table5[[#This Row],[Backers Count Successul]]-$I$3)/$I$8</f>
        <v>-0.59268348605690491</v>
      </c>
    </row>
    <row r="480" spans="2:3" x14ac:dyDescent="0.25">
      <c r="B480" s="11">
        <v>98</v>
      </c>
      <c r="C480" s="12">
        <f>(Table5[[#This Row],[Backers Count Successul]]-$I$3)/$I$8</f>
        <v>-0.59426156215350356</v>
      </c>
    </row>
    <row r="481" spans="2:3" x14ac:dyDescent="0.25">
      <c r="B481" s="11">
        <v>98</v>
      </c>
      <c r="C481" s="12">
        <f>(Table5[[#This Row],[Backers Count Successul]]-$I$3)/$I$8</f>
        <v>-0.59426156215350356</v>
      </c>
    </row>
    <row r="482" spans="2:3" x14ac:dyDescent="0.25">
      <c r="B482" s="11">
        <v>97</v>
      </c>
      <c r="C482" s="12">
        <f>(Table5[[#This Row],[Backers Count Successul]]-$I$3)/$I$8</f>
        <v>-0.59505060020180289</v>
      </c>
    </row>
    <row r="483" spans="2:3" x14ac:dyDescent="0.25">
      <c r="B483" s="11">
        <v>96</v>
      </c>
      <c r="C483" s="12">
        <f>(Table5[[#This Row],[Backers Count Successul]]-$I$3)/$I$8</f>
        <v>-0.59583963825010233</v>
      </c>
    </row>
    <row r="484" spans="2:3" x14ac:dyDescent="0.25">
      <c r="B484" s="11">
        <v>96</v>
      </c>
      <c r="C484" s="12">
        <f>(Table5[[#This Row],[Backers Count Successul]]-$I$3)/$I$8</f>
        <v>-0.59583963825010233</v>
      </c>
    </row>
    <row r="485" spans="2:3" x14ac:dyDescent="0.25">
      <c r="B485" s="11">
        <v>96</v>
      </c>
      <c r="C485" s="12">
        <f>(Table5[[#This Row],[Backers Count Successul]]-$I$3)/$I$8</f>
        <v>-0.59583963825010233</v>
      </c>
    </row>
    <row r="486" spans="2:3" x14ac:dyDescent="0.25">
      <c r="B486" s="11">
        <v>95</v>
      </c>
      <c r="C486" s="12">
        <f>(Table5[[#This Row],[Backers Count Successul]]-$I$3)/$I$8</f>
        <v>-0.59662867629840166</v>
      </c>
    </row>
    <row r="487" spans="2:3" x14ac:dyDescent="0.25">
      <c r="B487" s="11">
        <v>94</v>
      </c>
      <c r="C487" s="12">
        <f>(Table5[[#This Row],[Backers Count Successul]]-$I$3)/$I$8</f>
        <v>-0.59741771434670099</v>
      </c>
    </row>
    <row r="488" spans="2:3" x14ac:dyDescent="0.25">
      <c r="B488" s="11">
        <v>94</v>
      </c>
      <c r="C488" s="12">
        <f>(Table5[[#This Row],[Backers Count Successul]]-$I$3)/$I$8</f>
        <v>-0.59741771434670099</v>
      </c>
    </row>
    <row r="489" spans="2:3" x14ac:dyDescent="0.25">
      <c r="B489" s="11">
        <v>94</v>
      </c>
      <c r="C489" s="12">
        <f>(Table5[[#This Row],[Backers Count Successul]]-$I$3)/$I$8</f>
        <v>-0.59741771434670099</v>
      </c>
    </row>
    <row r="490" spans="2:3" x14ac:dyDescent="0.25">
      <c r="B490" s="11">
        <v>93</v>
      </c>
      <c r="C490" s="12">
        <f>(Table5[[#This Row],[Backers Count Successul]]-$I$3)/$I$8</f>
        <v>-0.59820675239500043</v>
      </c>
    </row>
    <row r="491" spans="2:3" x14ac:dyDescent="0.25">
      <c r="B491" s="11">
        <v>92</v>
      </c>
      <c r="C491" s="12">
        <f>(Table5[[#This Row],[Backers Count Successul]]-$I$3)/$I$8</f>
        <v>-0.59899579044329976</v>
      </c>
    </row>
    <row r="492" spans="2:3" x14ac:dyDescent="0.25">
      <c r="B492" s="11">
        <v>92</v>
      </c>
      <c r="C492" s="12">
        <f>(Table5[[#This Row],[Backers Count Successul]]-$I$3)/$I$8</f>
        <v>-0.59899579044329976</v>
      </c>
    </row>
    <row r="493" spans="2:3" x14ac:dyDescent="0.25">
      <c r="B493" s="11">
        <v>92</v>
      </c>
      <c r="C493" s="12">
        <f>(Table5[[#This Row],[Backers Count Successul]]-$I$3)/$I$8</f>
        <v>-0.59899579044329976</v>
      </c>
    </row>
    <row r="494" spans="2:3" x14ac:dyDescent="0.25">
      <c r="B494" s="11">
        <v>92</v>
      </c>
      <c r="C494" s="12">
        <f>(Table5[[#This Row],[Backers Count Successul]]-$I$3)/$I$8</f>
        <v>-0.59899579044329976</v>
      </c>
    </row>
    <row r="495" spans="2:3" x14ac:dyDescent="0.25">
      <c r="B495" s="11">
        <v>92</v>
      </c>
      <c r="C495" s="12">
        <f>(Table5[[#This Row],[Backers Count Successul]]-$I$3)/$I$8</f>
        <v>-0.59899579044329976</v>
      </c>
    </row>
    <row r="496" spans="2:3" x14ac:dyDescent="0.25">
      <c r="B496" s="11">
        <v>91</v>
      </c>
      <c r="C496" s="12">
        <f>(Table5[[#This Row],[Backers Count Successul]]-$I$3)/$I$8</f>
        <v>-0.59978482849159909</v>
      </c>
    </row>
    <row r="497" spans="2:3" x14ac:dyDescent="0.25">
      <c r="B497" s="11">
        <v>89</v>
      </c>
      <c r="C497" s="12">
        <f>(Table5[[#This Row],[Backers Count Successul]]-$I$3)/$I$8</f>
        <v>-0.60136290458819786</v>
      </c>
    </row>
    <row r="498" spans="2:3" x14ac:dyDescent="0.25">
      <c r="B498" s="11">
        <v>89</v>
      </c>
      <c r="C498" s="12">
        <f>(Table5[[#This Row],[Backers Count Successul]]-$I$3)/$I$8</f>
        <v>-0.60136290458819786</v>
      </c>
    </row>
    <row r="499" spans="2:3" x14ac:dyDescent="0.25">
      <c r="B499" s="11">
        <v>88</v>
      </c>
      <c r="C499" s="12">
        <f>(Table5[[#This Row],[Backers Count Successul]]-$I$3)/$I$8</f>
        <v>-0.60215194263649718</v>
      </c>
    </row>
    <row r="500" spans="2:3" x14ac:dyDescent="0.25">
      <c r="B500" s="11">
        <v>88</v>
      </c>
      <c r="C500" s="12">
        <f>(Table5[[#This Row],[Backers Count Successul]]-$I$3)/$I$8</f>
        <v>-0.60215194263649718</v>
      </c>
    </row>
    <row r="501" spans="2:3" x14ac:dyDescent="0.25">
      <c r="B501" s="11">
        <v>88</v>
      </c>
      <c r="C501" s="12">
        <f>(Table5[[#This Row],[Backers Count Successul]]-$I$3)/$I$8</f>
        <v>-0.60215194263649718</v>
      </c>
    </row>
    <row r="502" spans="2:3" x14ac:dyDescent="0.25">
      <c r="B502" s="11">
        <v>88</v>
      </c>
      <c r="C502" s="12">
        <f>(Table5[[#This Row],[Backers Count Successul]]-$I$3)/$I$8</f>
        <v>-0.60215194263649718</v>
      </c>
    </row>
    <row r="503" spans="2:3" x14ac:dyDescent="0.25">
      <c r="B503" s="11">
        <v>87</v>
      </c>
      <c r="C503" s="12">
        <f>(Table5[[#This Row],[Backers Count Successul]]-$I$3)/$I$8</f>
        <v>-0.60294098068479651</v>
      </c>
    </row>
    <row r="504" spans="2:3" x14ac:dyDescent="0.25">
      <c r="B504" s="11">
        <v>87</v>
      </c>
      <c r="C504" s="12">
        <f>(Table5[[#This Row],[Backers Count Successul]]-$I$3)/$I$8</f>
        <v>-0.60294098068479651</v>
      </c>
    </row>
    <row r="505" spans="2:3" x14ac:dyDescent="0.25">
      <c r="B505" s="11">
        <v>87</v>
      </c>
      <c r="C505" s="12">
        <f>(Table5[[#This Row],[Backers Count Successul]]-$I$3)/$I$8</f>
        <v>-0.60294098068479651</v>
      </c>
    </row>
    <row r="506" spans="2:3" x14ac:dyDescent="0.25">
      <c r="B506" s="11">
        <v>86</v>
      </c>
      <c r="C506" s="12">
        <f>(Table5[[#This Row],[Backers Count Successul]]-$I$3)/$I$8</f>
        <v>-0.60373001873309584</v>
      </c>
    </row>
    <row r="507" spans="2:3" x14ac:dyDescent="0.25">
      <c r="B507" s="11">
        <v>86</v>
      </c>
      <c r="C507" s="12">
        <f>(Table5[[#This Row],[Backers Count Successul]]-$I$3)/$I$8</f>
        <v>-0.60373001873309584</v>
      </c>
    </row>
    <row r="508" spans="2:3" x14ac:dyDescent="0.25">
      <c r="B508" s="11">
        <v>86</v>
      </c>
      <c r="C508" s="12">
        <f>(Table5[[#This Row],[Backers Count Successul]]-$I$3)/$I$8</f>
        <v>-0.60373001873309584</v>
      </c>
    </row>
    <row r="509" spans="2:3" x14ac:dyDescent="0.25">
      <c r="B509" s="11">
        <v>85</v>
      </c>
      <c r="C509" s="12">
        <f>(Table5[[#This Row],[Backers Count Successul]]-$I$3)/$I$8</f>
        <v>-0.60451905678139528</v>
      </c>
    </row>
    <row r="510" spans="2:3" x14ac:dyDescent="0.25">
      <c r="B510" s="11">
        <v>85</v>
      </c>
      <c r="C510" s="12">
        <f>(Table5[[#This Row],[Backers Count Successul]]-$I$3)/$I$8</f>
        <v>-0.60451905678139528</v>
      </c>
    </row>
    <row r="511" spans="2:3" x14ac:dyDescent="0.25">
      <c r="B511" s="11">
        <v>85</v>
      </c>
      <c r="C511" s="12">
        <f>(Table5[[#This Row],[Backers Count Successul]]-$I$3)/$I$8</f>
        <v>-0.60451905678139528</v>
      </c>
    </row>
    <row r="512" spans="2:3" x14ac:dyDescent="0.25">
      <c r="B512" s="11">
        <v>85</v>
      </c>
      <c r="C512" s="12">
        <f>(Table5[[#This Row],[Backers Count Successul]]-$I$3)/$I$8</f>
        <v>-0.60451905678139528</v>
      </c>
    </row>
    <row r="513" spans="2:3" x14ac:dyDescent="0.25">
      <c r="B513" s="11">
        <v>85</v>
      </c>
      <c r="C513" s="12">
        <f>(Table5[[#This Row],[Backers Count Successul]]-$I$3)/$I$8</f>
        <v>-0.60451905678139528</v>
      </c>
    </row>
    <row r="514" spans="2:3" x14ac:dyDescent="0.25">
      <c r="B514" s="11">
        <v>85</v>
      </c>
      <c r="C514" s="12">
        <f>(Table5[[#This Row],[Backers Count Successul]]-$I$3)/$I$8</f>
        <v>-0.60451905678139528</v>
      </c>
    </row>
    <row r="515" spans="2:3" x14ac:dyDescent="0.25">
      <c r="B515" s="11">
        <v>84</v>
      </c>
      <c r="C515" s="12">
        <f>(Table5[[#This Row],[Backers Count Successul]]-$I$3)/$I$8</f>
        <v>-0.60530809482969461</v>
      </c>
    </row>
    <row r="516" spans="2:3" x14ac:dyDescent="0.25">
      <c r="B516" s="11">
        <v>84</v>
      </c>
      <c r="C516" s="12">
        <f>(Table5[[#This Row],[Backers Count Successul]]-$I$3)/$I$8</f>
        <v>-0.60530809482969461</v>
      </c>
    </row>
    <row r="517" spans="2:3" x14ac:dyDescent="0.25">
      <c r="B517" s="11">
        <v>83</v>
      </c>
      <c r="C517" s="12">
        <f>(Table5[[#This Row],[Backers Count Successul]]-$I$3)/$I$8</f>
        <v>-0.60609713287799394</v>
      </c>
    </row>
    <row r="518" spans="2:3" x14ac:dyDescent="0.25">
      <c r="B518" s="11">
        <v>83</v>
      </c>
      <c r="C518" s="12">
        <f>(Table5[[#This Row],[Backers Count Successul]]-$I$3)/$I$8</f>
        <v>-0.60609713287799394</v>
      </c>
    </row>
    <row r="519" spans="2:3" x14ac:dyDescent="0.25">
      <c r="B519" s="11">
        <v>82</v>
      </c>
      <c r="C519" s="12">
        <f>(Table5[[#This Row],[Backers Count Successul]]-$I$3)/$I$8</f>
        <v>-0.60688617092629338</v>
      </c>
    </row>
    <row r="520" spans="2:3" x14ac:dyDescent="0.25">
      <c r="B520" s="11">
        <v>82</v>
      </c>
      <c r="C520" s="12">
        <f>(Table5[[#This Row],[Backers Count Successul]]-$I$3)/$I$8</f>
        <v>-0.60688617092629338</v>
      </c>
    </row>
    <row r="521" spans="2:3" x14ac:dyDescent="0.25">
      <c r="B521" s="11">
        <v>81</v>
      </c>
      <c r="C521" s="12">
        <f>(Table5[[#This Row],[Backers Count Successul]]-$I$3)/$I$8</f>
        <v>-0.60767520897459271</v>
      </c>
    </row>
    <row r="522" spans="2:3" x14ac:dyDescent="0.25">
      <c r="B522" s="11">
        <v>80</v>
      </c>
      <c r="C522" s="12">
        <f>(Table5[[#This Row],[Backers Count Successul]]-$I$3)/$I$8</f>
        <v>-0.60846424702289204</v>
      </c>
    </row>
    <row r="523" spans="2:3" x14ac:dyDescent="0.25">
      <c r="B523" s="11">
        <v>80</v>
      </c>
      <c r="C523" s="12">
        <f>(Table5[[#This Row],[Backers Count Successul]]-$I$3)/$I$8</f>
        <v>-0.60846424702289204</v>
      </c>
    </row>
    <row r="524" spans="2:3" x14ac:dyDescent="0.25">
      <c r="B524" s="11">
        <v>80</v>
      </c>
      <c r="C524" s="12">
        <f>(Table5[[#This Row],[Backers Count Successul]]-$I$3)/$I$8</f>
        <v>-0.60846424702289204</v>
      </c>
    </row>
    <row r="525" spans="2:3" x14ac:dyDescent="0.25">
      <c r="B525" s="11">
        <v>80</v>
      </c>
      <c r="C525" s="12">
        <f>(Table5[[#This Row],[Backers Count Successul]]-$I$3)/$I$8</f>
        <v>-0.60846424702289204</v>
      </c>
    </row>
    <row r="526" spans="2:3" x14ac:dyDescent="0.25">
      <c r="B526" s="11">
        <v>80</v>
      </c>
      <c r="C526" s="12">
        <f>(Table5[[#This Row],[Backers Count Successul]]-$I$3)/$I$8</f>
        <v>-0.60846424702289204</v>
      </c>
    </row>
    <row r="527" spans="2:3" x14ac:dyDescent="0.25">
      <c r="B527" s="11">
        <v>80</v>
      </c>
      <c r="C527" s="12">
        <f>(Table5[[#This Row],[Backers Count Successul]]-$I$3)/$I$8</f>
        <v>-0.60846424702289204</v>
      </c>
    </row>
    <row r="528" spans="2:3" x14ac:dyDescent="0.25">
      <c r="B528" s="11">
        <v>78</v>
      </c>
      <c r="C528" s="12">
        <f>(Table5[[#This Row],[Backers Count Successul]]-$I$3)/$I$8</f>
        <v>-0.6100423231194908</v>
      </c>
    </row>
    <row r="529" spans="2:3" x14ac:dyDescent="0.25">
      <c r="B529" s="11">
        <v>78</v>
      </c>
      <c r="C529" s="12">
        <f>(Table5[[#This Row],[Backers Count Successul]]-$I$3)/$I$8</f>
        <v>-0.6100423231194908</v>
      </c>
    </row>
    <row r="530" spans="2:3" x14ac:dyDescent="0.25">
      <c r="B530" s="11">
        <v>76</v>
      </c>
      <c r="C530" s="12">
        <f>(Table5[[#This Row],[Backers Count Successul]]-$I$3)/$I$8</f>
        <v>-0.61162039921608946</v>
      </c>
    </row>
    <row r="531" spans="2:3" x14ac:dyDescent="0.25">
      <c r="B531" s="11">
        <v>76</v>
      </c>
      <c r="C531" s="12">
        <f>(Table5[[#This Row],[Backers Count Successul]]-$I$3)/$I$8</f>
        <v>-0.61162039921608946</v>
      </c>
    </row>
    <row r="532" spans="2:3" x14ac:dyDescent="0.25">
      <c r="B532" s="11">
        <v>72</v>
      </c>
      <c r="C532" s="12">
        <f>(Table5[[#This Row],[Backers Count Successul]]-$I$3)/$I$8</f>
        <v>-0.61477655140928689</v>
      </c>
    </row>
    <row r="533" spans="2:3" x14ac:dyDescent="0.25">
      <c r="B533" s="11">
        <v>71</v>
      </c>
      <c r="C533" s="12">
        <f>(Table5[[#This Row],[Backers Count Successul]]-$I$3)/$I$8</f>
        <v>-0.61556558945758633</v>
      </c>
    </row>
    <row r="534" spans="2:3" x14ac:dyDescent="0.25">
      <c r="B534" s="11">
        <v>70</v>
      </c>
      <c r="C534" s="12">
        <f>(Table5[[#This Row],[Backers Count Successul]]-$I$3)/$I$8</f>
        <v>-0.61635462750588565</v>
      </c>
    </row>
    <row r="535" spans="2:3" x14ac:dyDescent="0.25">
      <c r="B535" s="11">
        <v>69</v>
      </c>
      <c r="C535" s="12">
        <f>(Table5[[#This Row],[Backers Count Successul]]-$I$3)/$I$8</f>
        <v>-0.61714366555418498</v>
      </c>
    </row>
    <row r="536" spans="2:3" x14ac:dyDescent="0.25">
      <c r="B536" s="11">
        <v>69</v>
      </c>
      <c r="C536" s="12">
        <f>(Table5[[#This Row],[Backers Count Successul]]-$I$3)/$I$8</f>
        <v>-0.61714366555418498</v>
      </c>
    </row>
    <row r="537" spans="2:3" x14ac:dyDescent="0.25">
      <c r="B537" s="11">
        <v>68</v>
      </c>
      <c r="C537" s="12">
        <f>(Table5[[#This Row],[Backers Count Successul]]-$I$3)/$I$8</f>
        <v>-0.61793270360248431</v>
      </c>
    </row>
    <row r="538" spans="2:3" x14ac:dyDescent="0.25">
      <c r="B538" s="11">
        <v>67</v>
      </c>
      <c r="C538" s="12">
        <f>(Table5[[#This Row],[Backers Count Successul]]-$I$3)/$I$8</f>
        <v>-0.61872174165078375</v>
      </c>
    </row>
    <row r="539" spans="2:3" x14ac:dyDescent="0.25">
      <c r="B539" s="11">
        <v>65</v>
      </c>
      <c r="C539" s="12">
        <f>(Table5[[#This Row],[Backers Count Successul]]-$I$3)/$I$8</f>
        <v>-0.62029981774738241</v>
      </c>
    </row>
    <row r="540" spans="2:3" x14ac:dyDescent="0.25">
      <c r="B540" s="11">
        <v>65</v>
      </c>
      <c r="C540" s="12">
        <f>(Table5[[#This Row],[Backers Count Successul]]-$I$3)/$I$8</f>
        <v>-0.62029981774738241</v>
      </c>
    </row>
    <row r="541" spans="2:3" x14ac:dyDescent="0.25">
      <c r="B541" s="11">
        <v>64</v>
      </c>
      <c r="C541" s="12">
        <f>(Table5[[#This Row],[Backers Count Successul]]-$I$3)/$I$8</f>
        <v>-0.62108885579568174</v>
      </c>
    </row>
    <row r="542" spans="2:3" x14ac:dyDescent="0.25">
      <c r="B542" s="11">
        <v>62</v>
      </c>
      <c r="C542" s="12">
        <f>(Table5[[#This Row],[Backers Count Successul]]-$I$3)/$I$8</f>
        <v>-0.62266693189228051</v>
      </c>
    </row>
    <row r="543" spans="2:3" x14ac:dyDescent="0.25">
      <c r="B543" s="11">
        <v>59</v>
      </c>
      <c r="C543" s="12">
        <f>(Table5[[#This Row],[Backers Count Successul]]-$I$3)/$I$8</f>
        <v>-0.6250340460371786</v>
      </c>
    </row>
    <row r="544" spans="2:3" x14ac:dyDescent="0.25">
      <c r="B544" s="11">
        <v>56</v>
      </c>
      <c r="C544" s="12">
        <f>(Table5[[#This Row],[Backers Count Successul]]-$I$3)/$I$8</f>
        <v>-0.6274011601820767</v>
      </c>
    </row>
    <row r="545" spans="2:3" x14ac:dyDescent="0.25">
      <c r="B545" s="11">
        <v>55</v>
      </c>
      <c r="C545" s="12">
        <f>(Table5[[#This Row],[Backers Count Successul]]-$I$3)/$I$8</f>
        <v>-0.62819019823037603</v>
      </c>
    </row>
    <row r="546" spans="2:3" x14ac:dyDescent="0.25">
      <c r="B546" s="11">
        <v>54</v>
      </c>
      <c r="C546" s="12">
        <f>(Table5[[#This Row],[Backers Count Successul]]-$I$3)/$I$8</f>
        <v>-0.62897923627867536</v>
      </c>
    </row>
    <row r="547" spans="2:3" x14ac:dyDescent="0.25">
      <c r="B547" s="11">
        <v>53</v>
      </c>
      <c r="C547" s="12">
        <f>(Table5[[#This Row],[Backers Count Successul]]-$I$3)/$I$8</f>
        <v>-0.62976827432697469</v>
      </c>
    </row>
    <row r="548" spans="2:3" x14ac:dyDescent="0.25">
      <c r="B548" s="11">
        <v>53</v>
      </c>
      <c r="C548" s="12">
        <f>(Table5[[#This Row],[Backers Count Successul]]-$I$3)/$I$8</f>
        <v>-0.62976827432697469</v>
      </c>
    </row>
    <row r="549" spans="2:3" x14ac:dyDescent="0.25">
      <c r="B549" s="11">
        <v>52</v>
      </c>
      <c r="C549" s="12">
        <f>(Table5[[#This Row],[Backers Count Successul]]-$I$3)/$I$8</f>
        <v>-0.63055731237527413</v>
      </c>
    </row>
    <row r="550" spans="2:3" x14ac:dyDescent="0.25">
      <c r="B550" s="11">
        <v>50</v>
      </c>
      <c r="C550" s="12">
        <f>(Table5[[#This Row],[Backers Count Successul]]-$I$3)/$I$8</f>
        <v>-0.63213538847187278</v>
      </c>
    </row>
    <row r="551" spans="2:3" x14ac:dyDescent="0.25">
      <c r="B551" s="11">
        <v>50</v>
      </c>
      <c r="C551" s="12">
        <f>(Table5[[#This Row],[Backers Count Successul]]-$I$3)/$I$8</f>
        <v>-0.63213538847187278</v>
      </c>
    </row>
    <row r="552" spans="2:3" x14ac:dyDescent="0.25">
      <c r="B552" s="11">
        <v>50</v>
      </c>
      <c r="C552" s="12">
        <f>(Table5[[#This Row],[Backers Count Successul]]-$I$3)/$I$8</f>
        <v>-0.63213538847187278</v>
      </c>
    </row>
    <row r="553" spans="2:3" x14ac:dyDescent="0.25">
      <c r="B553" s="11">
        <v>48</v>
      </c>
      <c r="C553" s="12">
        <f>(Table5[[#This Row],[Backers Count Successul]]-$I$3)/$I$8</f>
        <v>-0.63371346456847155</v>
      </c>
    </row>
    <row r="554" spans="2:3" x14ac:dyDescent="0.25">
      <c r="B554" s="11">
        <v>48</v>
      </c>
      <c r="C554" s="12">
        <f>(Table5[[#This Row],[Backers Count Successul]]-$I$3)/$I$8</f>
        <v>-0.63371346456847155</v>
      </c>
    </row>
    <row r="555" spans="2:3" x14ac:dyDescent="0.25">
      <c r="B555" s="11">
        <v>48</v>
      </c>
      <c r="C555" s="12">
        <f>(Table5[[#This Row],[Backers Count Successul]]-$I$3)/$I$8</f>
        <v>-0.63371346456847155</v>
      </c>
    </row>
    <row r="556" spans="2:3" x14ac:dyDescent="0.25">
      <c r="B556" s="11">
        <v>43</v>
      </c>
      <c r="C556" s="12">
        <f>(Table5[[#This Row],[Backers Count Successul]]-$I$3)/$I$8</f>
        <v>-0.63765865480996831</v>
      </c>
    </row>
    <row r="557" spans="2:3" x14ac:dyDescent="0.25">
      <c r="B557" s="11">
        <v>43</v>
      </c>
      <c r="C557" s="12">
        <f>(Table5[[#This Row],[Backers Count Successul]]-$I$3)/$I$8</f>
        <v>-0.63765865480996831</v>
      </c>
    </row>
    <row r="558" spans="2:3" x14ac:dyDescent="0.25">
      <c r="B558" s="11">
        <v>42</v>
      </c>
      <c r="C558" s="12">
        <f>(Table5[[#This Row],[Backers Count Successul]]-$I$3)/$I$8</f>
        <v>-0.63844769285826763</v>
      </c>
    </row>
    <row r="559" spans="2:3" x14ac:dyDescent="0.25">
      <c r="B559" s="11">
        <v>41</v>
      </c>
      <c r="C559" s="12">
        <f>(Table5[[#This Row],[Backers Count Successul]]-$I$3)/$I$8</f>
        <v>-0.63923673090656707</v>
      </c>
    </row>
    <row r="560" spans="2:3" x14ac:dyDescent="0.25">
      <c r="B560" s="11">
        <v>41</v>
      </c>
      <c r="C560" s="12">
        <f>(Table5[[#This Row],[Backers Count Successul]]-$I$3)/$I$8</f>
        <v>-0.63923673090656707</v>
      </c>
    </row>
    <row r="561" spans="2:3" x14ac:dyDescent="0.25">
      <c r="B561" s="11">
        <v>40</v>
      </c>
      <c r="C561" s="12">
        <f>(Table5[[#This Row],[Backers Count Successul]]-$I$3)/$I$8</f>
        <v>-0.6400257689548664</v>
      </c>
    </row>
    <row r="562" spans="2:3" x14ac:dyDescent="0.25">
      <c r="B562" s="11">
        <v>34</v>
      </c>
      <c r="C562" s="12">
        <f>(Table5[[#This Row],[Backers Count Successul]]-$I$3)/$I$8</f>
        <v>-0.6447599972446626</v>
      </c>
    </row>
    <row r="563" spans="2:3" x14ac:dyDescent="0.25">
      <c r="B563" s="11">
        <v>32</v>
      </c>
      <c r="C563" s="12">
        <f>(Table5[[#This Row],[Backers Count Successul]]-$I$3)/$I$8</f>
        <v>-0.64633807334126125</v>
      </c>
    </row>
    <row r="564" spans="2:3" x14ac:dyDescent="0.25">
      <c r="B564" s="11">
        <v>32</v>
      </c>
      <c r="C564" s="12">
        <f>(Table5[[#This Row],[Backers Count Successul]]-$I$3)/$I$8</f>
        <v>-0.64633807334126125</v>
      </c>
    </row>
    <row r="565" spans="2:3" x14ac:dyDescent="0.25">
      <c r="B565" s="11">
        <v>27</v>
      </c>
      <c r="C565" s="12">
        <f>(Table5[[#This Row],[Backers Count Successul]]-$I$3)/$I$8</f>
        <v>-0.65028326358275801</v>
      </c>
    </row>
    <row r="566" spans="2:3" x14ac:dyDescent="0.25">
      <c r="B566" s="11">
        <v>26</v>
      </c>
      <c r="C566" s="12">
        <f>(Table5[[#This Row],[Backers Count Successul]]-$I$3)/$I$8</f>
        <v>-0.65107230163105745</v>
      </c>
    </row>
    <row r="567" spans="2:3" x14ac:dyDescent="0.25">
      <c r="B567" s="11">
        <v>16</v>
      </c>
      <c r="C567" s="12">
        <f>(Table5[[#This Row],[Backers Count Successul]]-$I$3)/$I$8</f>
        <v>-0.65896268211405096</v>
      </c>
    </row>
  </sheetData>
  <phoneticPr fontId="18" type="noConversion"/>
  <pageMargins left="0.7" right="0.7" top="0.75" bottom="0.75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 Analysis</vt:lpstr>
      <vt:lpstr>Pivot 1 - Category</vt:lpstr>
      <vt:lpstr>Pivot 2 - Country</vt:lpstr>
      <vt:lpstr>Pivot 3 - Sub-Category</vt:lpstr>
      <vt:lpstr>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Molly Fox</cp:lastModifiedBy>
  <dcterms:created xsi:type="dcterms:W3CDTF">2021-09-29T18:52:28Z</dcterms:created>
  <dcterms:modified xsi:type="dcterms:W3CDTF">2024-07-03T04:32:31Z</dcterms:modified>
</cp:coreProperties>
</file>