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S:\Public Share\واحد تولید\bahiraei.mo\Statistics\آمار تولید سال 1403\"/>
    </mc:Choice>
  </mc:AlternateContent>
  <xr:revisionPtr revIDLastSave="0" documentId="13_ncr:1_{20AC10B5-3A32-4113-93A3-7713ED18061F}" xr6:coauthVersionLast="47" xr6:coauthVersionMax="47" xr10:uidLastSave="{00000000-0000-0000-0000-000000000000}"/>
  <bookViews>
    <workbookView xWindow="-120" yWindow="-120" windowWidth="29040" windowHeight="15840" tabRatio="658" activeTab="2" xr2:uid="{00000000-000D-0000-FFFF-FFFF00000000}"/>
  </bookViews>
  <sheets>
    <sheet name="داده تولید سال 1403" sheetId="1" r:id="rId1"/>
    <sheet name="محاسبات" sheetId="3" state="hidden" r:id="rId2"/>
    <sheet name="داشبورد" sheetId="2" r:id="rId3"/>
    <sheet name="Sheet1" sheetId="4" state="hidden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AF13" i="3" s="1"/>
  <c r="E14" i="1"/>
  <c r="AF15" i="3" s="1"/>
  <c r="AE13" i="3"/>
  <c r="V26" i="2"/>
  <c r="B14" i="1"/>
  <c r="AE15" i="3"/>
  <c r="G3" i="1"/>
  <c r="G14" i="1" s="1"/>
  <c r="AF14" i="3" s="1"/>
  <c r="G4" i="1"/>
  <c r="G5" i="1"/>
  <c r="G6" i="1"/>
  <c r="G7" i="1"/>
  <c r="G8" i="1"/>
  <c r="G9" i="1"/>
  <c r="G10" i="1"/>
  <c r="G11" i="1"/>
  <c r="G12" i="1"/>
  <c r="G13" i="1"/>
  <c r="G2" i="1"/>
  <c r="AO6" i="3"/>
  <c r="AK6" i="3"/>
  <c r="AA6" i="3"/>
  <c r="Y14" i="3"/>
  <c r="Y13" i="3"/>
  <c r="AI6" i="3"/>
  <c r="Y6" i="3"/>
  <c r="AG13" i="3" l="1"/>
  <c r="AH13" i="3" s="1"/>
  <c r="AG15" i="3"/>
  <c r="V25" i="2"/>
  <c r="V21" i="2"/>
  <c r="V20" i="2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T6" i="2"/>
  <c r="Z6" i="3"/>
  <c r="Q99" i="3"/>
  <c r="U20" i="3" s="1"/>
  <c r="V21" i="3"/>
  <c r="V20" i="3"/>
  <c r="V19" i="3"/>
  <c r="V18" i="3"/>
  <c r="V12" i="2" s="1"/>
  <c r="V17" i="3"/>
  <c r="V14" i="3"/>
  <c r="V13" i="3"/>
  <c r="V12" i="3"/>
  <c r="V11" i="3"/>
  <c r="V10" i="3"/>
  <c r="V9" i="3"/>
  <c r="V8" i="3"/>
  <c r="V7" i="3"/>
  <c r="V6" i="3"/>
  <c r="V5" i="3"/>
  <c r="V4" i="3"/>
  <c r="V3" i="3"/>
  <c r="AA14" i="3"/>
  <c r="AB14" i="3" s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91" i="3"/>
  <c r="Q92" i="3"/>
  <c r="U8" i="3" s="1"/>
  <c r="Q93" i="3"/>
  <c r="U10" i="3" s="1"/>
  <c r="Q94" i="3"/>
  <c r="Q95" i="3"/>
  <c r="U17" i="3" s="1"/>
  <c r="Q96" i="3"/>
  <c r="Q97" i="3"/>
  <c r="U7" i="3" s="1"/>
  <c r="Q98" i="3"/>
  <c r="U11" i="3" s="1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U12" i="3" s="1"/>
  <c r="U9" i="3"/>
  <c r="F1" i="3"/>
  <c r="Y12" i="3" l="1"/>
  <c r="AA12" i="3" s="1"/>
  <c r="AB12" i="3" s="1"/>
  <c r="AE14" i="3"/>
  <c r="AG14" i="3" s="1"/>
  <c r="AH14" i="3" s="1"/>
  <c r="AE12" i="3"/>
  <c r="AH15" i="3"/>
  <c r="V29" i="2" s="1"/>
  <c r="V27" i="2"/>
  <c r="U6" i="3"/>
  <c r="U18" i="3"/>
  <c r="V13" i="2" s="1"/>
  <c r="V14" i="2" s="1"/>
  <c r="U21" i="3"/>
  <c r="U13" i="3"/>
  <c r="U4" i="3"/>
  <c r="U19" i="3"/>
  <c r="U14" i="3"/>
  <c r="U5" i="3"/>
  <c r="U3" i="3"/>
  <c r="AH13" i="1"/>
  <c r="AH14" i="1" s="1"/>
  <c r="AG13" i="1"/>
  <c r="AC13" i="1"/>
  <c r="AB13" i="1"/>
  <c r="AA13" i="1"/>
  <c r="Z13" i="1"/>
  <c r="Y13" i="1"/>
  <c r="X13" i="1"/>
  <c r="W13" i="1"/>
  <c r="V13" i="1"/>
  <c r="U13" i="1"/>
  <c r="T13" i="1"/>
  <c r="P12" i="2" s="1"/>
  <c r="S13" i="1"/>
  <c r="R13" i="1"/>
  <c r="Q13" i="1"/>
  <c r="P13" i="1"/>
  <c r="O13" i="1"/>
  <c r="N13" i="1"/>
  <c r="M13" i="1"/>
  <c r="L13" i="1"/>
  <c r="K13" i="1"/>
  <c r="J13" i="1"/>
  <c r="I13" i="1"/>
  <c r="C13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B27" i="3" s="1"/>
  <c r="M12" i="1"/>
  <c r="L12" i="1"/>
  <c r="K12" i="1"/>
  <c r="J12" i="1"/>
  <c r="I12" i="1"/>
  <c r="C12" i="1"/>
  <c r="H12" i="1"/>
  <c r="AG11" i="1"/>
  <c r="AE11" i="1"/>
  <c r="AC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C11" i="1"/>
  <c r="AG10" i="1"/>
  <c r="AE10" i="1"/>
  <c r="AD10" i="1"/>
  <c r="AC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C10" i="1"/>
  <c r="H10" i="1"/>
  <c r="AE9" i="1"/>
  <c r="AD9" i="1"/>
  <c r="AB9" i="1"/>
  <c r="Z9" i="1"/>
  <c r="Y9" i="1"/>
  <c r="X9" i="1"/>
  <c r="W9" i="1"/>
  <c r="V9" i="1"/>
  <c r="U9" i="1"/>
  <c r="T9" i="1"/>
  <c r="S9" i="1"/>
  <c r="R9" i="1"/>
  <c r="Q9" i="1"/>
  <c r="P9" i="1"/>
  <c r="O9" i="1"/>
  <c r="N9" i="1"/>
  <c r="B24" i="3" s="1"/>
  <c r="M9" i="1"/>
  <c r="L9" i="1"/>
  <c r="K9" i="1"/>
  <c r="J9" i="1"/>
  <c r="I9" i="1"/>
  <c r="C9" i="1"/>
  <c r="H9" i="1"/>
  <c r="AC8" i="1"/>
  <c r="AB8" i="1"/>
  <c r="Z8" i="1"/>
  <c r="Y8" i="1"/>
  <c r="X8" i="1"/>
  <c r="W8" i="1"/>
  <c r="V8" i="1"/>
  <c r="U8" i="1"/>
  <c r="T8" i="1"/>
  <c r="S8" i="1"/>
  <c r="R8" i="1"/>
  <c r="Q8" i="1"/>
  <c r="P8" i="1"/>
  <c r="O8" i="1"/>
  <c r="N8" i="1"/>
  <c r="B23" i="3" s="1"/>
  <c r="M8" i="1"/>
  <c r="L8" i="1"/>
  <c r="K8" i="1"/>
  <c r="J8" i="1"/>
  <c r="I8" i="1"/>
  <c r="C8" i="1"/>
  <c r="H8" i="1"/>
  <c r="AE7" i="1"/>
  <c r="AC7" i="1"/>
  <c r="Z7" i="1"/>
  <c r="Y7" i="1"/>
  <c r="X7" i="1"/>
  <c r="W7" i="1"/>
  <c r="V7" i="1"/>
  <c r="U7" i="1"/>
  <c r="T7" i="1"/>
  <c r="S7" i="1"/>
  <c r="R7" i="1"/>
  <c r="Q7" i="1"/>
  <c r="P7" i="1"/>
  <c r="O7" i="1"/>
  <c r="N7" i="1"/>
  <c r="B22" i="3" s="1"/>
  <c r="M7" i="1"/>
  <c r="L7" i="1"/>
  <c r="K7" i="1"/>
  <c r="J7" i="1"/>
  <c r="I7" i="1"/>
  <c r="C7" i="1"/>
  <c r="H7" i="1"/>
  <c r="AE6" i="1"/>
  <c r="AD6" i="1"/>
  <c r="AC6" i="1"/>
  <c r="AB6" i="1"/>
  <c r="Z6" i="1"/>
  <c r="Y6" i="1"/>
  <c r="X6" i="1"/>
  <c r="W6" i="1"/>
  <c r="V6" i="1"/>
  <c r="U6" i="1"/>
  <c r="T6" i="1"/>
  <c r="S6" i="1"/>
  <c r="R6" i="1"/>
  <c r="Q6" i="1"/>
  <c r="P6" i="1"/>
  <c r="O6" i="1"/>
  <c r="N6" i="1"/>
  <c r="B21" i="3" s="1"/>
  <c r="M6" i="1"/>
  <c r="L6" i="1"/>
  <c r="K6" i="1"/>
  <c r="J6" i="1"/>
  <c r="I6" i="1"/>
  <c r="C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B20" i="3" s="1"/>
  <c r="M5" i="1"/>
  <c r="L5" i="1"/>
  <c r="K5" i="1"/>
  <c r="J5" i="1"/>
  <c r="I5" i="1"/>
  <c r="C5" i="1"/>
  <c r="H5" i="1"/>
  <c r="AF4" i="1"/>
  <c r="AE4" i="1"/>
  <c r="AD4" i="1"/>
  <c r="AC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C4" i="1"/>
  <c r="H4" i="1"/>
  <c r="AF3" i="1"/>
  <c r="AC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C3" i="1"/>
  <c r="AB2" i="1"/>
  <c r="Z2" i="1"/>
  <c r="Y2" i="1"/>
  <c r="X2" i="1"/>
  <c r="W2" i="1"/>
  <c r="V2" i="1"/>
  <c r="U2" i="1"/>
  <c r="T2" i="1"/>
  <c r="S2" i="1"/>
  <c r="R2" i="1"/>
  <c r="Q2" i="1"/>
  <c r="P2" i="1"/>
  <c r="O2" i="1"/>
  <c r="N2" i="1"/>
  <c r="B17" i="3" s="1"/>
  <c r="M2" i="1"/>
  <c r="L2" i="1"/>
  <c r="K2" i="1"/>
  <c r="J2" i="1"/>
  <c r="I2" i="1"/>
  <c r="C2" i="1"/>
  <c r="H2" i="1"/>
  <c r="B12" i="3" l="1"/>
  <c r="H11" i="1"/>
  <c r="B14" i="3"/>
  <c r="H13" i="1"/>
  <c r="B7" i="3"/>
  <c r="H6" i="1"/>
  <c r="B4" i="3"/>
  <c r="H3" i="1"/>
  <c r="H14" i="1" s="1"/>
  <c r="B25" i="3"/>
  <c r="B18" i="3"/>
  <c r="B19" i="3"/>
  <c r="B8" i="3"/>
  <c r="B9" i="3"/>
  <c r="B10" i="3"/>
  <c r="B26" i="3"/>
  <c r="B28" i="3"/>
  <c r="B13" i="2"/>
  <c r="G13" i="2"/>
  <c r="B13" i="3"/>
  <c r="O14" i="1"/>
  <c r="B5" i="3"/>
  <c r="C14" i="1"/>
  <c r="B6" i="2" s="1"/>
  <c r="B6" i="3"/>
  <c r="B3" i="3"/>
  <c r="A6" i="2"/>
  <c r="B11" i="3"/>
  <c r="AI2" i="1"/>
  <c r="C13" i="2"/>
  <c r="J13" i="2"/>
  <c r="D13" i="2"/>
  <c r="A13" i="2"/>
  <c r="E13" i="2"/>
  <c r="I13" i="2"/>
  <c r="H13" i="2"/>
  <c r="AF14" i="1"/>
  <c r="AG14" i="1"/>
  <c r="K6" i="2" s="1"/>
  <c r="J14" i="1"/>
  <c r="G6" i="2" s="1"/>
  <c r="N14" i="1"/>
  <c r="R14" i="1"/>
  <c r="V14" i="1"/>
  <c r="O135" i="3" s="1"/>
  <c r="Z14" i="1"/>
  <c r="AC14" i="1"/>
  <c r="L14" i="1"/>
  <c r="P14" i="1"/>
  <c r="T14" i="1"/>
  <c r="X14" i="1"/>
  <c r="J6" i="2" s="1"/>
  <c r="K13" i="2"/>
  <c r="C6" i="2"/>
  <c r="Z13" i="3" s="1"/>
  <c r="W14" i="1"/>
  <c r="AI3" i="1"/>
  <c r="AI5" i="1"/>
  <c r="AI6" i="1"/>
  <c r="AI13" i="1"/>
  <c r="I14" i="1"/>
  <c r="E6" i="2" s="1"/>
  <c r="Q14" i="1"/>
  <c r="Y14" i="1"/>
  <c r="K14" i="1"/>
  <c r="S14" i="1"/>
  <c r="AD14" i="1"/>
  <c r="AB14" i="1"/>
  <c r="M14" i="1"/>
  <c r="U14" i="1"/>
  <c r="I6" i="2" s="1"/>
  <c r="AE14" i="1"/>
  <c r="H6" i="2" s="1"/>
  <c r="AA14" i="1"/>
  <c r="AI8" i="1"/>
  <c r="AI9" i="1"/>
  <c r="AI12" i="1"/>
  <c r="AI4" i="1"/>
  <c r="AI7" i="1"/>
  <c r="AI10" i="1"/>
  <c r="AI11" i="1"/>
  <c r="AF12" i="3" l="1"/>
  <c r="AG12" i="3" s="1"/>
  <c r="AH12" i="3" s="1"/>
  <c r="D6" i="2"/>
  <c r="P8" i="2"/>
  <c r="AA13" i="3"/>
  <c r="AB13" i="3" s="1"/>
  <c r="AI14" i="1"/>
  <c r="P1" i="2" s="1"/>
</calcChain>
</file>

<file path=xl/sharedStrings.xml><?xml version="1.0" encoding="utf-8"?>
<sst xmlns="http://schemas.openxmlformats.org/spreadsheetml/2006/main" count="642" uniqueCount="394">
  <si>
    <t>شیرخام(Kg)</t>
  </si>
  <si>
    <t>چربی</t>
  </si>
  <si>
    <t>اسکیم</t>
  </si>
  <si>
    <t>روغن گیاهی(Kg)</t>
  </si>
  <si>
    <t>بالک(Kg)</t>
  </si>
  <si>
    <t>همزده - موسیر - یونانی(Kg)</t>
  </si>
  <si>
    <t>ماست کم چرب (Kg)</t>
  </si>
  <si>
    <t>ماست پرچرب(Kg)</t>
  </si>
  <si>
    <t>لاکتیک صادرات(Kg)</t>
  </si>
  <si>
    <t>قفقازی(Kg)</t>
  </si>
  <si>
    <t>دوغ نعنا(Kg)</t>
  </si>
  <si>
    <t>دوغ ساده(Kg)</t>
  </si>
  <si>
    <t>دوغ گیاهان معطر(Kg)</t>
  </si>
  <si>
    <t>دوغ آلوءورا (Kg)</t>
  </si>
  <si>
    <t>دوغ نعنا250(Kg)</t>
  </si>
  <si>
    <t>خامه فروش (Kg)</t>
  </si>
  <si>
    <t>پنیر اولیه(Kg)</t>
  </si>
  <si>
    <t>پنیرخامه ای (Kg)</t>
  </si>
  <si>
    <t>آب پنیرفروش(Kg)</t>
  </si>
  <si>
    <t xml:space="preserve">شیر Uf </t>
  </si>
  <si>
    <t>خامه Uf</t>
  </si>
  <si>
    <t>روغنUf</t>
  </si>
  <si>
    <t>لیوانی نعنا</t>
  </si>
  <si>
    <t>لاکتیک داخلی (Kg)</t>
  </si>
  <si>
    <t>کشک(Kg)</t>
  </si>
  <si>
    <t>روغن حیوانی</t>
  </si>
  <si>
    <t>پنیر پروسس</t>
  </si>
  <si>
    <t>شیر خشک</t>
  </si>
  <si>
    <t>بطری کوچک گیاهان معطر</t>
  </si>
  <si>
    <t>کل</t>
  </si>
  <si>
    <t xml:space="preserve">فروردین </t>
  </si>
  <si>
    <t xml:space="preserve">اردیبهشت </t>
  </si>
  <si>
    <t>خرداد</t>
  </si>
  <si>
    <t>تیر</t>
  </si>
  <si>
    <t>مرداد</t>
  </si>
  <si>
    <t>شهریور</t>
  </si>
  <si>
    <t>مهر</t>
  </si>
  <si>
    <t>آبان</t>
  </si>
  <si>
    <t>آذر</t>
  </si>
  <si>
    <t xml:space="preserve">دی </t>
  </si>
  <si>
    <t>بهمن</t>
  </si>
  <si>
    <t>اسفند</t>
  </si>
  <si>
    <t xml:space="preserve">کل سال </t>
  </si>
  <si>
    <t>گزارش تولید سال 1403</t>
  </si>
  <si>
    <t>درصد چربی</t>
  </si>
  <si>
    <t>مقدار چربی</t>
  </si>
  <si>
    <t>چربی 2</t>
  </si>
  <si>
    <t xml:space="preserve">بالک </t>
  </si>
  <si>
    <t>خامه فروش</t>
  </si>
  <si>
    <t>آب پنیر فروش</t>
  </si>
  <si>
    <t>شیرخشک</t>
  </si>
  <si>
    <t>شیرورودی</t>
  </si>
  <si>
    <t>کل تولید (کیلوگرم)</t>
  </si>
  <si>
    <t>کل تولید به تفکیک ماه (کیلوگرم)</t>
  </si>
  <si>
    <t>کل تولید محصول به تفکیک ماه (کیلوگرم)</t>
  </si>
  <si>
    <t>ماه</t>
  </si>
  <si>
    <t>اردیبهشت</t>
  </si>
  <si>
    <t>دی</t>
  </si>
  <si>
    <t>همزده - موسیر - یونانی</t>
  </si>
  <si>
    <t xml:space="preserve">ماست کم چرب </t>
  </si>
  <si>
    <t>ماست پرچرب</t>
  </si>
  <si>
    <t>لاکتیک صادرات</t>
  </si>
  <si>
    <t>قفقازی</t>
  </si>
  <si>
    <t>دوغ نعنا</t>
  </si>
  <si>
    <t>دوغ ساده</t>
  </si>
  <si>
    <t>دوغ گیاهان معطر</t>
  </si>
  <si>
    <t xml:space="preserve">دوغ آلوءورا </t>
  </si>
  <si>
    <t>دوغ نعنا250</t>
  </si>
  <si>
    <t>پنیر اولیه</t>
  </si>
  <si>
    <t xml:space="preserve">پنیرخامه ای </t>
  </si>
  <si>
    <t>شیر Uf</t>
  </si>
  <si>
    <t xml:space="preserve">لاکتیک داخلی </t>
  </si>
  <si>
    <t>کشک</t>
  </si>
  <si>
    <t>شیر</t>
  </si>
  <si>
    <t>گزارش تولید و انبار و فروش سال 1403</t>
  </si>
  <si>
    <t>ردیف</t>
  </si>
  <si>
    <t>كد كالا</t>
  </si>
  <si>
    <t>عنوان كالا</t>
  </si>
  <si>
    <t>واحد اصلي</t>
  </si>
  <si>
    <t>ورودي</t>
  </si>
  <si>
    <t>برگشت به تولید</t>
  </si>
  <si>
    <t>خالص تولید شده</t>
  </si>
  <si>
    <t>کیلوگرم</t>
  </si>
  <si>
    <t>1001010201002</t>
  </si>
  <si>
    <t>پنير سفيد  UF پرچرب ويژه 100 گرمي  (9*7) دوماس</t>
  </si>
  <si>
    <t>عدد</t>
  </si>
  <si>
    <t>1001010202001</t>
  </si>
  <si>
    <t>پنير سفيد چرب ويژه 400گرمي دوماس(3)</t>
  </si>
  <si>
    <t>1001010301002</t>
  </si>
  <si>
    <t>پنير سفيد UF   چرب ويژه   300  گرمي IML</t>
  </si>
  <si>
    <t>1001010301004</t>
  </si>
  <si>
    <t>پنير يواف نسبتا چرب سطلي 9 كيلويي</t>
  </si>
  <si>
    <t>1001010301006</t>
  </si>
  <si>
    <t>پنيرuf سطلي 4 كيلويي دوماس</t>
  </si>
  <si>
    <t>1001010301007</t>
  </si>
  <si>
    <t>پنيرuf سطلي 9 كيلويي تميس</t>
  </si>
  <si>
    <t>1001010301009</t>
  </si>
  <si>
    <t>پنيرuf سطلي 4 كيلويي تميس</t>
  </si>
  <si>
    <t>1001010301010</t>
  </si>
  <si>
    <t>پنير سفيد UF   چرب ويژه   220 گرمي IML</t>
  </si>
  <si>
    <t>1001010301011</t>
  </si>
  <si>
    <t>پنير  14 كيلويي سطلي  uf نسبتا" چرب (شهرك شكوهيه قم)</t>
  </si>
  <si>
    <t>1001010401001</t>
  </si>
  <si>
    <t>پنير پرچرب 350 گرمي</t>
  </si>
  <si>
    <t>1001010401002</t>
  </si>
  <si>
    <t xml:space="preserve">پنير پرچرب 250 گرمي دوماس </t>
  </si>
  <si>
    <t>1001010401003</t>
  </si>
  <si>
    <t>پنير لبنه 180 گرمي دوماس (1)</t>
  </si>
  <si>
    <t>1001010401004</t>
  </si>
  <si>
    <t xml:space="preserve">پنير لبنه 300 گرمي IML دوماس </t>
  </si>
  <si>
    <t>1001010401005</t>
  </si>
  <si>
    <t xml:space="preserve">پنير لبنه 130 گرمي دوماس </t>
  </si>
  <si>
    <t>1001010401007</t>
  </si>
  <si>
    <t>پنيرلبنه 220 گرم IML</t>
  </si>
  <si>
    <t>1001010401008</t>
  </si>
  <si>
    <t>پنير لبنه سطلي 2600 گرمي صادراتي دوماس</t>
  </si>
  <si>
    <t>1001010501001</t>
  </si>
  <si>
    <t xml:space="preserve">پنير پرچرب 100 گرمي بتا پك دوماس </t>
  </si>
  <si>
    <t>1001010501002</t>
  </si>
  <si>
    <t>پنير پرچرب 100 گرمي بتاپك دوماس (7*7) دوماس</t>
  </si>
  <si>
    <t>1001010501003</t>
  </si>
  <si>
    <t>پنيرپروسس 180 گرمي</t>
  </si>
  <si>
    <t>1001010501005</t>
  </si>
  <si>
    <t>پنير پرچرب 350 گرمي سسي دوماس</t>
  </si>
  <si>
    <t>1001010501007</t>
  </si>
  <si>
    <t>پنير پرچرب 220 گرمي  IML دوماس</t>
  </si>
  <si>
    <t>1001010501008</t>
  </si>
  <si>
    <t>پنير پرچرب 90گرمي بتاپك دوماس</t>
  </si>
  <si>
    <t>1001010501009</t>
  </si>
  <si>
    <t>پنير پرچرب 70 گرمي بتا پك دوماس</t>
  </si>
  <si>
    <t>1001010501010</t>
  </si>
  <si>
    <t>پنير لبنه 120 گرمي دوماس</t>
  </si>
  <si>
    <t>1001020101002</t>
  </si>
  <si>
    <t>پنير  لاكتيكي 100 گرمي بتاپك</t>
  </si>
  <si>
    <t>1001020101003</t>
  </si>
  <si>
    <t>پنير 100 گرمي لاكتيكي مستطيل</t>
  </si>
  <si>
    <t>1001020101004</t>
  </si>
  <si>
    <t>پنير 100 گرمي لاكتيكي گرد</t>
  </si>
  <si>
    <t>1001020101005</t>
  </si>
  <si>
    <t>پنير 100 گرمي لاكتيكي 8 ضلعي</t>
  </si>
  <si>
    <t>1001020102001</t>
  </si>
  <si>
    <t>پنير  لاكتيكي كاپ 350 گرمي دوماس</t>
  </si>
  <si>
    <t>1001020102002</t>
  </si>
  <si>
    <t>پنير  لاكتيكي 270 گرمي IML</t>
  </si>
  <si>
    <t>1001020103001</t>
  </si>
  <si>
    <t>پنير لاكتيكي سطلي 8 كيلويي</t>
  </si>
  <si>
    <t>1001020104001</t>
  </si>
  <si>
    <t>پنير لاكتيكي سطلي 6 كيلويي</t>
  </si>
  <si>
    <t>1001020106001</t>
  </si>
  <si>
    <t>پنير  لاكتيكي بتاپك 300 گرمي دوماس</t>
  </si>
  <si>
    <t>1001020107003</t>
  </si>
  <si>
    <t>پنير لاكتيكي سطلي 5 كيلويي</t>
  </si>
  <si>
    <t>1001020107005</t>
  </si>
  <si>
    <t>پنيرلاكتيكي 300گرمي كاپ ps</t>
  </si>
  <si>
    <t>1001020107009</t>
  </si>
  <si>
    <t>پنير لاكتيكي 100 گرم مربع سياه دانه</t>
  </si>
  <si>
    <t>1001020107015</t>
  </si>
  <si>
    <t>پنيرلاكتيكي 200 گرمي وكيوم دوماس</t>
  </si>
  <si>
    <t>1001020107016</t>
  </si>
  <si>
    <t>پنيرلاكتيكي 100 گرمي وكيوم دوماس</t>
  </si>
  <si>
    <t>1001020107017</t>
  </si>
  <si>
    <t>پنير لاكتيكي سطلي 3 كيلويي دوماس</t>
  </si>
  <si>
    <t>1001020107025</t>
  </si>
  <si>
    <t>پنيرلاكتيكي ابري 200 گرمي دوماس</t>
  </si>
  <si>
    <t>1001020107026</t>
  </si>
  <si>
    <t>پنيريواف سالادي 300گرم دوماس</t>
  </si>
  <si>
    <t>1001020107027</t>
  </si>
  <si>
    <t>پنيرلبنه 80 گرم گرد دهانه 75 دوماس</t>
  </si>
  <si>
    <t>1001020107028</t>
  </si>
  <si>
    <t>پنير ديپ چدار سسي 350 گرمي دوماس</t>
  </si>
  <si>
    <t>1001020107029</t>
  </si>
  <si>
    <t>پنير ديپ چدار سسي 350 گرمي  تميس</t>
  </si>
  <si>
    <t>1001020107030</t>
  </si>
  <si>
    <t>پنير لاكتيك سطل 9 كيلويي دوماس</t>
  </si>
  <si>
    <t>1001020107031</t>
  </si>
  <si>
    <t>پنير پروسس 130 گرمي دوماس</t>
  </si>
  <si>
    <t>1001020107032</t>
  </si>
  <si>
    <t>پنيرچدار 2500 گرمي سطلي دوماس</t>
  </si>
  <si>
    <t>1001020107033</t>
  </si>
  <si>
    <t>پنير لبنه 70 گرم گرد دوماس</t>
  </si>
  <si>
    <t>1001020201005</t>
  </si>
  <si>
    <t>پنير UF رژيمي كم چرب و كم نمك 300 گرمي IML دوماس</t>
  </si>
  <si>
    <t>1001020201006</t>
  </si>
  <si>
    <t>پنير UF  نسبتا" چرب 400 گرمي دوماس-جديد</t>
  </si>
  <si>
    <t>1001020201007</t>
  </si>
  <si>
    <t>پنير كم چرب كم نمك 200 گرم دوماس</t>
  </si>
  <si>
    <t>1001020201008</t>
  </si>
  <si>
    <t>پنير ويژه 200 گرم دوماس</t>
  </si>
  <si>
    <t>1001030101004</t>
  </si>
  <si>
    <t>پنير نسبتا چرب 10 كيلويي يو اف</t>
  </si>
  <si>
    <t>1001030101007</t>
  </si>
  <si>
    <t xml:space="preserve"> پنير يو اف 100 گرمي نسبتا چرب دوماس  </t>
  </si>
  <si>
    <t>1001030101008</t>
  </si>
  <si>
    <t>پنير UF نسبتا" چرب سطل 2 كيلويي دوماس</t>
  </si>
  <si>
    <t>1001040101005</t>
  </si>
  <si>
    <t>پنيرUF رژيمي كم چرب كم نمك 220 گرم</t>
  </si>
  <si>
    <t>1001050101001</t>
  </si>
  <si>
    <t>ريكوتا</t>
  </si>
  <si>
    <t>كيلوگرم</t>
  </si>
  <si>
    <t>1001060101001</t>
  </si>
  <si>
    <t>پنيرلاكتيكي مربع 100 گرم تميس</t>
  </si>
  <si>
    <t>1001060101005</t>
  </si>
  <si>
    <t>پنير پرچرب گرد دهانه 75-80گرمي تميس</t>
  </si>
  <si>
    <t>1001060101008</t>
  </si>
  <si>
    <t>پنير سالادي فتا گرد 300 گرمي تميس</t>
  </si>
  <si>
    <t>1001060101018</t>
  </si>
  <si>
    <t>پنيريو اف سالادي 150گرمي دوماس</t>
  </si>
  <si>
    <t>1001060101019</t>
  </si>
  <si>
    <t>پنيريواف سالادي 150گرمي تميس</t>
  </si>
  <si>
    <t>1001060101024</t>
  </si>
  <si>
    <t>پنيرديپ چدار80گرمي دوماس</t>
  </si>
  <si>
    <t>1002010101001</t>
  </si>
  <si>
    <t>پنير پيتزا 400 گرمي تاپينگ دو رنگ قرمز (بتاپك) دوماس</t>
  </si>
  <si>
    <t>1002010102001</t>
  </si>
  <si>
    <t>پنير پيتزا  800 گرمي تاپينگ دو رنگ قرمز (بتاپك)  دوماس</t>
  </si>
  <si>
    <t>1002010102002</t>
  </si>
  <si>
    <t>پنير پيتزا تاپينگ دورنگ 800 گرمي صادراتي</t>
  </si>
  <si>
    <t>1002010102003</t>
  </si>
  <si>
    <t>پنير پيتزاتاپينگ 800گرمي تك رنگ صادراتي دوماس</t>
  </si>
  <si>
    <t>1002010102004</t>
  </si>
  <si>
    <t>پنيرپيتزاي صادراتي تاپينگ 350گرمي دوررنگ دوماس</t>
  </si>
  <si>
    <t>1002010102005</t>
  </si>
  <si>
    <t>پنيرپيتزاي صادراتي تاپينگ 700گرمي دوررنگ دوماس</t>
  </si>
  <si>
    <t>1002010102006</t>
  </si>
  <si>
    <t>پنيرپيتزاصادراتي تاپينگ 160گرمي دورنگ صادراتي دوماس</t>
  </si>
  <si>
    <t>1002010201001</t>
  </si>
  <si>
    <t>پنير موزارلا پرچرب 400 گرمي آبي ( بتاپك ) دوماس (4)</t>
  </si>
  <si>
    <t>1002010302001</t>
  </si>
  <si>
    <t xml:space="preserve">پنير پيتزا 180 گرمي پرچرب موزارلا كيسه اي آبي دوماس </t>
  </si>
  <si>
    <t>1002010401002</t>
  </si>
  <si>
    <t xml:space="preserve">پنير پيتزا تاپينگ 500 گرمي كيسه اي قرمز دوماس </t>
  </si>
  <si>
    <t>1002010401003</t>
  </si>
  <si>
    <t xml:space="preserve">پنير پيتزا تاپينگ 1000 گرمي كيسه اي قرمز دوماس </t>
  </si>
  <si>
    <t>1002010401004</t>
  </si>
  <si>
    <t>پنير پيتزا  2000 گرمي تاپينگ دورنگ قرمز (بتاپك) دوماس</t>
  </si>
  <si>
    <t>1002010401005</t>
  </si>
  <si>
    <t>پنير پيتزا تاپينگ دورنگ 180گرمي صادراتي</t>
  </si>
  <si>
    <t>1002010401006</t>
  </si>
  <si>
    <t>پنيرپيتزا تاپينگ تك رنگ 180گرمي صادراتي</t>
  </si>
  <si>
    <t>1002010401007</t>
  </si>
  <si>
    <t>پنير پيتزا تاپينگ دورنگ 400 گرمي</t>
  </si>
  <si>
    <t>1002010401008</t>
  </si>
  <si>
    <t>پنير پيتزا تاپينگ تك رنگ 400 گرمي</t>
  </si>
  <si>
    <t>1002010401009</t>
  </si>
  <si>
    <t>پنير پيتزا تاپينگ دو رنگ 2000 گرمي</t>
  </si>
  <si>
    <t>1002010401010</t>
  </si>
  <si>
    <t>پنير پيتزا تاپينگ تك رنگ 2000 گرمي</t>
  </si>
  <si>
    <t>1002010401012</t>
  </si>
  <si>
    <t>پنير پيتزا تاپينگ 1800 گرمي دو رنگ صادراتي دوماس</t>
  </si>
  <si>
    <t>1002010401013</t>
  </si>
  <si>
    <t>پنير پيتزا تاپينگ قالبي 2300 گرم صادراتي دوماس</t>
  </si>
  <si>
    <t>1002010501001</t>
  </si>
  <si>
    <t>پنير پيتزا 2000گرمي موزارلا آبي (بتاپك) دوماس(4)</t>
  </si>
  <si>
    <t>1002010501002</t>
  </si>
  <si>
    <t xml:space="preserve">پنير پيتزا 1000 گرمي پر چرب موزارلا رنده كيسه اي آبي دوماس </t>
  </si>
  <si>
    <t>كيسه</t>
  </si>
  <si>
    <t>1002020201002</t>
  </si>
  <si>
    <t>پنير پيتزا 500 گرمي پرچرب  موزارلا رنده كيسه اي آبي دوماس (6)</t>
  </si>
  <si>
    <t>1002020201003</t>
  </si>
  <si>
    <t>پنير پيتزا 1000گرمي موزارلا رنده كيسه اي دوماس ( 4 )</t>
  </si>
  <si>
    <t>1002020201006</t>
  </si>
  <si>
    <t>پنير پيتزا 180 گرمي تاپينگ رنده كيسه اي قرمز دوماس (24)</t>
  </si>
  <si>
    <t>1002030101001</t>
  </si>
  <si>
    <t>پنير ورقه اي 500 گرمي دوماس</t>
  </si>
  <si>
    <t>1003010101001</t>
  </si>
  <si>
    <t>دوغ ساده سنتي  1375 CC دوماس</t>
  </si>
  <si>
    <t>1003020101001</t>
  </si>
  <si>
    <t>دوغ آلوئه ورا 1375 CC دوماس</t>
  </si>
  <si>
    <t>1003020201001</t>
  </si>
  <si>
    <t>دوغ گياهان معطر 1375 CC دوماس</t>
  </si>
  <si>
    <t>1003020301001</t>
  </si>
  <si>
    <t>دوغ ليواني نعنا 250 گرمي</t>
  </si>
  <si>
    <t>1003020301002</t>
  </si>
  <si>
    <t>دوغ نعناع 1375 CC دوماس</t>
  </si>
  <si>
    <t>1003020301004</t>
  </si>
  <si>
    <t>دوغ نعناع 1375 CC تميس</t>
  </si>
  <si>
    <t>1003030101001</t>
  </si>
  <si>
    <t xml:space="preserve">دوغ نعناع 250 گرمي پت </t>
  </si>
  <si>
    <t>1003030101002</t>
  </si>
  <si>
    <t>دوغ هشت گياه بطري 250 CC  دوماس</t>
  </si>
  <si>
    <t>1005010101001</t>
  </si>
  <si>
    <t>كشك سطلي 10 كيلويي</t>
  </si>
  <si>
    <t>1005010201001</t>
  </si>
  <si>
    <t>كشك 380گرمي</t>
  </si>
  <si>
    <t>1006010101001</t>
  </si>
  <si>
    <t>ماست پرچرب قفقازي 500 گرمي</t>
  </si>
  <si>
    <t>1006010101002</t>
  </si>
  <si>
    <t>ماست پرچرب قفقازي آي ام ال  1500 گرمي</t>
  </si>
  <si>
    <t>1006010201001</t>
  </si>
  <si>
    <t>ماست موسير 90 گرمي</t>
  </si>
  <si>
    <t>1006010201002</t>
  </si>
  <si>
    <t>ماست موسير 240 گرمي</t>
  </si>
  <si>
    <t>1006010201003</t>
  </si>
  <si>
    <t>ماست موسير سطل 10 كيلويي</t>
  </si>
  <si>
    <t>1006010201004</t>
  </si>
  <si>
    <t>ماست موسير 220 گرمي صادراتي دوماس</t>
  </si>
  <si>
    <t>1006010301001</t>
  </si>
  <si>
    <t>ماست پرچرب همزده 500 گرمي</t>
  </si>
  <si>
    <t>1006010301002</t>
  </si>
  <si>
    <t>ماست پرچرب همزده 1500 گرمي</t>
  </si>
  <si>
    <t>1006010301003</t>
  </si>
  <si>
    <t>ماست پرچرب همزده 2000 گرمي</t>
  </si>
  <si>
    <t>1006010301005</t>
  </si>
  <si>
    <t>ماست پرچرب همزده 1750 گرمي دوماس</t>
  </si>
  <si>
    <t>1006010301006</t>
  </si>
  <si>
    <t>ماست همزده دبه 1750 گرمي تميس</t>
  </si>
  <si>
    <t>1006010301007</t>
  </si>
  <si>
    <t>ماست دبه اي كم چرب 1850 گرمي دوماس</t>
  </si>
  <si>
    <t>1006010301008</t>
  </si>
  <si>
    <t>ماست همزده 400 گرم دوماس</t>
  </si>
  <si>
    <t>1006010301009</t>
  </si>
  <si>
    <t>ماست پرچرب دبه 1750 گرمي دوماس</t>
  </si>
  <si>
    <t>1006010401001</t>
  </si>
  <si>
    <t>ماست پرچرب يوناني 500 گرمي</t>
  </si>
  <si>
    <t>1006010401002</t>
  </si>
  <si>
    <t>ماست پرچرب يوناني 1500 گرمي</t>
  </si>
  <si>
    <t>1006010501001</t>
  </si>
  <si>
    <t>ماست پرچرب 700 گرمي 3.1 درصد دوماس</t>
  </si>
  <si>
    <t>1006010501002</t>
  </si>
  <si>
    <t>ماست پرچرب 2000 گرمي 3/1 درصد دوماس</t>
  </si>
  <si>
    <t>1006010501004</t>
  </si>
  <si>
    <t>ماست سطلي 10 كيلويي پرچرب دوماس</t>
  </si>
  <si>
    <t>1006010501005</t>
  </si>
  <si>
    <t>ماست چكيده سطلي 10 كيلويي دوماس</t>
  </si>
  <si>
    <t>1006020101004</t>
  </si>
  <si>
    <t>ماست كم چرب 500 گرمي 1/4 درصد دوماس</t>
  </si>
  <si>
    <t>1006020101005</t>
  </si>
  <si>
    <t>ماست كم چرب 700 گرمي</t>
  </si>
  <si>
    <t>1006020101006</t>
  </si>
  <si>
    <t>ماست كم چرب 2000 گرمي 1/4 درصد دوماس</t>
  </si>
  <si>
    <t>1006020101009</t>
  </si>
  <si>
    <t>ماست كم چرب 1750 گرمي تميس</t>
  </si>
  <si>
    <t>1006020101010</t>
  </si>
  <si>
    <t xml:space="preserve">ماست دبه كم چرب 1750 گرمي دوماس </t>
  </si>
  <si>
    <t>1006020101011</t>
  </si>
  <si>
    <t>ماست كم چرب 400 گرم دوماس</t>
  </si>
  <si>
    <t>1007010101001</t>
  </si>
  <si>
    <t>خامه فله اي</t>
  </si>
  <si>
    <t>1008010101001</t>
  </si>
  <si>
    <t>آب پنير شيرين</t>
  </si>
  <si>
    <t>1008010101002</t>
  </si>
  <si>
    <t>آب پنير ترش</t>
  </si>
  <si>
    <t>2020010101002</t>
  </si>
  <si>
    <t>پنير اوليه (توليدي)</t>
  </si>
  <si>
    <t/>
  </si>
  <si>
    <t>کل ورودی به انباربه تفکیک محصولات(کیلوگرم)</t>
  </si>
  <si>
    <t>نوع</t>
  </si>
  <si>
    <t>Uf</t>
  </si>
  <si>
    <t>لیوانی نعنا(Kg)</t>
  </si>
  <si>
    <t>لاکتیک (Kg)</t>
  </si>
  <si>
    <t>داخلی</t>
  </si>
  <si>
    <t>صادرات</t>
  </si>
  <si>
    <t xml:space="preserve">اسکیم </t>
  </si>
  <si>
    <t>چربی2</t>
  </si>
  <si>
    <t>کل 1403</t>
  </si>
  <si>
    <t>تولید و ورود به انبار</t>
  </si>
  <si>
    <t>خالص ورود به انبار</t>
  </si>
  <si>
    <t>خالص تولید</t>
  </si>
  <si>
    <t xml:space="preserve">   </t>
  </si>
  <si>
    <t>همزده - موسیر - یونانی (کیلوگرم)</t>
  </si>
  <si>
    <t>ماست کم چرب (کیلوگرم)</t>
  </si>
  <si>
    <t>ماست پرچرب(کیلوگرم)</t>
  </si>
  <si>
    <t>قفقازی(کیلوگرم)</t>
  </si>
  <si>
    <t>دوغ نعنا(کیلوگرم)</t>
  </si>
  <si>
    <t>دوغ ساده(کیلوگرم)</t>
  </si>
  <si>
    <t>دوغ گیاهان معطر(کیلوگرم)</t>
  </si>
  <si>
    <t>دوغ آلوءورا (کیلوگرم)</t>
  </si>
  <si>
    <t>دوغ نعنا250(کیلوگرم)</t>
  </si>
  <si>
    <t>پنیر اولیه(کیلوگرم)</t>
  </si>
  <si>
    <t>پنیرخامه ای (کیلوگرم)</t>
  </si>
  <si>
    <t xml:space="preserve"> Uf(کیلوگرم)</t>
  </si>
  <si>
    <t>لیوانی نعنا(کیلوگرم)</t>
  </si>
  <si>
    <t>کشک(کیلوگرم)</t>
  </si>
  <si>
    <t>پنیر پروسس(کیلوگرم)</t>
  </si>
  <si>
    <t>بطری کوچک گیاهان معطر(کیلوگرم)</t>
  </si>
  <si>
    <t>پنیر لاکتیکی(کیلوگرم)</t>
  </si>
  <si>
    <t>ورود به انبار</t>
  </si>
  <si>
    <t>تولید</t>
  </si>
  <si>
    <t>درصد سهم هر محصول از کل</t>
  </si>
  <si>
    <t xml:space="preserve"> چربی</t>
  </si>
  <si>
    <t>دریافتی تفکیک ماه</t>
  </si>
  <si>
    <t>ضایعات</t>
  </si>
  <si>
    <t>تولید به تفکیک صادرات و داخلی</t>
  </si>
  <si>
    <t>دریافتی و مصرفی کل 1403</t>
  </si>
  <si>
    <t>دریافتی</t>
  </si>
  <si>
    <t>مصرفی</t>
  </si>
  <si>
    <t>درصد ضایعات</t>
  </si>
  <si>
    <t>چربی آ (%)</t>
  </si>
  <si>
    <t>چربی م (%)</t>
  </si>
  <si>
    <t>چربی آ</t>
  </si>
  <si>
    <t>چربی م</t>
  </si>
  <si>
    <t>اسکیم آ</t>
  </si>
  <si>
    <t>اسکیم م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</si>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</sst>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-_ ;_ * #,##0.00\-_ ;_ * &quot;-&quot;??_-_ ;_ @_ "/>
    <numFmt numFmtId="165" formatCode="0.0"/>
    <numFmt numFmtId="166" formatCode="_ * #,##0_-_ ;_ * #,##0\-_ ;_ * &quot;-&quot;??_-_ ;_ @_ "/>
  </numFmts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B Nazanin"/>
    </font>
    <font>
      <b/>
      <sz val="12"/>
      <color theme="1"/>
      <name val="B Nazanin"/>
    </font>
    <font>
      <sz val="11"/>
      <color theme="1"/>
      <name val="B Nazanin"/>
    </font>
    <font>
      <b/>
      <sz val="10"/>
      <color theme="1"/>
      <name val="B Nazanin"/>
    </font>
    <font>
      <sz val="11"/>
      <color theme="1"/>
      <name val="Aptos Narrow"/>
      <family val="2"/>
      <scheme val="minor"/>
    </font>
    <font>
      <b/>
      <sz val="14"/>
      <color theme="1"/>
      <name val="B Nazanin"/>
      <charset val="178"/>
    </font>
    <font>
      <b/>
      <sz val="8.25"/>
      <color indexed="8"/>
      <name val="Tahoma"/>
      <family val="2"/>
    </font>
    <font>
      <b/>
      <sz val="8.25"/>
      <color indexed="8"/>
      <name val="Tahoma"/>
      <family val="2"/>
      <charset val="178"/>
    </font>
    <font>
      <sz val="8.25"/>
      <color indexed="8"/>
      <name val="Tahoma"/>
      <family val="2"/>
    </font>
    <font>
      <sz val="11"/>
      <color rgb="FFFF0000"/>
      <name val="Aptos Narrow"/>
      <family val="2"/>
      <charset val="178"/>
      <scheme val="minor"/>
    </font>
    <font>
      <b/>
      <sz val="12"/>
      <color theme="1"/>
      <name val="B Nazanin"/>
      <charset val="178"/>
    </font>
    <font>
      <sz val="8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5F5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1" fontId="1" fillId="3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6" fontId="5" fillId="5" borderId="1" xfId="1" applyNumberFormat="1" applyFont="1" applyFill="1" applyBorder="1" applyAlignment="1">
      <alignment horizontal="center" vertical="center"/>
    </xf>
    <xf numFmtId="164" fontId="5" fillId="5" borderId="1" xfId="1" applyFont="1" applyFill="1" applyBorder="1" applyAlignment="1">
      <alignment horizontal="center" vertical="center"/>
    </xf>
    <xf numFmtId="166" fontId="1" fillId="4" borderId="1" xfId="1" applyNumberFormat="1" applyFont="1" applyFill="1" applyBorder="1" applyAlignment="1">
      <alignment horizontal="center" vertical="center"/>
    </xf>
    <xf numFmtId="166" fontId="1" fillId="2" borderId="1" xfId="1" applyNumberFormat="1" applyFont="1" applyFill="1" applyBorder="1" applyAlignment="1">
      <alignment horizontal="center" vertical="center"/>
    </xf>
    <xf numFmtId="166" fontId="5" fillId="5" borderId="7" xfId="1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8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4" fontId="10" fillId="0" borderId="1" xfId="0" applyNumberFormat="1" applyFont="1" applyBorder="1" applyAlignment="1">
      <alignment vertical="center"/>
    </xf>
    <xf numFmtId="3" fontId="9" fillId="0" borderId="1" xfId="0" applyNumberFormat="1" applyFont="1" applyBorder="1" applyAlignment="1">
      <alignment vertical="center"/>
    </xf>
    <xf numFmtId="3" fontId="11" fillId="0" borderId="0" xfId="0" applyNumberFormat="1" applyFont="1" applyAlignment="1">
      <alignment vertical="center"/>
    </xf>
    <xf numFmtId="0" fontId="1" fillId="0" borderId="8" xfId="0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vertical="center"/>
    </xf>
    <xf numFmtId="4" fontId="10" fillId="9" borderId="1" xfId="0" applyNumberFormat="1" applyFont="1" applyFill="1" applyBorder="1" applyAlignment="1">
      <alignment vertical="center"/>
    </xf>
    <xf numFmtId="3" fontId="9" fillId="9" borderId="1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1" fillId="0" borderId="8" xfId="0" applyFont="1" applyBorder="1" applyAlignment="1">
      <alignment vertical="center"/>
    </xf>
    <xf numFmtId="3" fontId="0" fillId="2" borderId="7" xfId="0" applyNumberFormat="1" applyFill="1" applyBorder="1" applyAlignment="1">
      <alignment vertical="center"/>
    </xf>
    <xf numFmtId="4" fontId="10" fillId="8" borderId="1" xfId="0" applyNumberFormat="1" applyFont="1" applyFill="1" applyBorder="1" applyAlignment="1">
      <alignment vertical="center"/>
    </xf>
    <xf numFmtId="3" fontId="9" fillId="8" borderId="1" xfId="0" applyNumberFormat="1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10" fillId="11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10" fillId="12" borderId="1" xfId="0" applyFont="1" applyFill="1" applyBorder="1" applyAlignment="1">
      <alignment vertical="center"/>
    </xf>
    <xf numFmtId="2" fontId="0" fillId="0" borderId="0" xfId="0" applyNumberFormat="1"/>
    <xf numFmtId="0" fontId="1" fillId="7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8" borderId="7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3" fontId="0" fillId="0" borderId="7" xfId="0" applyNumberFormat="1" applyBorder="1" applyAlignment="1">
      <alignment horizontal="left" vertical="center"/>
    </xf>
    <xf numFmtId="43" fontId="0" fillId="0" borderId="0" xfId="0" applyNumberFormat="1"/>
    <xf numFmtId="0" fontId="4" fillId="7" borderId="25" xfId="0" applyFont="1" applyFill="1" applyBorder="1"/>
    <xf numFmtId="0" fontId="4" fillId="7" borderId="26" xfId="0" applyFont="1" applyFill="1" applyBorder="1"/>
    <xf numFmtId="0" fontId="4" fillId="7" borderId="27" xfId="0" applyFont="1" applyFill="1" applyBorder="1"/>
    <xf numFmtId="166" fontId="5" fillId="5" borderId="43" xfId="1" applyNumberFormat="1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 wrapText="1"/>
    </xf>
    <xf numFmtId="0" fontId="1" fillId="4" borderId="40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 wrapText="1"/>
    </xf>
    <xf numFmtId="0" fontId="1" fillId="4" borderId="47" xfId="0" applyFont="1" applyFill="1" applyBorder="1" applyAlignment="1">
      <alignment horizontal="center" vertical="center" wrapText="1"/>
    </xf>
    <xf numFmtId="0" fontId="1" fillId="4" borderId="48" xfId="0" applyFont="1" applyFill="1" applyBorder="1" applyAlignment="1">
      <alignment horizontal="center" vertical="center"/>
    </xf>
    <xf numFmtId="165" fontId="1" fillId="4" borderId="49" xfId="0" applyNumberFormat="1" applyFont="1" applyFill="1" applyBorder="1" applyAlignment="1">
      <alignment horizontal="center" vertical="center"/>
    </xf>
    <xf numFmtId="1" fontId="1" fillId="4" borderId="48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3" fontId="0" fillId="0" borderId="0" xfId="0" applyNumberFormat="1"/>
    <xf numFmtId="1" fontId="0" fillId="0" borderId="0" xfId="0" applyNumberFormat="1"/>
    <xf numFmtId="2" fontId="1" fillId="4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165" fontId="1" fillId="8" borderId="1" xfId="0" applyNumberFormat="1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165" fontId="1" fillId="13" borderId="1" xfId="0" applyNumberFormat="1" applyFont="1" applyFill="1" applyBorder="1" applyAlignment="1">
      <alignment horizontal="center" vertical="center"/>
    </xf>
    <xf numFmtId="1" fontId="1" fillId="13" borderId="1" xfId="0" applyNumberFormat="1" applyFont="1" applyFill="1" applyBorder="1" applyAlignment="1">
      <alignment horizontal="center" vertical="center"/>
    </xf>
    <xf numFmtId="1" fontId="1" fillId="14" borderId="1" xfId="0" applyNumberFormat="1" applyFont="1" applyFill="1" applyBorder="1" applyAlignment="1">
      <alignment horizontal="center" vertical="center"/>
    </xf>
    <xf numFmtId="0" fontId="0" fillId="3" borderId="0" xfId="0" applyFill="1"/>
    <xf numFmtId="165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3" fontId="0" fillId="0" borderId="7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5" borderId="1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5" borderId="7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6" fontId="2" fillId="6" borderId="40" xfId="1" applyNumberFormat="1" applyFont="1" applyFill="1" applyBorder="1" applyAlignment="1">
      <alignment horizontal="center" vertical="center"/>
    </xf>
    <xf numFmtId="166" fontId="2" fillId="6" borderId="41" xfId="1" applyNumberFormat="1" applyFont="1" applyFill="1" applyBorder="1" applyAlignment="1">
      <alignment horizontal="center" vertical="center"/>
    </xf>
    <xf numFmtId="166" fontId="2" fillId="6" borderId="1" xfId="1" applyNumberFormat="1" applyFont="1" applyFill="1" applyBorder="1" applyAlignment="1">
      <alignment horizontal="center" vertical="center"/>
    </xf>
    <xf numFmtId="166" fontId="2" fillId="6" borderId="7" xfId="1" applyNumberFormat="1" applyFont="1" applyFill="1" applyBorder="1" applyAlignment="1">
      <alignment horizontal="center" vertical="center"/>
    </xf>
    <xf numFmtId="166" fontId="2" fillId="6" borderId="4" xfId="1" applyNumberFormat="1" applyFont="1" applyFill="1" applyBorder="1" applyAlignment="1">
      <alignment horizontal="center" vertical="center"/>
    </xf>
    <xf numFmtId="166" fontId="2" fillId="6" borderId="10" xfId="1" applyNumberFormat="1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1" fontId="5" fillId="7" borderId="16" xfId="0" applyNumberFormat="1" applyFont="1" applyFill="1" applyBorder="1" applyAlignment="1">
      <alignment horizontal="center" vertical="center"/>
    </xf>
    <xf numFmtId="1" fontId="5" fillId="7" borderId="45" xfId="0" applyNumberFormat="1" applyFont="1" applyFill="1" applyBorder="1" applyAlignment="1">
      <alignment horizontal="center" vertical="center"/>
    </xf>
    <xf numFmtId="1" fontId="5" fillId="7" borderId="17" xfId="0" applyNumberFormat="1" applyFont="1" applyFill="1" applyBorder="1" applyAlignment="1">
      <alignment horizontal="center" vertical="center"/>
    </xf>
    <xf numFmtId="1" fontId="5" fillId="7" borderId="18" xfId="0" applyNumberFormat="1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" fontId="4" fillId="7" borderId="29" xfId="0" applyNumberFormat="1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66" fontId="4" fillId="5" borderId="31" xfId="1" applyNumberFormat="1" applyFont="1" applyFill="1" applyBorder="1" applyAlignment="1">
      <alignment horizontal="center" vertical="center"/>
    </xf>
    <xf numFmtId="166" fontId="4" fillId="5" borderId="0" xfId="1" applyNumberFormat="1" applyFont="1" applyFill="1" applyBorder="1" applyAlignment="1">
      <alignment horizontal="center" vertical="center"/>
    </xf>
    <xf numFmtId="166" fontId="4" fillId="5" borderId="36" xfId="1" applyNumberFormat="1" applyFont="1" applyFill="1" applyBorder="1" applyAlignment="1">
      <alignment horizontal="center" vertical="center"/>
    </xf>
    <xf numFmtId="166" fontId="4" fillId="5" borderId="34" xfId="1" applyNumberFormat="1" applyFont="1" applyFill="1" applyBorder="1" applyAlignment="1">
      <alignment horizontal="center" vertical="center"/>
    </xf>
    <xf numFmtId="166" fontId="5" fillId="5" borderId="1" xfId="1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3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" fontId="4" fillId="3" borderId="7" xfId="0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166" fontId="4" fillId="5" borderId="10" xfId="1" applyNumberFormat="1" applyFont="1" applyFill="1" applyBorder="1" applyAlignment="1">
      <alignment horizontal="center" vertical="center"/>
    </xf>
    <xf numFmtId="166" fontId="4" fillId="5" borderId="9" xfId="1" applyNumberFormat="1" applyFont="1" applyFill="1" applyBorder="1" applyAlignment="1">
      <alignment horizontal="center" vertical="center"/>
    </xf>
    <xf numFmtId="166" fontId="4" fillId="5" borderId="11" xfId="1" applyNumberFormat="1" applyFont="1" applyFill="1" applyBorder="1" applyAlignment="1">
      <alignment horizontal="center" vertical="center"/>
    </xf>
    <xf numFmtId="166" fontId="4" fillId="5" borderId="32" xfId="1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0" fontId="7" fillId="5" borderId="33" xfId="0" applyFont="1" applyFill="1" applyBorder="1" applyAlignment="1">
      <alignment horizontal="center" vertical="center" wrapText="1"/>
    </xf>
    <xf numFmtId="0" fontId="7" fillId="5" borderId="34" xfId="0" applyFont="1" applyFill="1" applyBorder="1" applyAlignment="1">
      <alignment horizontal="center" vertical="center" wrapText="1"/>
    </xf>
    <xf numFmtId="0" fontId="7" fillId="5" borderId="35" xfId="0" applyFont="1" applyFill="1" applyBorder="1" applyAlignment="1">
      <alignment horizontal="center" vertical="center" wrapText="1"/>
    </xf>
    <xf numFmtId="0" fontId="4" fillId="7" borderId="38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شیردریافتی و درصد چربی</a:t>
            </a:r>
            <a:endParaRPr lang="en-US"/>
          </a:p>
        </c:rich>
      </c:tx>
      <c:layout>
        <c:manualLayout>
          <c:xMode val="edge"/>
          <c:yMode val="edge"/>
          <c:x val="0.3262847769028871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شیر دریافتی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'داده تولید سال 1403'!$A$2:$A$13</c:f>
              <c:strCache>
                <c:ptCount val="12"/>
                <c:pt idx="0">
                  <c:v>فروردین </c:v>
                </c:pt>
                <c:pt idx="1">
                  <c:v>اردیبهشت </c:v>
                </c:pt>
                <c:pt idx="2">
                  <c:v>خرداد</c:v>
                </c:pt>
                <c:pt idx="3">
                  <c:v>تیر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'داده تولید سال 1403'!$B$2:$B$13</c:f>
              <c:numCache>
                <c:formatCode>0</c:formatCode>
                <c:ptCount val="12"/>
                <c:pt idx="0">
                  <c:v>366740</c:v>
                </c:pt>
                <c:pt idx="1">
                  <c:v>383290</c:v>
                </c:pt>
                <c:pt idx="2">
                  <c:v>768290</c:v>
                </c:pt>
                <c:pt idx="3">
                  <c:v>259850</c:v>
                </c:pt>
                <c:pt idx="4">
                  <c:v>197670</c:v>
                </c:pt>
                <c:pt idx="5">
                  <c:v>285070</c:v>
                </c:pt>
                <c:pt idx="6">
                  <c:v>318080</c:v>
                </c:pt>
                <c:pt idx="7">
                  <c:v>381880</c:v>
                </c:pt>
                <c:pt idx="8">
                  <c:v>400850</c:v>
                </c:pt>
                <c:pt idx="9">
                  <c:v>540370</c:v>
                </c:pt>
                <c:pt idx="10">
                  <c:v>523760</c:v>
                </c:pt>
                <c:pt idx="11">
                  <c:v>490880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1-423D-9A29-79E4538B9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358111"/>
        <c:axId val="1575357151"/>
      </c:barChart>
      <c:lineChart>
        <c:grouping val="standard"/>
        <c:varyColors val="0"/>
        <c:ser>
          <c:idx val="1"/>
          <c:order val="1"/>
          <c:tx>
            <c:v>درصد چربی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'داده تولید سال 1403'!$A$2:$A$13</c:f>
              <c:strCache>
                <c:ptCount val="12"/>
                <c:pt idx="0">
                  <c:v>فروردین </c:v>
                </c:pt>
                <c:pt idx="1">
                  <c:v>اردیبهشت </c:v>
                </c:pt>
                <c:pt idx="2">
                  <c:v>خرداد</c:v>
                </c:pt>
                <c:pt idx="3">
                  <c:v>تیر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'داده تولید سال 1403'!$C$2:$C$13</c:f>
              <c:numCache>
                <c:formatCode>0.0</c:formatCode>
                <c:ptCount val="12"/>
                <c:pt idx="0">
                  <c:v>3.6676446528876041</c:v>
                </c:pt>
                <c:pt idx="1">
                  <c:v>3.560069399149469</c:v>
                </c:pt>
                <c:pt idx="2">
                  <c:v>3.6477750253494365</c:v>
                </c:pt>
                <c:pt idx="3">
                  <c:v>3.5570406003463542</c:v>
                </c:pt>
                <c:pt idx="4">
                  <c:v>3.5408509131380583</c:v>
                </c:pt>
                <c:pt idx="5">
                  <c:v>3.601022555863473</c:v>
                </c:pt>
                <c:pt idx="6">
                  <c:v>3.815360915492958</c:v>
                </c:pt>
                <c:pt idx="7">
                  <c:v>3.8229731852938098</c:v>
                </c:pt>
                <c:pt idx="8">
                  <c:v>3.8494149931395785</c:v>
                </c:pt>
                <c:pt idx="9">
                  <c:v>3.9482225142032306</c:v>
                </c:pt>
                <c:pt idx="10">
                  <c:v>3.9671815335268055</c:v>
                </c:pt>
                <c:pt idx="11">
                  <c:v>3.9024608865710562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1-423D-9A29-79E4538B9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362431"/>
        <c:axId val="1575358591"/>
      </c:lineChart>
      <c:catAx>
        <c:axId val="157535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57151"/>
        <c:crosses val="autoZero"/>
        <c:auto val="1"/>
        <c:lblAlgn val="ctr"/>
        <c:lblOffset val="100"/>
        <c:noMultiLvlLbl val="0"/>
      </c:catAx>
      <c:valAx>
        <c:axId val="15753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58111"/>
        <c:crosses val="autoZero"/>
        <c:crossBetween val="between"/>
      </c:valAx>
      <c:valAx>
        <c:axId val="1575358591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62431"/>
        <c:crosses val="max"/>
        <c:crossBetween val="between"/>
      </c:valAx>
      <c:catAx>
        <c:axId val="1575362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5358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اسکیم</c:v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'داده تولید سال 1403'!$A$2:$A$13</c:f>
              <c:strCache>
                <c:ptCount val="12"/>
                <c:pt idx="0">
                  <c:v>فروردین </c:v>
                </c:pt>
                <c:pt idx="1">
                  <c:v>اردیبهشت </c:v>
                </c:pt>
                <c:pt idx="2">
                  <c:v>خرداد</c:v>
                </c:pt>
                <c:pt idx="3">
                  <c:v>تیر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'داده تولید سال 1403'!$H$2:$H$13</c:f>
              <c:numCache>
                <c:formatCode>0</c:formatCode>
                <c:ptCount val="12"/>
                <c:pt idx="0">
                  <c:v>353245.74</c:v>
                </c:pt>
                <c:pt idx="1">
                  <c:v>369803.13</c:v>
                </c:pt>
                <c:pt idx="2">
                  <c:v>740302.62</c:v>
                </c:pt>
                <c:pt idx="3">
                  <c:v>250785.05</c:v>
                </c:pt>
                <c:pt idx="4">
                  <c:v>190804.69</c:v>
                </c:pt>
                <c:pt idx="5">
                  <c:v>274804.565</c:v>
                </c:pt>
                <c:pt idx="6">
                  <c:v>305944.09999999998</c:v>
                </c:pt>
                <c:pt idx="7">
                  <c:v>367280.83</c:v>
                </c:pt>
                <c:pt idx="8">
                  <c:v>385419.62</c:v>
                </c:pt>
                <c:pt idx="9">
                  <c:v>519034.99</c:v>
                </c:pt>
                <c:pt idx="10">
                  <c:v>502981.49</c:v>
                </c:pt>
                <c:pt idx="11">
                  <c:v>471674.36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2-4C1E-8335-F5259404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355711"/>
        <c:axId val="1575370591"/>
      </c:lineChart>
      <c:lineChart>
        <c:grouping val="standard"/>
        <c:varyColors val="0"/>
        <c:ser>
          <c:idx val="0"/>
          <c:order val="0"/>
          <c:tx>
            <c:v>درصد چربی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'داده تولید سال 1403'!$A$2:$A$13</c:f>
              <c:strCache>
                <c:ptCount val="12"/>
                <c:pt idx="0">
                  <c:v>فروردین </c:v>
                </c:pt>
                <c:pt idx="1">
                  <c:v>اردیبهشت </c:v>
                </c:pt>
                <c:pt idx="2">
                  <c:v>خرداد</c:v>
                </c:pt>
                <c:pt idx="3">
                  <c:v>تیر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'داده تولید سال 1403'!$C$2:$C$13</c:f>
              <c:numCache>
                <c:formatCode>0.0</c:formatCode>
                <c:ptCount val="12"/>
                <c:pt idx="0">
                  <c:v>3.6676446528876041</c:v>
                </c:pt>
                <c:pt idx="1">
                  <c:v>3.560069399149469</c:v>
                </c:pt>
                <c:pt idx="2">
                  <c:v>3.6477750253494365</c:v>
                </c:pt>
                <c:pt idx="3">
                  <c:v>3.5570406003463542</c:v>
                </c:pt>
                <c:pt idx="4">
                  <c:v>3.5408509131380583</c:v>
                </c:pt>
                <c:pt idx="5">
                  <c:v>3.601022555863473</c:v>
                </c:pt>
                <c:pt idx="6">
                  <c:v>3.815360915492958</c:v>
                </c:pt>
                <c:pt idx="7">
                  <c:v>3.8229731852938098</c:v>
                </c:pt>
                <c:pt idx="8">
                  <c:v>3.8494149931395785</c:v>
                </c:pt>
                <c:pt idx="9">
                  <c:v>3.9482225142032306</c:v>
                </c:pt>
                <c:pt idx="10">
                  <c:v>3.9671815335268055</c:v>
                </c:pt>
                <c:pt idx="11">
                  <c:v>3.9024608865710562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2-4C1E-8335-F5259404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360511"/>
        <c:axId val="1575375871"/>
      </c:lineChart>
      <c:catAx>
        <c:axId val="15753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70591"/>
        <c:crosses val="autoZero"/>
        <c:auto val="1"/>
        <c:lblAlgn val="ctr"/>
        <c:lblOffset val="100"/>
        <c:noMultiLvlLbl val="0"/>
      </c:catAx>
      <c:valAx>
        <c:axId val="157537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55711"/>
        <c:crosses val="autoZero"/>
        <c:crossBetween val="between"/>
      </c:valAx>
      <c:valAx>
        <c:axId val="1575375871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60511"/>
        <c:crosses val="max"/>
        <c:crossBetween val="between"/>
      </c:valAx>
      <c:catAx>
        <c:axId val="1575360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5375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'داده تولید سال 1403'!$A$2:$A$13</c:f>
              <c:strCache>
                <c:ptCount val="12"/>
                <c:pt idx="0">
                  <c:v>فروردین </c:v>
                </c:pt>
                <c:pt idx="1">
                  <c:v>اردیبهشت </c:v>
                </c:pt>
                <c:pt idx="2">
                  <c:v>خرداد</c:v>
                </c:pt>
                <c:pt idx="3">
                  <c:v>تیر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'داده تولید سال 1403'!$F$2:$F$13</c:f>
              <c:numCache>
                <c:formatCode>0</c:formatCode>
                <c:ptCount val="12"/>
                <c:pt idx="0">
                  <c:v>13494.259999999998</c:v>
                </c:pt>
                <c:pt idx="1">
                  <c:v>13486.869999999999</c:v>
                </c:pt>
                <c:pt idx="2">
                  <c:v>27987.379999999997</c:v>
                </c:pt>
                <c:pt idx="3">
                  <c:v>9064.9500000000007</c:v>
                </c:pt>
                <c:pt idx="4">
                  <c:v>6865.3099999999995</c:v>
                </c:pt>
                <c:pt idx="5">
                  <c:v>10265.435000000001</c:v>
                </c:pt>
                <c:pt idx="6">
                  <c:v>12135.900000000001</c:v>
                </c:pt>
                <c:pt idx="7">
                  <c:v>14599.170000000002</c:v>
                </c:pt>
                <c:pt idx="8">
                  <c:v>15430.380000000001</c:v>
                </c:pt>
                <c:pt idx="9">
                  <c:v>21335.01</c:v>
                </c:pt>
                <c:pt idx="10">
                  <c:v>20778.509999999998</c:v>
                </c:pt>
                <c:pt idx="11">
                  <c:v>19205.64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7-4A75-8982-968D2572F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692015"/>
        <c:axId val="176267809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'داده تولید سال 1403'!$A$2:$A$13</c:f>
              <c:strCache>
                <c:ptCount val="12"/>
                <c:pt idx="0">
                  <c:v>فروردین </c:v>
                </c:pt>
                <c:pt idx="1">
                  <c:v>اردیبهشت </c:v>
                </c:pt>
                <c:pt idx="2">
                  <c:v>خرداد</c:v>
                </c:pt>
                <c:pt idx="3">
                  <c:v>تیر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'داده تولید سال 1403'!$C$2:$C$13</c:f>
              <c:numCache>
                <c:formatCode>0.0</c:formatCode>
                <c:ptCount val="12"/>
                <c:pt idx="0">
                  <c:v>3.6676446528876041</c:v>
                </c:pt>
                <c:pt idx="1">
                  <c:v>3.560069399149469</c:v>
                </c:pt>
                <c:pt idx="2">
                  <c:v>3.6477750253494365</c:v>
                </c:pt>
                <c:pt idx="3">
                  <c:v>3.5570406003463542</c:v>
                </c:pt>
                <c:pt idx="4">
                  <c:v>3.5408509131380583</c:v>
                </c:pt>
                <c:pt idx="5">
                  <c:v>3.601022555863473</c:v>
                </c:pt>
                <c:pt idx="6">
                  <c:v>3.815360915492958</c:v>
                </c:pt>
                <c:pt idx="7">
                  <c:v>3.8229731852938098</c:v>
                </c:pt>
                <c:pt idx="8">
                  <c:v>3.8494149931395785</c:v>
                </c:pt>
                <c:pt idx="9">
                  <c:v>3.9482225142032306</c:v>
                </c:pt>
                <c:pt idx="10">
                  <c:v>3.9671815335268055</c:v>
                </c:pt>
                <c:pt idx="11">
                  <c:v>3.9024608865710562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7-4A75-8982-968D2572F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641615"/>
        <c:axId val="1762641135"/>
      </c:lineChart>
      <c:catAx>
        <c:axId val="176269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78095"/>
        <c:crosses val="autoZero"/>
        <c:auto val="1"/>
        <c:lblAlgn val="ctr"/>
        <c:lblOffset val="100"/>
        <c:noMultiLvlLbl val="0"/>
      </c:catAx>
      <c:valAx>
        <c:axId val="176267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92015"/>
        <c:crosses val="autoZero"/>
        <c:crossBetween val="between"/>
      </c:valAx>
      <c:valAx>
        <c:axId val="1762641135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41615"/>
        <c:crosses val="max"/>
        <c:crossBetween val="between"/>
      </c:valAx>
      <c:catAx>
        <c:axId val="1762641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2641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شیر دریافتی و اسکیم و چربی</a:t>
            </a:r>
            <a:endParaRPr lang="en-US"/>
          </a:p>
        </c:rich>
      </c:tx>
      <c:layout>
        <c:manualLayout>
          <c:xMode val="edge"/>
          <c:yMode val="edge"/>
          <c:x val="0.43964566929133858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شیر دریافتی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'داده تولید سال 1403'!$A$2:$A$13</c:f>
              <c:strCache>
                <c:ptCount val="12"/>
                <c:pt idx="0">
                  <c:v>فروردین </c:v>
                </c:pt>
                <c:pt idx="1">
                  <c:v>اردیبهشت </c:v>
                </c:pt>
                <c:pt idx="2">
                  <c:v>خرداد</c:v>
                </c:pt>
                <c:pt idx="3">
                  <c:v>تیر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'داده تولید سال 1403'!$B$2:$B$13</c:f>
              <c:numCache>
                <c:formatCode>0</c:formatCode>
                <c:ptCount val="12"/>
                <c:pt idx="0">
                  <c:v>366740</c:v>
                </c:pt>
                <c:pt idx="1">
                  <c:v>383290</c:v>
                </c:pt>
                <c:pt idx="2">
                  <c:v>768290</c:v>
                </c:pt>
                <c:pt idx="3">
                  <c:v>259850</c:v>
                </c:pt>
                <c:pt idx="4">
                  <c:v>197670</c:v>
                </c:pt>
                <c:pt idx="5">
                  <c:v>285070</c:v>
                </c:pt>
                <c:pt idx="6">
                  <c:v>318080</c:v>
                </c:pt>
                <c:pt idx="7">
                  <c:v>381880</c:v>
                </c:pt>
                <c:pt idx="8">
                  <c:v>400850</c:v>
                </c:pt>
                <c:pt idx="9">
                  <c:v>540370</c:v>
                </c:pt>
                <c:pt idx="10">
                  <c:v>523760</c:v>
                </c:pt>
                <c:pt idx="11">
                  <c:v>490880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D-4DAE-90D1-9228CD39B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356671"/>
        <c:axId val="1575368191"/>
      </c:barChart>
      <c:scatterChart>
        <c:scatterStyle val="smoothMarker"/>
        <c:varyColors val="0"/>
        <c:ser>
          <c:idx val="2"/>
          <c:order val="2"/>
          <c:tx>
            <c:v>اسکیم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'داده تولید سال 1403'!$A$2:$A$13</c:f>
              <c:strCache>
                <c:ptCount val="12"/>
                <c:pt idx="0">
                  <c:v>فروردین </c:v>
                </c:pt>
                <c:pt idx="1">
                  <c:v>اردیبهشت </c:v>
                </c:pt>
                <c:pt idx="2">
                  <c:v>خرداد</c:v>
                </c:pt>
                <c:pt idx="3">
                  <c:v>تیر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xVal>
          <c:yVal>
            <c:numRef>
              <c:f>'داده تولید سال 1403'!$H$2:$H$13</c:f>
              <c:numCache>
                <c:formatCode>0</c:formatCode>
                <c:ptCount val="12"/>
                <c:pt idx="0">
                  <c:v>353245.74</c:v>
                </c:pt>
                <c:pt idx="1">
                  <c:v>369803.13</c:v>
                </c:pt>
                <c:pt idx="2">
                  <c:v>740302.62</c:v>
                </c:pt>
                <c:pt idx="3">
                  <c:v>250785.05</c:v>
                </c:pt>
                <c:pt idx="4">
                  <c:v>190804.69</c:v>
                </c:pt>
                <c:pt idx="5">
                  <c:v>274804.565</c:v>
                </c:pt>
                <c:pt idx="6">
                  <c:v>305944.09999999998</c:v>
                </c:pt>
                <c:pt idx="7">
                  <c:v>367280.83</c:v>
                </c:pt>
                <c:pt idx="8">
                  <c:v>385419.62</c:v>
                </c:pt>
                <c:pt idx="9">
                  <c:v>519034.99</c:v>
                </c:pt>
                <c:pt idx="10">
                  <c:v>502981.49</c:v>
                </c:pt>
                <c:pt idx="11">
                  <c:v>471674.36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5D-4DAE-90D1-9228CD39B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356671"/>
        <c:axId val="1575368191"/>
      </c:scatterChart>
      <c:scatterChart>
        <c:scatterStyle val="smoothMarker"/>
        <c:varyColors val="0"/>
        <c:ser>
          <c:idx val="1"/>
          <c:order val="1"/>
          <c:tx>
            <c:v>چربی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'داده تولید سال 1403'!$A$2:$A$13</c:f>
              <c:strCache>
                <c:ptCount val="12"/>
                <c:pt idx="0">
                  <c:v>فروردین </c:v>
                </c:pt>
                <c:pt idx="1">
                  <c:v>اردیبهشت </c:v>
                </c:pt>
                <c:pt idx="2">
                  <c:v>خرداد</c:v>
                </c:pt>
                <c:pt idx="3">
                  <c:v>تیر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xVal>
          <c:yVal>
            <c:numRef>
              <c:f>'داده تولید سال 1403'!$F$2:$F$13</c:f>
              <c:numCache>
                <c:formatCode>0</c:formatCode>
                <c:ptCount val="12"/>
                <c:pt idx="0">
                  <c:v>13494.259999999998</c:v>
                </c:pt>
                <c:pt idx="1">
                  <c:v>13486.869999999999</c:v>
                </c:pt>
                <c:pt idx="2">
                  <c:v>27987.379999999997</c:v>
                </c:pt>
                <c:pt idx="3">
                  <c:v>9064.9500000000007</c:v>
                </c:pt>
                <c:pt idx="4">
                  <c:v>6865.3099999999995</c:v>
                </c:pt>
                <c:pt idx="5">
                  <c:v>10265.435000000001</c:v>
                </c:pt>
                <c:pt idx="6">
                  <c:v>12135.900000000001</c:v>
                </c:pt>
                <c:pt idx="7">
                  <c:v>14599.170000000002</c:v>
                </c:pt>
                <c:pt idx="8">
                  <c:v>15430.380000000001</c:v>
                </c:pt>
                <c:pt idx="9">
                  <c:v>21335.01</c:v>
                </c:pt>
                <c:pt idx="10">
                  <c:v>20778.509999999998</c:v>
                </c:pt>
                <c:pt idx="11">
                  <c:v>19205.64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D-4DAE-90D1-9228CD39B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359551"/>
        <c:axId val="1575379711"/>
      </c:scatterChart>
      <c:catAx>
        <c:axId val="157535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68191"/>
        <c:crosses val="autoZero"/>
        <c:auto val="1"/>
        <c:lblAlgn val="ctr"/>
        <c:lblOffset val="100"/>
        <c:noMultiLvlLbl val="0"/>
      </c:catAx>
      <c:valAx>
        <c:axId val="15753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56671"/>
        <c:crosses val="autoZero"/>
        <c:crossBetween val="between"/>
      </c:valAx>
      <c:valAx>
        <c:axId val="1575379711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59551"/>
        <c:crosses val="max"/>
        <c:crossBetween val="midCat"/>
      </c:valAx>
      <c:valAx>
        <c:axId val="1575359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537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روند تولید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محاسبات!$A$3:$A$14</c:f>
              <c:strCache>
                <c:ptCount val="12"/>
                <c:pt idx="0">
                  <c:v>فروردین </c:v>
                </c:pt>
                <c:pt idx="1">
                  <c:v>اردیبهشت</c:v>
                </c:pt>
                <c:pt idx="2">
                  <c:v>خرداد</c:v>
                </c:pt>
                <c:pt idx="3">
                  <c:v>تیر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محاسبات!$B$3:$B$14</c:f>
              <c:numCache>
                <c:formatCode>General</c:formatCode>
                <c:ptCount val="12"/>
                <c:pt idx="0">
                  <c:v>224600</c:v>
                </c:pt>
                <c:pt idx="1">
                  <c:v>270920</c:v>
                </c:pt>
                <c:pt idx="2">
                  <c:v>394200</c:v>
                </c:pt>
                <c:pt idx="3">
                  <c:v>133350</c:v>
                </c:pt>
                <c:pt idx="4">
                  <c:v>135510</c:v>
                </c:pt>
                <c:pt idx="5">
                  <c:v>195330</c:v>
                </c:pt>
                <c:pt idx="6">
                  <c:v>242850</c:v>
                </c:pt>
                <c:pt idx="7">
                  <c:v>308140</c:v>
                </c:pt>
                <c:pt idx="8">
                  <c:v>319750</c:v>
                </c:pt>
                <c:pt idx="9">
                  <c:v>428750</c:v>
                </c:pt>
                <c:pt idx="10">
                  <c:v>111100</c:v>
                </c:pt>
                <c:pt idx="11">
                  <c:v>83950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5-44C5-98EE-8D8A41256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451856"/>
        <c:axId val="1826462896"/>
      </c:lineChart>
      <c:catAx>
        <c:axId val="18264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62896"/>
        <c:crosses val="autoZero"/>
        <c:auto val="1"/>
        <c:lblAlgn val="ctr"/>
        <c:lblOffset val="100"/>
        <c:noMultiLvlLbl val="0"/>
      </c:catAx>
      <c:valAx>
        <c:axId val="18264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5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روند تولید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محاسبات!$A$17:$A$28</c:f>
              <c:strCache>
                <c:ptCount val="12"/>
                <c:pt idx="0">
                  <c:v>فروردین </c:v>
                </c:pt>
                <c:pt idx="1">
                  <c:v>اردیبهشت</c:v>
                </c:pt>
                <c:pt idx="2">
                  <c:v>خرداد</c:v>
                </c:pt>
                <c:pt idx="3">
                  <c:v>تیر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محاسبات!$B$17:$B$28</c:f>
              <c:numCache>
                <c:formatCode>General</c:formatCode>
                <c:ptCount val="12"/>
                <c:pt idx="0">
                  <c:v>366740</c:v>
                </c:pt>
                <c:pt idx="1">
                  <c:v>383290</c:v>
                </c:pt>
                <c:pt idx="2">
                  <c:v>768290</c:v>
                </c:pt>
                <c:pt idx="3">
                  <c:v>259850</c:v>
                </c:pt>
                <c:pt idx="4">
                  <c:v>197670</c:v>
                </c:pt>
                <c:pt idx="5">
                  <c:v>285070</c:v>
                </c:pt>
                <c:pt idx="6">
                  <c:v>318080</c:v>
                </c:pt>
                <c:pt idx="7">
                  <c:v>381880</c:v>
                </c:pt>
                <c:pt idx="8">
                  <c:v>400850</c:v>
                </c:pt>
                <c:pt idx="9">
                  <c:v>540370</c:v>
                </c:pt>
                <c:pt idx="10">
                  <c:v>523760</c:v>
                </c:pt>
                <c:pt idx="11">
                  <c:v>490880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9-485A-99BA-208D90A71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039696"/>
        <c:axId val="1525038736"/>
      </c:lineChart>
      <c:catAx>
        <c:axId val="152503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38736"/>
        <c:crosses val="autoZero"/>
        <c:auto val="1"/>
        <c:lblAlgn val="ctr"/>
        <c:lblOffset val="100"/>
        <c:noMultiLvlLbl val="0"/>
      </c:catAx>
      <c:valAx>
        <c:axId val="15250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3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69-4436-8D84-AD53EDC34B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69-4436-8D84-AD53EDC34B2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A469-4436-8D84-AD53EDC34B2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469-4436-8D84-AD53EDC34B2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کل</c:v>
              </c:pt>
            </c:strLit>
          </c:cat>
          <c:val>
            <c:numRef>
              <c:f>محاسبات!$F$1:$F$2</c:f>
              <c:numCache>
                <c:formatCode>General</c:formatCode>
                <c:ptCount val="2"/>
                <c:pt idx="0">
                  <c:v>2848450</c:v>
                </c:pt>
                <c:pt idx="1">
                  <c:v>5152575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9-4436-8D84-AD53EDC34B21}"/>
            </c:ext>
          </c:extLst>
        </c:ser>
        <c:ser>
          <c:idx val="1"/>
          <c:order val="1"/>
          <c:tx>
            <c:v>محصول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469-4436-8D84-AD53EDC34B2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469-4436-8D84-AD53EDC34B2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کل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A469-4436-8D84-AD53EDC34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50511142067364"/>
          <c:y val="0.16429143654557291"/>
          <c:w val="0.75298977715865278"/>
          <c:h val="0.47535588478700391"/>
        </c:manualLayout>
      </c:layout>
      <c:pie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8-45EF-9879-C11024CD67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6C8-45EF-9879-C11024CD67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8-45EF-9879-C11024CD675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F12B633-78C6-40B3-AE76-E5BD558EEF91}" type="CELLRANGE">
                      <a:rPr lang="fa-IR">
                        <a:solidFill>
                          <a:schemeClr val="tx1"/>
                        </a:solidFill>
                      </a:rPr>
                      <a:pPr/>
                      <a:t>[CELLRANGE]</a:t>
                    </a:fld>
                    <a:r>
                      <a:rPr lang="fa-IR" baseline="0">
                        <a:solidFill>
                          <a:schemeClr val="tx1"/>
                        </a:solidFill>
                      </a:rPr>
                      <a:t>
</a:t>
                    </a:r>
                    <a:fld id="{59E98D59-4318-4E95-B707-6CBBB06E8D02}" type="PERCENTAGE">
                      <a:rPr lang="fa-IR" baseline="0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fa-IR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6C8-45EF-9879-C11024CD6758}"/>
                </c:ext>
              </c:extLst>
            </c:dLbl>
            <c:dLbl>
              <c:idx val="1"/>
              <c:layout>
                <c:manualLayout>
                  <c:x val="-0.1405218722659668"/>
                  <c:y val="-1.3252770487022456E-2"/>
                </c:manualLayout>
              </c:layout>
              <c:tx>
                <c:rich>
                  <a:bodyPr/>
                  <a:lstStyle/>
                  <a:p>
                    <a:r>
                      <a:rPr lang="fa-IR">
                        <a:solidFill>
                          <a:schemeClr val="tx1"/>
                        </a:solidFill>
                      </a:rPr>
                      <a:t>ضایعات</a:t>
                    </a:r>
                    <a:r>
                      <a:rPr lang="fa-IR" baseline="0"/>
                      <a:t>
</a:t>
                    </a:r>
                    <a:fld id="{69CB0B56-FAA8-40B3-BE40-9D2029BAF415}" type="PERCENTAGE">
                      <a:rPr lang="fa-IR" baseline="0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fa-IR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C8-45EF-9879-C11024CD67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داشبورد!$V$26:$V$28</c:f>
              <c:numCache>
                <c:formatCode>0</c:formatCode>
                <c:ptCount val="3"/>
                <c:pt idx="0">
                  <c:v>166348.397</c:v>
                </c:pt>
                <c:pt idx="1">
                  <c:v>12834.393000000011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محاسبات!$Y$11:$AA$11</c15:f>
                <c15:dlblRangeCache>
                  <c:ptCount val="3"/>
                  <c:pt idx="0">
                    <c:v>مصرفی</c:v>
                  </c:pt>
                  <c:pt idx="1">
                    <c:v>دریافتی</c:v>
                  </c:pt>
                  <c:pt idx="2">
                    <c:v>ضایعات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6C8-45EF-9879-C11024CD675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شیر دریافتی و اسکیم و چربی</a:t>
            </a:r>
            <a:endParaRPr lang="en-US"/>
          </a:p>
        </c:rich>
      </c:tx>
      <c:layout>
        <c:manualLayout>
          <c:xMode val="edge"/>
          <c:yMode val="edge"/>
          <c:x val="0.43964566929133858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شیر دریافتی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'داده تولید سال 1403'!$A$2:$A$13</c:f>
              <c:strCache>
                <c:ptCount val="12"/>
                <c:pt idx="0">
                  <c:v>فروردین </c:v>
                </c:pt>
                <c:pt idx="1">
                  <c:v>اردیبهشت </c:v>
                </c:pt>
                <c:pt idx="2">
                  <c:v>خرداد</c:v>
                </c:pt>
                <c:pt idx="3">
                  <c:v>تیر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'داده تولید سال 1403'!$B$2:$B$13</c:f>
              <c:numCache>
                <c:formatCode>0</c:formatCode>
                <c:ptCount val="12"/>
                <c:pt idx="0">
                  <c:v>366740</c:v>
                </c:pt>
                <c:pt idx="1">
                  <c:v>383290</c:v>
                </c:pt>
                <c:pt idx="2">
                  <c:v>768290</c:v>
                </c:pt>
                <c:pt idx="3">
                  <c:v>259850</c:v>
                </c:pt>
                <c:pt idx="4">
                  <c:v>197670</c:v>
                </c:pt>
                <c:pt idx="5">
                  <c:v>285070</c:v>
                </c:pt>
                <c:pt idx="6">
                  <c:v>318080</c:v>
                </c:pt>
                <c:pt idx="7">
                  <c:v>381880</c:v>
                </c:pt>
                <c:pt idx="8">
                  <c:v>400850</c:v>
                </c:pt>
                <c:pt idx="9">
                  <c:v>540370</c:v>
                </c:pt>
                <c:pt idx="10">
                  <c:v>523760</c:v>
                </c:pt>
                <c:pt idx="11">
                  <c:v>490880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6-4E18-9C66-71E0C5CB0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356671"/>
        <c:axId val="1575368191"/>
      </c:barChart>
      <c:scatterChart>
        <c:scatterStyle val="smoothMarker"/>
        <c:varyColors val="0"/>
        <c:ser>
          <c:idx val="2"/>
          <c:order val="2"/>
          <c:tx>
            <c:v>اسکیم</c:v>
          </c:tx>
          <c:spPr>
            <a:ln w="28575" cap="rnd">
              <a:solidFill>
                <a:srgbClr val="196B24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none"/>
          </c:marker>
          <c:xVal>
            <c:strRef>
              <c:f>'داده تولید سال 1403'!$A$2:$A$13</c:f>
              <c:strCache>
                <c:ptCount val="12"/>
                <c:pt idx="0">
                  <c:v>فروردین </c:v>
                </c:pt>
                <c:pt idx="1">
                  <c:v>اردیبهشت </c:v>
                </c:pt>
                <c:pt idx="2">
                  <c:v>خرداد</c:v>
                </c:pt>
                <c:pt idx="3">
                  <c:v>تیر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xVal>
          <c:yVal>
            <c:numRef>
              <c:f>'داده تولید سال 1403'!$H$2:$H$13</c:f>
              <c:numCache>
                <c:formatCode>0</c:formatCode>
                <c:ptCount val="12"/>
                <c:pt idx="0">
                  <c:v>353245.74</c:v>
                </c:pt>
                <c:pt idx="1">
                  <c:v>369803.13</c:v>
                </c:pt>
                <c:pt idx="2">
                  <c:v>740302.62</c:v>
                </c:pt>
                <c:pt idx="3">
                  <c:v>250785.05</c:v>
                </c:pt>
                <c:pt idx="4">
                  <c:v>190804.69</c:v>
                </c:pt>
                <c:pt idx="5">
                  <c:v>274804.565</c:v>
                </c:pt>
                <c:pt idx="6">
                  <c:v>305944.09999999998</c:v>
                </c:pt>
                <c:pt idx="7">
                  <c:v>367280.83</c:v>
                </c:pt>
                <c:pt idx="8">
                  <c:v>385419.62</c:v>
                </c:pt>
                <c:pt idx="9">
                  <c:v>519034.99</c:v>
                </c:pt>
                <c:pt idx="10">
                  <c:v>502981.49</c:v>
                </c:pt>
                <c:pt idx="11">
                  <c:v>471674.36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F6-4E18-9C66-71E0C5CB0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356671"/>
        <c:axId val="1575368191"/>
      </c:scatterChart>
      <c:scatterChart>
        <c:scatterStyle val="smoothMarker"/>
        <c:varyColors val="0"/>
        <c:ser>
          <c:idx val="1"/>
          <c:order val="1"/>
          <c:tx>
            <c:v>چربی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'داده تولید سال 1403'!$A$2:$A$13</c:f>
              <c:strCache>
                <c:ptCount val="12"/>
                <c:pt idx="0">
                  <c:v>فروردین </c:v>
                </c:pt>
                <c:pt idx="1">
                  <c:v>اردیبهشت </c:v>
                </c:pt>
                <c:pt idx="2">
                  <c:v>خرداد</c:v>
                </c:pt>
                <c:pt idx="3">
                  <c:v>تیر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xVal>
          <c:yVal>
            <c:numRef>
              <c:f>'داده تولید سال 1403'!$F$2:$F$13</c:f>
              <c:numCache>
                <c:formatCode>0</c:formatCode>
                <c:ptCount val="12"/>
                <c:pt idx="0">
                  <c:v>13494.259999999998</c:v>
                </c:pt>
                <c:pt idx="1">
                  <c:v>13486.869999999999</c:v>
                </c:pt>
                <c:pt idx="2">
                  <c:v>27987.379999999997</c:v>
                </c:pt>
                <c:pt idx="3">
                  <c:v>9064.9500000000007</c:v>
                </c:pt>
                <c:pt idx="4">
                  <c:v>6865.3099999999995</c:v>
                </c:pt>
                <c:pt idx="5">
                  <c:v>10265.435000000001</c:v>
                </c:pt>
                <c:pt idx="6">
                  <c:v>12135.900000000001</c:v>
                </c:pt>
                <c:pt idx="7">
                  <c:v>14599.170000000002</c:v>
                </c:pt>
                <c:pt idx="8">
                  <c:v>15430.380000000001</c:v>
                </c:pt>
                <c:pt idx="9">
                  <c:v>21335.01</c:v>
                </c:pt>
                <c:pt idx="10">
                  <c:v>20778.509999999998</c:v>
                </c:pt>
                <c:pt idx="11">
                  <c:v>19205.64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F6-4E18-9C66-71E0C5CB0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359551"/>
        <c:axId val="1575379711"/>
      </c:scatterChart>
      <c:catAx>
        <c:axId val="157535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68191"/>
        <c:crosses val="autoZero"/>
        <c:auto val="1"/>
        <c:lblAlgn val="ctr"/>
        <c:lblOffset val="100"/>
        <c:noMultiLvlLbl val="0"/>
      </c:catAx>
      <c:valAx>
        <c:axId val="15753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56671"/>
        <c:crosses val="autoZero"/>
        <c:crossBetween val="between"/>
      </c:valAx>
      <c:valAx>
        <c:axId val="1575379711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59551"/>
        <c:crosses val="max"/>
        <c:crossBetween val="midCat"/>
      </c:valAx>
      <c:valAx>
        <c:axId val="1575359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537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23812</xdr:rowOff>
    </xdr:from>
    <xdr:to>
      <xdr:col>9</xdr:col>
      <xdr:colOff>285750</xdr:colOff>
      <xdr:row>45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5A8C28-67B5-C526-A786-660549728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15</xdr:row>
      <xdr:rowOff>100012</xdr:rowOff>
    </xdr:from>
    <xdr:to>
      <xdr:col>15</xdr:col>
      <xdr:colOff>695325</xdr:colOff>
      <xdr:row>29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734080-9A2D-7430-58F5-8D2CA69F6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352425</xdr:colOff>
      <xdr:row>31</xdr:row>
      <xdr:rowOff>33337</xdr:rowOff>
    </xdr:from>
    <xdr:to>
      <xdr:col>15</xdr:col>
      <xdr:colOff>638175</xdr:colOff>
      <xdr:row>45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835D2E-C7DF-6400-5694-C1493D2CF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90487</xdr:rowOff>
    </xdr:from>
    <xdr:to>
      <xdr:col>9</xdr:col>
      <xdr:colOff>285750</xdr:colOff>
      <xdr:row>29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29438B-EB32-6EAD-BFC8-3DD22602F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7938</xdr:rowOff>
    </xdr:from>
    <xdr:to>
      <xdr:col>10</xdr:col>
      <xdr:colOff>476250</xdr:colOff>
      <xdr:row>29</xdr:row>
      <xdr:rowOff>55563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FB4968-D7B3-4457-9797-89BA0F5A5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7938</xdr:rowOff>
    </xdr:from>
    <xdr:to>
      <xdr:col>4</xdr:col>
      <xdr:colOff>505557</xdr:colOff>
      <xdr:row>29</xdr:row>
      <xdr:rowOff>55562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F667CB-B73C-4ABD-8A53-284C41A89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54952</xdr:colOff>
      <xdr:row>17</xdr:row>
      <xdr:rowOff>15876</xdr:rowOff>
    </xdr:from>
    <xdr:to>
      <xdr:col>17</xdr:col>
      <xdr:colOff>515939</xdr:colOff>
      <xdr:row>29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1B013-4C95-4812-A8B8-362F8412B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15874</xdr:colOff>
      <xdr:row>30</xdr:row>
      <xdr:rowOff>23814</xdr:rowOff>
    </xdr:from>
    <xdr:to>
      <xdr:col>21</xdr:col>
      <xdr:colOff>1083469</xdr:colOff>
      <xdr:row>49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614B8-9163-9590-10F1-D0E58855B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7936</xdr:rowOff>
    </xdr:from>
    <xdr:to>
      <xdr:col>17</xdr:col>
      <xdr:colOff>508000</xdr:colOff>
      <xdr:row>49</xdr:row>
      <xdr:rowOff>134937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C76DDC-B9B7-4C9C-AF8A-1E85CFC63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0.34593</cdr:x>
      <cdr:y>0.27143</cdr:y>
    </cdr:from>
    <cdr:to>
      <cdr:x>0.65407</cdr:x>
      <cdr:y>0.72857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B0FA09-70CA-7B64-2155-D49D4721E437}"/>
            </a:ext>
          </a:extLst>
        </cdr:cNvPr>
        <cdr:cNvSpPr txBox="1"/>
      </cdr:nvSpPr>
      <cdr:spPr>
        <a:xfrm xmlns:a="http://schemas.openxmlformats.org/drawingml/2006/main">
          <a:off x="1026502" y="542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0.6</cdr:x>
      <cdr:y>0.35165</cdr:y>
    </cdr:from>
    <cdr:to>
      <cdr:x>0.73086</cdr:x>
      <cdr:y>0.45788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E4A7713-FF4D-2FBF-CF9A-4EFEE22D3781}"/>
            </a:ext>
          </a:extLst>
        </cdr:cNvPr>
        <cdr:cNvSpPr txBox="1"/>
      </cdr:nvSpPr>
      <cdr:spPr>
        <a:xfrm xmlns:a="http://schemas.openxmlformats.org/drawingml/2006/main" flipH="1">
          <a:off x="1780442" y="703386"/>
          <a:ext cx="388327" cy="212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0.54568</cdr:x>
      <cdr:y>0.03297</cdr:y>
    </cdr:from>
    <cdr:to>
      <cdr:x>0.63704</cdr:x>
      <cdr:y>0.10256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85B07F1-5718-21CF-B91E-42A93A6FE685}"/>
            </a:ext>
          </a:extLst>
        </cdr:cNvPr>
        <cdr:cNvSpPr txBox="1"/>
      </cdr:nvSpPr>
      <cdr:spPr>
        <a:xfrm xmlns:a="http://schemas.openxmlformats.org/drawingml/2006/main">
          <a:off x="1619250" y="65943"/>
          <a:ext cx="271096" cy="1392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0.74732</cdr:x>
      <cdr:y>0.73929</cdr:y>
    </cdr:from>
    <cdr:to>
      <cdr:x>0.95472</cdr:x>
      <cdr:y>0.83085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2297004-AF7D-3AD3-A059-3BE0184CE219}"/>
            </a:ext>
          </a:extLst>
        </cdr:cNvPr>
        <cdr:cNvSpPr txBox="1"/>
      </cdr:nvSpPr>
      <cdr:spPr>
        <a:xfrm xmlns:a="http://schemas.openxmlformats.org/drawingml/2006/main">
          <a:off x="2218958" y="1701742"/>
          <a:ext cx="615820" cy="21078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a-IR" sz="900" b="1" kern="1200">
              <a:solidFill>
                <a:schemeClr val="accent1"/>
              </a:solidFill>
            </a:rPr>
            <a:t>محصول</a:t>
          </a:r>
          <a:endParaRPr lang="en-US" sz="900" b="1" kern="12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0.81151</cdr:x>
      <cdr:y>0.84551</cdr:y>
    </cdr:from>
    <cdr:to>
      <cdr:x>0.95225</cdr:x>
      <cdr:y>0.9554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A9E43E29-EE8F-8D15-6B26-A78455ADC5B6}"/>
            </a:ext>
          </a:extLst>
        </cdr:cNvPr>
        <cdr:cNvSpPr txBox="1"/>
      </cdr:nvSpPr>
      <cdr:spPr>
        <a:xfrm xmlns:a="http://schemas.openxmlformats.org/drawingml/2006/main">
          <a:off x="2409554" y="1946269"/>
          <a:ext cx="417890" cy="252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a-IR" sz="1000" b="1" kern="1200">
              <a:solidFill>
                <a:schemeClr val="accent2"/>
              </a:solidFill>
            </a:rPr>
            <a:t>  کل</a:t>
          </a:r>
          <a:endParaRPr lang="en-US" sz="1000" b="1" kern="12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0.89877</cdr:x>
      <cdr:y>0.87912</cdr:y>
    </cdr:from>
    <cdr:to>
      <cdr:x>0.92839</cdr:x>
      <cdr:y>0.92308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38390C15-EEED-516A-FBAC-8126E5F6CEAC}"/>
            </a:ext>
          </a:extLst>
        </cdr:cNvPr>
        <cdr:cNvSpPr txBox="1"/>
      </cdr:nvSpPr>
      <cdr:spPr>
        <a:xfrm xmlns:a="http://schemas.openxmlformats.org/drawingml/2006/main">
          <a:off x="2667000" y="1758463"/>
          <a:ext cx="87923" cy="8792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0.90123</cdr:x>
      <cdr:y>0.76923</cdr:y>
    </cdr:from>
    <cdr:to>
      <cdr:x>0.93086</cdr:x>
      <cdr:y>0.81319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6FE89C23-9D28-D7B4-5C15-FCAAA0D5D76E}"/>
            </a:ext>
          </a:extLst>
        </cdr:cNvPr>
        <cdr:cNvSpPr txBox="1"/>
      </cdr:nvSpPr>
      <cdr:spPr>
        <a:xfrm xmlns:a="http://schemas.openxmlformats.org/drawingml/2006/main">
          <a:off x="2674327" y="1538656"/>
          <a:ext cx="87923" cy="8792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0.55633</cdr:x>
      <cdr:y>0.66234</cdr:y>
    </cdr:from>
    <cdr:to>
      <cdr:x>0.80589</cdr:x>
      <cdr:y>0.7316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541CDF-8FCA-F400-A3F1-85863B20529F}"/>
            </a:ext>
          </a:extLst>
        </cdr:cNvPr>
        <cdr:cNvSpPr txBox="1"/>
      </cdr:nvSpPr>
      <cdr:spPr>
        <a:xfrm xmlns:a="http://schemas.openxmlformats.org/drawingml/2006/main">
          <a:off x="1273969" y="2428875"/>
          <a:ext cx="571499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a-IR" sz="1100" kern="1200"/>
            <a:t>مصرفی</a:t>
          </a:r>
          <a:endParaRPr lang="en-US" sz="1100" kern="1200"/>
        </a:p>
      </cdr:txBody>
    </cdr:sp>
  </cdr:relSizeAnchor>
  <cdr:relSizeAnchor xmlns:cdr="http://schemas.openxmlformats.org/drawingml/2006/chartDrawing">
    <cdr:from>
      <cdr:x>0.56672</cdr:x>
      <cdr:y>0.73896</cdr:y>
    </cdr:from>
    <cdr:to>
      <cdr:x>0.80901</cdr:x>
      <cdr:y>0.80822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DE7593E-F632-8B08-ACDA-9AD1B9731339}"/>
            </a:ext>
          </a:extLst>
        </cdr:cNvPr>
        <cdr:cNvSpPr txBox="1"/>
      </cdr:nvSpPr>
      <cdr:spPr>
        <a:xfrm xmlns:a="http://schemas.openxmlformats.org/drawingml/2006/main">
          <a:off x="1297781" y="2709862"/>
          <a:ext cx="55483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a-IR" sz="1100" kern="1200"/>
            <a:t>ضایعات</a:t>
          </a:r>
          <a:endParaRPr lang="en-US" sz="1100" kern="1200"/>
        </a:p>
      </cdr:txBody>
    </cdr:sp>
  </cdr:relSizeAnchor>
  <cdr:relSizeAnchor xmlns:cdr="http://schemas.openxmlformats.org/drawingml/2006/chartDrawing">
    <cdr:from>
      <cdr:x>0.55251</cdr:x>
      <cdr:y>0.80823</cdr:y>
    </cdr:from>
    <cdr:to>
      <cdr:x>0.80208</cdr:x>
      <cdr:y>0.87749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FDE7593E-F632-8B08-ACDA-9AD1B9731339}"/>
            </a:ext>
          </a:extLst>
        </cdr:cNvPr>
        <cdr:cNvSpPr txBox="1"/>
      </cdr:nvSpPr>
      <cdr:spPr>
        <a:xfrm xmlns:a="http://schemas.openxmlformats.org/drawingml/2006/main">
          <a:off x="1265238" y="2963863"/>
          <a:ext cx="571499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0.79549</cdr:x>
      <cdr:y>0.67316</cdr:y>
    </cdr:from>
    <cdr:to>
      <cdr:x>0.83709</cdr:x>
      <cdr:y>0.69264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C2D30ED-395A-93C0-0F5B-C785E731D10F}"/>
            </a:ext>
          </a:extLst>
        </cdr:cNvPr>
        <cdr:cNvSpPr txBox="1"/>
      </cdr:nvSpPr>
      <cdr:spPr>
        <a:xfrm xmlns:a="http://schemas.openxmlformats.org/drawingml/2006/main">
          <a:off x="1821656" y="2468562"/>
          <a:ext cx="95250" cy="714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0.79168</cdr:x>
      <cdr:y>0.75628</cdr:y>
    </cdr:from>
    <cdr:to>
      <cdr:x>0.84367</cdr:x>
      <cdr:y>0.78658</cdr:y>
    </cdr:to>
    <cdr:sp macro="" textlink="">
      <cdr:nvSpPr>
        <cdr:cNvPr id="11" name="TextBox 3">
          <a:extLst xmlns:a="http://schemas.openxmlformats.org/drawingml/2006/main">
            <a:ext uri="{FF2B5EF4-FFF2-40B4-BE49-F238E27FC236}">
              <a16:creationId xmlns:a16="http://schemas.microsoft.com/office/drawing/2014/main" id="{A33DBFA0-6005-18CA-AE79-00DBEAEA67A6}"/>
            </a:ext>
          </a:extLst>
        </cdr:cNvPr>
        <cdr:cNvSpPr txBox="1"/>
      </cdr:nvSpPr>
      <cdr:spPr>
        <a:xfrm xmlns:a="http://schemas.openxmlformats.org/drawingml/2006/main">
          <a:off x="1812925" y="2773362"/>
          <a:ext cx="119062" cy="11112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75000"/>
          </a:schemeClr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1"/>
          <a:endParaRPr lang="en-US" sz="1100"/>
        </a:p>
      </cdr:txBody>
    </cdr:sp>
  </cdr:relSizeAnchor>
  <cdr:relSizeAnchor xmlns:cdr="http://schemas.openxmlformats.org/drawingml/2006/chartDrawing">
    <cdr:from>
      <cdr:x>0.79168</cdr:x>
      <cdr:y>0.68485</cdr:y>
    </cdr:from>
    <cdr:to>
      <cdr:x>0.84367</cdr:x>
      <cdr:y>0.71515</cdr:y>
    </cdr:to>
    <cdr:sp macro="" textlink="">
      <cdr:nvSpPr>
        <cdr:cNvPr id="12" name="TextBox 3">
          <a:extLst xmlns:a="http://schemas.openxmlformats.org/drawingml/2006/main">
            <a:ext uri="{FF2B5EF4-FFF2-40B4-BE49-F238E27FC236}">
              <a16:creationId xmlns:a16="http://schemas.microsoft.com/office/drawing/2014/main" id="{FC3B9E64-B59A-4935-5F1A-5179CC0CC0A5}"/>
            </a:ext>
          </a:extLst>
        </cdr:cNvPr>
        <cdr:cNvSpPr txBox="1"/>
      </cdr:nvSpPr>
      <cdr:spPr>
        <a:xfrm xmlns:a="http://schemas.openxmlformats.org/drawingml/2006/main">
          <a:off x="1812925" y="2511425"/>
          <a:ext cx="119062" cy="11112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50000"/>
          </a:schemeClr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1"/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ublic%20Share\&#1608;&#1575;&#1581;&#1583;%20&#1578;&#1608;&#1604;&#1740;&#1583;\bahiraei.mo\Statistics\&#1570;&#1605;&#1575;&#1585;%20&#1578;&#1608;&#1604;&#1740;&#1583;%20&#1587;&#1575;&#1604;%201403\&#1570;&#1605;&#1575;&#1585;%20&#1587;&#1575;&#1604;%201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فروردین"/>
      <sheetName val="اردیبهشت"/>
      <sheetName val="خرداد"/>
      <sheetName val="تیر"/>
      <sheetName val="مرداد"/>
      <sheetName val="شهریور"/>
      <sheetName val="مهر"/>
      <sheetName val="آبان"/>
      <sheetName val="آذر"/>
      <sheetName val="دی"/>
      <sheetName val="بهمن"/>
      <sheetName val="اسفند"/>
      <sheetName val="سالانه"/>
      <sheetName val="Sheet1"/>
    </sheetNames>
    <sheetDataSet>
      <sheetData sheetId="0">
        <row r="29">
          <cell r="B29">
            <v>366740</v>
          </cell>
          <cell r="C29">
            <v>3.6676446528876041</v>
          </cell>
          <cell r="F29">
            <v>4410</v>
          </cell>
          <cell r="G29">
            <v>1000</v>
          </cell>
          <cell r="H29">
            <v>7980</v>
          </cell>
          <cell r="I29">
            <v>24995</v>
          </cell>
          <cell r="J29">
            <v>4970</v>
          </cell>
          <cell r="K29">
            <v>224600</v>
          </cell>
          <cell r="L29">
            <v>3835</v>
          </cell>
          <cell r="M29">
            <v>24590</v>
          </cell>
          <cell r="N29">
            <v>5960</v>
          </cell>
          <cell r="O29">
            <v>1900</v>
          </cell>
          <cell r="P29">
            <v>930</v>
          </cell>
          <cell r="Q29">
            <v>2500</v>
          </cell>
          <cell r="R29">
            <v>20000</v>
          </cell>
          <cell r="S29">
            <v>61590</v>
          </cell>
          <cell r="T29">
            <v>2100</v>
          </cell>
          <cell r="U29">
            <v>182420</v>
          </cell>
          <cell r="V29">
            <v>3520</v>
          </cell>
          <cell r="W29">
            <v>740</v>
          </cell>
          <cell r="X29">
            <v>26530</v>
          </cell>
        </row>
      </sheetData>
      <sheetData sheetId="1">
        <row r="33">
          <cell r="B33">
            <v>383290</v>
          </cell>
          <cell r="C33">
            <v>3.560069399149469</v>
          </cell>
          <cell r="F33">
            <v>5560</v>
          </cell>
          <cell r="G33">
            <v>1000</v>
          </cell>
          <cell r="H33">
            <v>9440</v>
          </cell>
          <cell r="I33">
            <v>4900</v>
          </cell>
          <cell r="J33">
            <v>9435</v>
          </cell>
          <cell r="K33">
            <v>270920</v>
          </cell>
          <cell r="L33">
            <v>1330</v>
          </cell>
          <cell r="M33">
            <v>5235</v>
          </cell>
          <cell r="N33">
            <v>2950</v>
          </cell>
          <cell r="O33">
            <v>8810</v>
          </cell>
          <cell r="P33">
            <v>1000</v>
          </cell>
          <cell r="Q33">
            <v>2300</v>
          </cell>
          <cell r="R33">
            <v>13120</v>
          </cell>
          <cell r="S33">
            <v>28400</v>
          </cell>
          <cell r="T33">
            <v>4820</v>
          </cell>
          <cell r="U33">
            <v>250310</v>
          </cell>
          <cell r="V33">
            <v>0</v>
          </cell>
          <cell r="W33">
            <v>0</v>
          </cell>
          <cell r="X33">
            <v>7050</v>
          </cell>
          <cell r="Y33">
            <v>250</v>
          </cell>
        </row>
      </sheetData>
      <sheetData sheetId="2">
        <row r="41">
          <cell r="B41">
            <v>779110</v>
          </cell>
          <cell r="C41">
            <v>3.6477750253494365</v>
          </cell>
          <cell r="F41">
            <v>6480</v>
          </cell>
          <cell r="G41">
            <v>2400</v>
          </cell>
          <cell r="H41">
            <v>9400</v>
          </cell>
          <cell r="I41">
            <v>21550</v>
          </cell>
          <cell r="J41">
            <v>14680</v>
          </cell>
          <cell r="K41">
            <v>394200</v>
          </cell>
          <cell r="L41">
            <v>3830</v>
          </cell>
          <cell r="M41">
            <v>12160</v>
          </cell>
          <cell r="N41">
            <v>8340</v>
          </cell>
          <cell r="O41">
            <v>9100</v>
          </cell>
          <cell r="P41">
            <v>0</v>
          </cell>
          <cell r="Q41">
            <v>2200</v>
          </cell>
          <cell r="R41">
            <v>42710</v>
          </cell>
          <cell r="S41">
            <v>185370</v>
          </cell>
          <cell r="T41">
            <v>3450</v>
          </cell>
          <cell r="U41">
            <v>389690</v>
          </cell>
          <cell r="V41">
            <v>4220</v>
          </cell>
          <cell r="W41">
            <v>1140</v>
          </cell>
          <cell r="X41">
            <v>12050</v>
          </cell>
          <cell r="Y41">
            <v>1300</v>
          </cell>
          <cell r="Z41">
            <v>50</v>
          </cell>
          <cell r="AA41">
            <v>2290</v>
          </cell>
        </row>
      </sheetData>
      <sheetData sheetId="3">
        <row r="36">
          <cell r="B36">
            <v>259850</v>
          </cell>
          <cell r="C36">
            <v>3.5570406003463542</v>
          </cell>
          <cell r="F36">
            <v>2850</v>
          </cell>
          <cell r="G36">
            <v>1000</v>
          </cell>
          <cell r="H36">
            <v>4900</v>
          </cell>
          <cell r="I36">
            <v>22330</v>
          </cell>
          <cell r="J36">
            <v>2480</v>
          </cell>
          <cell r="K36">
            <v>133350</v>
          </cell>
          <cell r="L36">
            <v>1600</v>
          </cell>
          <cell r="M36">
            <v>24410</v>
          </cell>
          <cell r="N36">
            <v>4300</v>
          </cell>
          <cell r="O36">
            <v>5400</v>
          </cell>
          <cell r="P36">
            <v>0</v>
          </cell>
          <cell r="Q36">
            <v>0</v>
          </cell>
          <cell r="R36">
            <v>17500</v>
          </cell>
          <cell r="S36">
            <v>114000</v>
          </cell>
          <cell r="T36">
            <v>1200</v>
          </cell>
          <cell r="U36">
            <v>139060</v>
          </cell>
          <cell r="V36">
            <v>4600</v>
          </cell>
          <cell r="W36">
            <v>940</v>
          </cell>
          <cell r="X36">
            <v>230</v>
          </cell>
          <cell r="Y36">
            <v>5250</v>
          </cell>
          <cell r="AC36">
            <v>17000</v>
          </cell>
        </row>
      </sheetData>
      <sheetData sheetId="4">
        <row r="33">
          <cell r="B33">
            <v>197670</v>
          </cell>
          <cell r="C33">
            <v>3.5408509131380583</v>
          </cell>
          <cell r="F33">
            <v>2970</v>
          </cell>
          <cell r="G33">
            <v>0</v>
          </cell>
          <cell r="H33">
            <v>8150</v>
          </cell>
          <cell r="I33">
            <v>7000</v>
          </cell>
          <cell r="J33">
            <v>7310</v>
          </cell>
          <cell r="K33">
            <v>135510</v>
          </cell>
          <cell r="L33">
            <v>1500</v>
          </cell>
          <cell r="M33">
            <v>7450</v>
          </cell>
          <cell r="N33">
            <v>5070</v>
          </cell>
          <cell r="O33">
            <v>2500</v>
          </cell>
          <cell r="P33">
            <v>2000</v>
          </cell>
          <cell r="Q33">
            <v>10000</v>
          </cell>
          <cell r="R33">
            <v>8660</v>
          </cell>
          <cell r="S33">
            <v>0</v>
          </cell>
          <cell r="T33">
            <v>0</v>
          </cell>
          <cell r="U33">
            <v>19030</v>
          </cell>
          <cell r="V33">
            <v>5070</v>
          </cell>
          <cell r="W33">
            <v>880</v>
          </cell>
          <cell r="Y33">
            <v>6000</v>
          </cell>
          <cell r="Z33">
            <v>1300</v>
          </cell>
          <cell r="AA33">
            <v>310</v>
          </cell>
          <cell r="AC33">
            <v>11000</v>
          </cell>
        </row>
      </sheetData>
      <sheetData sheetId="5">
        <row r="33">
          <cell r="B33">
            <v>285070</v>
          </cell>
          <cell r="C33">
            <v>3.601022555863473</v>
          </cell>
          <cell r="F33">
            <v>4050</v>
          </cell>
          <cell r="G33">
            <v>0</v>
          </cell>
          <cell r="H33">
            <v>4750</v>
          </cell>
          <cell r="I33">
            <v>5050</v>
          </cell>
          <cell r="J33">
            <v>9650</v>
          </cell>
          <cell r="K33">
            <v>195330</v>
          </cell>
          <cell r="L33">
            <v>1800</v>
          </cell>
          <cell r="M33">
            <v>17000</v>
          </cell>
          <cell r="N33">
            <v>2500</v>
          </cell>
          <cell r="O33">
            <v>2500</v>
          </cell>
          <cell r="P33">
            <v>0</v>
          </cell>
          <cell r="Q33">
            <v>0</v>
          </cell>
          <cell r="R33">
            <v>12540</v>
          </cell>
          <cell r="S33">
            <v>0</v>
          </cell>
          <cell r="T33">
            <v>0</v>
          </cell>
          <cell r="U33">
            <v>0</v>
          </cell>
          <cell r="V33">
            <v>8660</v>
          </cell>
          <cell r="W33">
            <v>1790</v>
          </cell>
          <cell r="Y33">
            <v>9000</v>
          </cell>
          <cell r="AA33">
            <v>125</v>
          </cell>
        </row>
      </sheetData>
      <sheetData sheetId="6">
        <row r="33">
          <cell r="B33">
            <v>318080</v>
          </cell>
          <cell r="C33">
            <v>3.815360915492958</v>
          </cell>
          <cell r="F33">
            <v>7520</v>
          </cell>
          <cell r="G33">
            <v>300</v>
          </cell>
          <cell r="H33">
            <v>6550</v>
          </cell>
          <cell r="I33">
            <v>14050</v>
          </cell>
          <cell r="J33">
            <v>5780</v>
          </cell>
          <cell r="K33">
            <v>242850</v>
          </cell>
          <cell r="L33">
            <v>0</v>
          </cell>
          <cell r="M33">
            <v>10350</v>
          </cell>
          <cell r="N33">
            <v>3020</v>
          </cell>
          <cell r="O33">
            <v>3075</v>
          </cell>
          <cell r="P33">
            <v>0</v>
          </cell>
          <cell r="Q33">
            <v>5650</v>
          </cell>
          <cell r="R33">
            <v>15870</v>
          </cell>
          <cell r="S33">
            <v>0</v>
          </cell>
          <cell r="T33">
            <v>2150</v>
          </cell>
          <cell r="U33">
            <v>95790</v>
          </cell>
          <cell r="V33">
            <v>10970</v>
          </cell>
          <cell r="W33">
            <v>1670</v>
          </cell>
          <cell r="Y33">
            <v>11550</v>
          </cell>
          <cell r="AC33">
            <v>18100</v>
          </cell>
        </row>
      </sheetData>
      <sheetData sheetId="7">
        <row r="35">
          <cell r="B35">
            <v>381880</v>
          </cell>
          <cell r="C35">
            <v>3.8229731852938098</v>
          </cell>
          <cell r="F35">
            <v>8904</v>
          </cell>
          <cell r="G35">
            <v>300</v>
          </cell>
          <cell r="H35">
            <v>9900</v>
          </cell>
          <cell r="I35">
            <v>7200</v>
          </cell>
          <cell r="J35">
            <v>3850</v>
          </cell>
          <cell r="K35">
            <v>308140</v>
          </cell>
          <cell r="L35">
            <v>1000</v>
          </cell>
          <cell r="M35">
            <v>2000</v>
          </cell>
          <cell r="N35">
            <v>1530</v>
          </cell>
          <cell r="O35">
            <v>1580</v>
          </cell>
          <cell r="P35">
            <v>1000</v>
          </cell>
          <cell r="Q35">
            <v>13000</v>
          </cell>
          <cell r="R35">
            <v>25220</v>
          </cell>
          <cell r="S35">
            <v>0</v>
          </cell>
          <cell r="T35">
            <v>3450</v>
          </cell>
          <cell r="U35">
            <v>131140</v>
          </cell>
          <cell r="V35">
            <v>10040</v>
          </cell>
          <cell r="W35">
            <v>1580</v>
          </cell>
          <cell r="Z35">
            <v>1000</v>
          </cell>
          <cell r="AA35">
            <v>50</v>
          </cell>
          <cell r="AC35">
            <v>9400</v>
          </cell>
        </row>
      </sheetData>
      <sheetData sheetId="8">
        <row r="36">
          <cell r="B36">
            <v>400850</v>
          </cell>
          <cell r="C36">
            <v>3.8494149931395785</v>
          </cell>
          <cell r="F36">
            <v>8824</v>
          </cell>
          <cell r="G36">
            <v>0</v>
          </cell>
          <cell r="H36">
            <v>10800</v>
          </cell>
          <cell r="I36">
            <v>15900</v>
          </cell>
          <cell r="J36">
            <v>6080</v>
          </cell>
          <cell r="K36">
            <v>319750</v>
          </cell>
          <cell r="L36">
            <v>1000</v>
          </cell>
          <cell r="M36">
            <v>3700</v>
          </cell>
          <cell r="N36">
            <v>5080</v>
          </cell>
          <cell r="O36">
            <v>6450</v>
          </cell>
          <cell r="P36">
            <v>800</v>
          </cell>
          <cell r="Q36">
            <v>7700</v>
          </cell>
          <cell r="R36">
            <v>23970</v>
          </cell>
          <cell r="S36">
            <v>0</v>
          </cell>
          <cell r="T36">
            <v>11900</v>
          </cell>
          <cell r="U36">
            <v>363030</v>
          </cell>
          <cell r="V36">
            <v>10740</v>
          </cell>
          <cell r="W36">
            <v>1640</v>
          </cell>
          <cell r="Y36">
            <v>7000</v>
          </cell>
          <cell r="Z36">
            <v>2300</v>
          </cell>
          <cell r="AA36">
            <v>75</v>
          </cell>
          <cell r="AC36">
            <v>1200</v>
          </cell>
        </row>
      </sheetData>
      <sheetData sheetId="9">
        <row r="37">
          <cell r="B37">
            <v>540370</v>
          </cell>
          <cell r="C37">
            <v>3.9482225142032306</v>
          </cell>
          <cell r="F37">
            <v>16386</v>
          </cell>
          <cell r="G37">
            <v>0</v>
          </cell>
          <cell r="H37">
            <v>3450</v>
          </cell>
          <cell r="I37">
            <v>36300</v>
          </cell>
          <cell r="J37">
            <v>1000</v>
          </cell>
          <cell r="K37">
            <v>428750</v>
          </cell>
          <cell r="L37">
            <v>1100</v>
          </cell>
          <cell r="M37">
            <v>13700</v>
          </cell>
          <cell r="N37">
            <v>0</v>
          </cell>
          <cell r="O37">
            <v>850</v>
          </cell>
          <cell r="P37">
            <v>0</v>
          </cell>
          <cell r="Q37">
            <v>16350</v>
          </cell>
          <cell r="R37">
            <v>31520</v>
          </cell>
          <cell r="S37">
            <v>0</v>
          </cell>
          <cell r="T37">
            <v>33500</v>
          </cell>
          <cell r="U37">
            <v>480140</v>
          </cell>
          <cell r="V37">
            <v>6400</v>
          </cell>
          <cell r="W37">
            <v>810</v>
          </cell>
          <cell r="Y37">
            <v>13000</v>
          </cell>
          <cell r="AA37">
            <v>725</v>
          </cell>
          <cell r="AC37">
            <v>2000</v>
          </cell>
        </row>
      </sheetData>
      <sheetData sheetId="10">
        <row r="35">
          <cell r="B35">
            <v>523760</v>
          </cell>
          <cell r="C35">
            <v>3.9671815335268055</v>
          </cell>
          <cell r="F35">
            <v>5250</v>
          </cell>
          <cell r="G35">
            <v>4650</v>
          </cell>
          <cell r="H35">
            <v>8750</v>
          </cell>
          <cell r="I35">
            <v>10150</v>
          </cell>
          <cell r="J35">
            <v>7550</v>
          </cell>
          <cell r="K35">
            <v>111100</v>
          </cell>
          <cell r="L35">
            <v>1300</v>
          </cell>
          <cell r="M35">
            <v>33320</v>
          </cell>
          <cell r="N35">
            <v>44530</v>
          </cell>
          <cell r="O35">
            <v>30030</v>
          </cell>
          <cell r="P35">
            <v>0</v>
          </cell>
          <cell r="Q35">
            <v>45100</v>
          </cell>
          <cell r="R35">
            <v>34240</v>
          </cell>
          <cell r="S35">
            <v>231270</v>
          </cell>
          <cell r="T35">
            <v>22000</v>
          </cell>
          <cell r="U35">
            <v>309860</v>
          </cell>
          <cell r="V35">
            <v>3330</v>
          </cell>
          <cell r="W35">
            <v>1230</v>
          </cell>
          <cell r="X35">
            <v>400</v>
          </cell>
          <cell r="Y35">
            <v>2500</v>
          </cell>
          <cell r="Z35">
            <v>2000</v>
          </cell>
          <cell r="AA35">
            <v>300</v>
          </cell>
          <cell r="AD35">
            <v>16400</v>
          </cell>
        </row>
      </sheetData>
      <sheetData sheetId="11">
        <row r="34">
          <cell r="B34">
            <v>490880</v>
          </cell>
          <cell r="C34">
            <v>3.9024608865710562</v>
          </cell>
          <cell r="F34">
            <v>3560</v>
          </cell>
          <cell r="G34">
            <v>5000</v>
          </cell>
          <cell r="H34">
            <v>10850</v>
          </cell>
          <cell r="I34">
            <v>36850</v>
          </cell>
          <cell r="J34">
            <v>13400</v>
          </cell>
          <cell r="K34">
            <v>83950</v>
          </cell>
          <cell r="L34">
            <v>1000</v>
          </cell>
          <cell r="M34">
            <v>70700</v>
          </cell>
          <cell r="N34">
            <v>30200</v>
          </cell>
          <cell r="O34">
            <v>47650</v>
          </cell>
          <cell r="P34">
            <v>0</v>
          </cell>
          <cell r="Q34">
            <v>66230</v>
          </cell>
          <cell r="R34">
            <v>40550</v>
          </cell>
          <cell r="S34">
            <v>286250</v>
          </cell>
          <cell r="T34">
            <v>1000</v>
          </cell>
          <cell r="U34">
            <v>235960</v>
          </cell>
          <cell r="V34">
            <v>6760</v>
          </cell>
          <cell r="W34">
            <v>1050</v>
          </cell>
          <cell r="X34">
            <v>700</v>
          </cell>
          <cell r="Y34">
            <v>8000</v>
          </cell>
          <cell r="AC34">
            <v>1950</v>
          </cell>
          <cell r="AD34">
            <v>18700</v>
          </cell>
          <cell r="AE34">
            <v>8050</v>
          </cell>
        </row>
      </sheetData>
      <sheetData sheetId="12"/>
      <sheetData sheetId="13" refreshError="1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21"/>
  <sheetViews>
    <sheetView rightToLeft="1" topLeftCell="L1" workbookViewId="0">
      <selection activeCell="AC4" sqref="AC4"/>
    </sheetView>
  </sheetViews>
  <sheetFormatPr defaultRowHeight="15"/>
  <cols>
    <col min="1" max="35" width="10.7109375" customWidth="1"/>
  </cols>
  <sheetData>
    <row r="1" spans="1:35" ht="45">
      <c r="A1" s="1">
        <v>1403</v>
      </c>
      <c r="B1" s="2" t="s">
        <v>0</v>
      </c>
      <c r="C1" s="89" t="s">
        <v>387</v>
      </c>
      <c r="D1" s="92" t="s">
        <v>388</v>
      </c>
      <c r="E1" s="92" t="s">
        <v>390</v>
      </c>
      <c r="F1" s="89" t="s">
        <v>389</v>
      </c>
      <c r="G1" s="92" t="s">
        <v>392</v>
      </c>
      <c r="H1" s="89" t="s">
        <v>391</v>
      </c>
      <c r="I1" s="2" t="s">
        <v>3</v>
      </c>
      <c r="J1" s="3" t="s">
        <v>4</v>
      </c>
      <c r="K1" s="2" t="s">
        <v>5</v>
      </c>
      <c r="L1" s="3" t="s">
        <v>6</v>
      </c>
      <c r="M1" s="2" t="s">
        <v>7</v>
      </c>
      <c r="N1" s="3" t="s">
        <v>8</v>
      </c>
      <c r="O1" s="2" t="s">
        <v>9</v>
      </c>
      <c r="P1" s="3" t="s">
        <v>10</v>
      </c>
      <c r="Q1" s="2" t="s">
        <v>11</v>
      </c>
      <c r="R1" s="3" t="s">
        <v>12</v>
      </c>
      <c r="S1" s="2" t="s">
        <v>13</v>
      </c>
      <c r="T1" s="3" t="s">
        <v>14</v>
      </c>
      <c r="U1" s="2" t="s">
        <v>15</v>
      </c>
      <c r="V1" s="3" t="s">
        <v>16</v>
      </c>
      <c r="W1" s="2" t="s">
        <v>17</v>
      </c>
      <c r="X1" s="3" t="s">
        <v>18</v>
      </c>
      <c r="Y1" s="2" t="s">
        <v>19</v>
      </c>
      <c r="Z1" s="3" t="s">
        <v>20</v>
      </c>
      <c r="AA1" s="2" t="s">
        <v>21</v>
      </c>
      <c r="AB1" s="4" t="s">
        <v>22</v>
      </c>
      <c r="AC1" s="5" t="s">
        <v>23</v>
      </c>
      <c r="AD1" s="6" t="s">
        <v>24</v>
      </c>
      <c r="AE1" s="7" t="s">
        <v>25</v>
      </c>
      <c r="AF1" s="8" t="s">
        <v>26</v>
      </c>
      <c r="AG1" s="5" t="s">
        <v>27</v>
      </c>
      <c r="AH1" s="3" t="s">
        <v>28</v>
      </c>
      <c r="AI1" s="9" t="s">
        <v>29</v>
      </c>
    </row>
    <row r="2" spans="1:35" ht="18" customHeight="1">
      <c r="A2" s="10" t="s">
        <v>30</v>
      </c>
      <c r="B2" s="11">
        <v>366740</v>
      </c>
      <c r="C2" s="90">
        <f>[1]فروردین!C29</f>
        <v>3.6676446528876041</v>
      </c>
      <c r="D2" s="93">
        <v>3.6855565250586246</v>
      </c>
      <c r="E2" s="93">
        <v>13516.41</v>
      </c>
      <c r="F2" s="91">
        <v>13494.259999999998</v>
      </c>
      <c r="G2" s="94">
        <f>B2-E2</f>
        <v>353223.59</v>
      </c>
      <c r="H2" s="91">
        <f>B2-F2</f>
        <v>353245.74</v>
      </c>
      <c r="I2" s="11">
        <f>[1]فروردین!F29</f>
        <v>4410</v>
      </c>
      <c r="J2" s="13">
        <f>[1]فروردین!G29</f>
        <v>1000</v>
      </c>
      <c r="K2" s="11">
        <f>[1]فروردین!H29</f>
        <v>7980</v>
      </c>
      <c r="L2" s="13">
        <f>[1]فروردین!I29</f>
        <v>24995</v>
      </c>
      <c r="M2" s="11">
        <f>[1]فروردین!J29</f>
        <v>4970</v>
      </c>
      <c r="N2" s="13">
        <f>[1]فروردین!K29</f>
        <v>224600</v>
      </c>
      <c r="O2" s="11">
        <f>[1]فروردین!L29</f>
        <v>3835</v>
      </c>
      <c r="P2" s="13">
        <f>[1]فروردین!M29</f>
        <v>24590</v>
      </c>
      <c r="Q2" s="11">
        <f>[1]فروردین!N29</f>
        <v>5960</v>
      </c>
      <c r="R2" s="13">
        <f>[1]فروردین!O29</f>
        <v>1900</v>
      </c>
      <c r="S2" s="11">
        <f>[1]فروردین!P29</f>
        <v>930</v>
      </c>
      <c r="T2" s="13">
        <f>[1]فروردین!Q29</f>
        <v>2500</v>
      </c>
      <c r="U2" s="11">
        <f>[1]فروردین!R29</f>
        <v>20000</v>
      </c>
      <c r="V2" s="13">
        <f>[1]فروردین!S29</f>
        <v>61590</v>
      </c>
      <c r="W2" s="11">
        <f>[1]فروردین!T29</f>
        <v>2100</v>
      </c>
      <c r="X2" s="13">
        <f>[1]فروردین!U29</f>
        <v>182420</v>
      </c>
      <c r="Y2" s="11">
        <f>[1]فروردین!V29</f>
        <v>3520</v>
      </c>
      <c r="Z2" s="13">
        <f>[1]فروردین!W29</f>
        <v>740</v>
      </c>
      <c r="AA2" s="11">
        <v>0</v>
      </c>
      <c r="AB2" s="14">
        <f>[1]فروردین!X29</f>
        <v>26530</v>
      </c>
      <c r="AC2" s="11">
        <v>0</v>
      </c>
      <c r="AD2" s="13">
        <v>0</v>
      </c>
      <c r="AE2" s="11">
        <v>0</v>
      </c>
      <c r="AF2" s="13">
        <v>0</v>
      </c>
      <c r="AG2" s="11">
        <v>0</v>
      </c>
      <c r="AH2" s="13">
        <v>0</v>
      </c>
      <c r="AI2" s="11">
        <f t="shared" ref="AI2:AI13" si="0">AH2+AF2+AD2+AC2+AB2+AA2+Z2+Y2+W2+V2+T2+S2+R2+Q2+P2+O2+N2+M2+L2+K2</f>
        <v>396740</v>
      </c>
    </row>
    <row r="3" spans="1:35" ht="18" customHeight="1">
      <c r="A3" s="10" t="s">
        <v>31</v>
      </c>
      <c r="B3" s="11">
        <v>383290</v>
      </c>
      <c r="C3" s="90">
        <f>[1]اردیبهشت!C33</f>
        <v>3.560069399149469</v>
      </c>
      <c r="D3" s="93">
        <v>3.560069399149469</v>
      </c>
      <c r="E3" s="93">
        <v>13645.39</v>
      </c>
      <c r="F3" s="91">
        <v>13486.869999999999</v>
      </c>
      <c r="G3" s="94">
        <f t="shared" ref="G3:G13" si="1">B3-E3</f>
        <v>369644.61</v>
      </c>
      <c r="H3" s="91">
        <f t="shared" ref="H3:H13" si="2">B3-F3</f>
        <v>369803.13</v>
      </c>
      <c r="I3" s="11">
        <f>[1]اردیبهشت!F33</f>
        <v>5560</v>
      </c>
      <c r="J3" s="13">
        <f>[1]اردیبهشت!G33</f>
        <v>1000</v>
      </c>
      <c r="K3" s="11">
        <f>[1]اردیبهشت!H33</f>
        <v>9440</v>
      </c>
      <c r="L3" s="13">
        <f>[1]اردیبهشت!I33</f>
        <v>4900</v>
      </c>
      <c r="M3" s="11">
        <f>[1]اردیبهشت!J33</f>
        <v>9435</v>
      </c>
      <c r="N3" s="13">
        <f>[1]اردیبهشت!K33</f>
        <v>270920</v>
      </c>
      <c r="O3" s="11">
        <f>[1]اردیبهشت!L33</f>
        <v>1330</v>
      </c>
      <c r="P3" s="13">
        <f>[1]اردیبهشت!M33</f>
        <v>5235</v>
      </c>
      <c r="Q3" s="11">
        <f>[1]اردیبهشت!N33</f>
        <v>2950</v>
      </c>
      <c r="R3" s="13">
        <f>[1]اردیبهشت!O33</f>
        <v>8810</v>
      </c>
      <c r="S3" s="11">
        <f>[1]اردیبهشت!P33</f>
        <v>1000</v>
      </c>
      <c r="T3" s="13">
        <f>[1]اردیبهشت!Q33</f>
        <v>2300</v>
      </c>
      <c r="U3" s="11">
        <f>[1]اردیبهشت!R33</f>
        <v>13120</v>
      </c>
      <c r="V3" s="13">
        <f>[1]اردیبهشت!S33</f>
        <v>28400</v>
      </c>
      <c r="W3" s="11">
        <f>[1]اردیبهشت!T33</f>
        <v>4820</v>
      </c>
      <c r="X3" s="13">
        <f>[1]اردیبهشت!U33</f>
        <v>250310</v>
      </c>
      <c r="Y3" s="11">
        <f>[1]اردیبهشت!V33</f>
        <v>0</v>
      </c>
      <c r="Z3" s="13">
        <f>[1]اردیبهشت!W33</f>
        <v>0</v>
      </c>
      <c r="AA3" s="11">
        <v>0</v>
      </c>
      <c r="AB3" s="14">
        <v>0</v>
      </c>
      <c r="AC3" s="11">
        <f>[1]اردیبهشت!X33</f>
        <v>7050</v>
      </c>
      <c r="AD3" s="13">
        <v>0</v>
      </c>
      <c r="AE3" s="11">
        <v>0</v>
      </c>
      <c r="AF3" s="13">
        <f>[1]اردیبهشت!Y33</f>
        <v>250</v>
      </c>
      <c r="AG3" s="11">
        <v>0</v>
      </c>
      <c r="AH3" s="13">
        <v>0</v>
      </c>
      <c r="AI3" s="11">
        <f t="shared" si="0"/>
        <v>356840</v>
      </c>
    </row>
    <row r="4" spans="1:35" ht="18" customHeight="1">
      <c r="A4" s="10" t="s">
        <v>32</v>
      </c>
      <c r="B4" s="11">
        <v>768290</v>
      </c>
      <c r="C4" s="90">
        <f>[1]خرداد!C41</f>
        <v>3.6477750253494365</v>
      </c>
      <c r="D4" s="93">
        <v>3.5146285907665074</v>
      </c>
      <c r="E4" s="93">
        <v>27002.540000000008</v>
      </c>
      <c r="F4" s="91">
        <v>27987.379999999997</v>
      </c>
      <c r="G4" s="94">
        <f t="shared" si="1"/>
        <v>741287.46</v>
      </c>
      <c r="H4" s="91">
        <f t="shared" si="2"/>
        <v>740302.62</v>
      </c>
      <c r="I4" s="11">
        <f>[1]خرداد!F41</f>
        <v>6480</v>
      </c>
      <c r="J4" s="13">
        <f>[1]خرداد!G41</f>
        <v>2400</v>
      </c>
      <c r="K4" s="11">
        <f>[1]خرداد!H41</f>
        <v>9400</v>
      </c>
      <c r="L4" s="13">
        <f>[1]خرداد!I41</f>
        <v>21550</v>
      </c>
      <c r="M4" s="11">
        <f>[1]خرداد!J41</f>
        <v>14680</v>
      </c>
      <c r="N4" s="13">
        <f>[1]خرداد!K41</f>
        <v>394200</v>
      </c>
      <c r="O4" s="11">
        <f>[1]خرداد!L41</f>
        <v>3830</v>
      </c>
      <c r="P4" s="13">
        <f>[1]خرداد!M41</f>
        <v>12160</v>
      </c>
      <c r="Q4" s="11">
        <f>[1]خرداد!N41</f>
        <v>8340</v>
      </c>
      <c r="R4" s="13">
        <f>[1]خرداد!O41</f>
        <v>9100</v>
      </c>
      <c r="S4" s="11">
        <f>[1]خرداد!P41</f>
        <v>0</v>
      </c>
      <c r="T4" s="13">
        <f>[1]خرداد!Q41</f>
        <v>2200</v>
      </c>
      <c r="U4" s="11">
        <f>[1]خرداد!R41</f>
        <v>42710</v>
      </c>
      <c r="V4" s="13">
        <f>[1]خرداد!S41</f>
        <v>185370</v>
      </c>
      <c r="W4" s="11">
        <f>[1]خرداد!T41</f>
        <v>3450</v>
      </c>
      <c r="X4" s="13">
        <f>[1]خرداد!U41</f>
        <v>389690</v>
      </c>
      <c r="Y4" s="11">
        <f>[1]خرداد!V41</f>
        <v>4220</v>
      </c>
      <c r="Z4" s="13">
        <f>[1]خرداد!W41</f>
        <v>1140</v>
      </c>
      <c r="AA4" s="11">
        <v>0</v>
      </c>
      <c r="AB4" s="14">
        <v>0</v>
      </c>
      <c r="AC4" s="11">
        <f>[1]خرداد!X41</f>
        <v>12050</v>
      </c>
      <c r="AD4" s="13">
        <f>[1]خرداد!Y41</f>
        <v>1300</v>
      </c>
      <c r="AE4" s="11">
        <f>[1]خرداد!Z41</f>
        <v>50</v>
      </c>
      <c r="AF4" s="13">
        <f>[1]خرداد!AA41</f>
        <v>2290</v>
      </c>
      <c r="AG4" s="11">
        <v>0</v>
      </c>
      <c r="AH4" s="13">
        <v>0</v>
      </c>
      <c r="AI4" s="11">
        <f t="shared" si="0"/>
        <v>685280</v>
      </c>
    </row>
    <row r="5" spans="1:35" ht="18" customHeight="1">
      <c r="A5" s="10" t="s">
        <v>33</v>
      </c>
      <c r="B5" s="11">
        <v>259850</v>
      </c>
      <c r="C5" s="90">
        <f>[1]تیر!C36</f>
        <v>3.5570406003463542</v>
      </c>
      <c r="D5" s="93">
        <v>3.4885318452953626</v>
      </c>
      <c r="E5" s="93">
        <v>9064.9500000000007</v>
      </c>
      <c r="F5" s="91">
        <v>9064.9500000000007</v>
      </c>
      <c r="G5" s="94">
        <f t="shared" si="1"/>
        <v>250785.05</v>
      </c>
      <c r="H5" s="91">
        <f t="shared" si="2"/>
        <v>250785.05</v>
      </c>
      <c r="I5" s="11">
        <f>[1]تیر!F36</f>
        <v>2850</v>
      </c>
      <c r="J5" s="13">
        <f>[1]تیر!G36</f>
        <v>1000</v>
      </c>
      <c r="K5" s="11">
        <f>[1]تیر!H36</f>
        <v>4900</v>
      </c>
      <c r="L5" s="13">
        <f>[1]تیر!I36</f>
        <v>22330</v>
      </c>
      <c r="M5" s="11">
        <f>[1]تیر!J36</f>
        <v>2480</v>
      </c>
      <c r="N5" s="13">
        <f>[1]تیر!K36</f>
        <v>133350</v>
      </c>
      <c r="O5" s="11">
        <f>[1]تیر!L36</f>
        <v>1600</v>
      </c>
      <c r="P5" s="13">
        <f>[1]تیر!M36</f>
        <v>24410</v>
      </c>
      <c r="Q5" s="11">
        <f>[1]تیر!N36</f>
        <v>4300</v>
      </c>
      <c r="R5" s="13">
        <f>[1]تیر!O36</f>
        <v>5400</v>
      </c>
      <c r="S5" s="11">
        <f>[1]تیر!P36</f>
        <v>0</v>
      </c>
      <c r="T5" s="13">
        <f>[1]تیر!Q36</f>
        <v>0</v>
      </c>
      <c r="U5" s="11">
        <f>[1]تیر!R36</f>
        <v>17500</v>
      </c>
      <c r="V5" s="13">
        <f>[1]تیر!S36</f>
        <v>114000</v>
      </c>
      <c r="W5" s="11">
        <f>[1]تیر!T36</f>
        <v>1200</v>
      </c>
      <c r="X5" s="13">
        <f>[1]تیر!U36</f>
        <v>139060</v>
      </c>
      <c r="Y5" s="11">
        <f>[1]تیر!V36</f>
        <v>4600</v>
      </c>
      <c r="Z5" s="13">
        <f>[1]تیر!W36</f>
        <v>940</v>
      </c>
      <c r="AA5" s="11">
        <f>[1]تیر!X36</f>
        <v>230</v>
      </c>
      <c r="AB5" s="14">
        <f>[1]تیر!AC36</f>
        <v>17000</v>
      </c>
      <c r="AC5" s="11">
        <f>[1]تیر!Y36</f>
        <v>5250</v>
      </c>
      <c r="AD5" s="13">
        <v>0</v>
      </c>
      <c r="AE5" s="11">
        <v>0</v>
      </c>
      <c r="AF5" s="13">
        <v>0</v>
      </c>
      <c r="AG5" s="11">
        <v>0</v>
      </c>
      <c r="AH5" s="13">
        <v>0</v>
      </c>
      <c r="AI5" s="11">
        <f t="shared" si="0"/>
        <v>341990</v>
      </c>
    </row>
    <row r="6" spans="1:35" ht="18" customHeight="1">
      <c r="A6" s="10" t="s">
        <v>34</v>
      </c>
      <c r="B6" s="11">
        <v>197670</v>
      </c>
      <c r="C6" s="90">
        <f>[1]مرداد!C33</f>
        <v>3.5408509131380583</v>
      </c>
      <c r="D6" s="93">
        <v>3.4731168108463599</v>
      </c>
      <c r="E6" s="93">
        <v>6865.3099999999995</v>
      </c>
      <c r="F6" s="91">
        <v>6865.3099999999995</v>
      </c>
      <c r="G6" s="94">
        <f t="shared" si="1"/>
        <v>190804.69</v>
      </c>
      <c r="H6" s="91">
        <f t="shared" si="2"/>
        <v>190804.69</v>
      </c>
      <c r="I6" s="11">
        <f>[1]مرداد!F33</f>
        <v>2970</v>
      </c>
      <c r="J6" s="13">
        <f>[1]مرداد!G33</f>
        <v>0</v>
      </c>
      <c r="K6" s="11">
        <f>[1]مرداد!H33</f>
        <v>8150</v>
      </c>
      <c r="L6" s="13">
        <f>[1]مرداد!I33</f>
        <v>7000</v>
      </c>
      <c r="M6" s="11">
        <f>[1]مرداد!J33</f>
        <v>7310</v>
      </c>
      <c r="N6" s="13">
        <f>[1]مرداد!K33</f>
        <v>135510</v>
      </c>
      <c r="O6" s="11">
        <f>[1]مرداد!L33</f>
        <v>1500</v>
      </c>
      <c r="P6" s="13">
        <f>[1]مرداد!M33</f>
        <v>7450</v>
      </c>
      <c r="Q6" s="11">
        <f>[1]مرداد!N33</f>
        <v>5070</v>
      </c>
      <c r="R6" s="13">
        <f>[1]مرداد!O33</f>
        <v>2500</v>
      </c>
      <c r="S6" s="11">
        <f>[1]مرداد!P33</f>
        <v>2000</v>
      </c>
      <c r="T6" s="13">
        <f>[1]مرداد!Q33</f>
        <v>10000</v>
      </c>
      <c r="U6" s="11">
        <f>[1]مرداد!R33</f>
        <v>8660</v>
      </c>
      <c r="V6" s="13">
        <f>[1]مرداد!S33</f>
        <v>0</v>
      </c>
      <c r="W6" s="11">
        <f>[1]مرداد!T33</f>
        <v>0</v>
      </c>
      <c r="X6" s="13">
        <f>[1]مرداد!U33</f>
        <v>19030</v>
      </c>
      <c r="Y6" s="11">
        <f>[1]مرداد!V33</f>
        <v>5070</v>
      </c>
      <c r="Z6" s="13">
        <f>[1]مرداد!W33</f>
        <v>880</v>
      </c>
      <c r="AA6" s="11">
        <v>0</v>
      </c>
      <c r="AB6" s="14">
        <f>[1]مرداد!AC33</f>
        <v>11000</v>
      </c>
      <c r="AC6" s="11">
        <f>[1]مرداد!Y33</f>
        <v>6000</v>
      </c>
      <c r="AD6" s="13">
        <f>[1]مرداد!Z33</f>
        <v>1300</v>
      </c>
      <c r="AE6" s="11">
        <f>[1]مرداد!AA33</f>
        <v>310</v>
      </c>
      <c r="AF6" s="13">
        <v>0</v>
      </c>
      <c r="AG6" s="11">
        <v>0</v>
      </c>
      <c r="AH6" s="13">
        <v>0</v>
      </c>
      <c r="AI6" s="11">
        <f t="shared" si="0"/>
        <v>210740</v>
      </c>
    </row>
    <row r="7" spans="1:35" ht="18" customHeight="1">
      <c r="A7" s="10" t="s">
        <v>35</v>
      </c>
      <c r="B7" s="11">
        <v>285070</v>
      </c>
      <c r="C7" s="90">
        <f>[1]شهریور!C33</f>
        <v>3.601022555863473</v>
      </c>
      <c r="D7" s="93">
        <v>3.529013926404041</v>
      </c>
      <c r="E7" s="93">
        <v>10060.16</v>
      </c>
      <c r="F7" s="91">
        <v>10265.435000000001</v>
      </c>
      <c r="G7" s="94">
        <f t="shared" si="1"/>
        <v>275009.84000000003</v>
      </c>
      <c r="H7" s="91">
        <f t="shared" si="2"/>
        <v>274804.565</v>
      </c>
      <c r="I7" s="11">
        <f>[1]شهریور!F33</f>
        <v>4050</v>
      </c>
      <c r="J7" s="13">
        <f>[1]شهریور!G33</f>
        <v>0</v>
      </c>
      <c r="K7" s="11">
        <f>[1]شهریور!H33</f>
        <v>4750</v>
      </c>
      <c r="L7" s="13">
        <f>[1]شهریور!I33</f>
        <v>5050</v>
      </c>
      <c r="M7" s="11">
        <f>[1]شهریور!J33</f>
        <v>9650</v>
      </c>
      <c r="N7" s="13">
        <f>[1]شهریور!K33</f>
        <v>195330</v>
      </c>
      <c r="O7" s="11">
        <f>[1]شهریور!L33</f>
        <v>1800</v>
      </c>
      <c r="P7" s="13">
        <f>[1]شهریور!M33</f>
        <v>17000</v>
      </c>
      <c r="Q7" s="11">
        <f>[1]شهریور!N33</f>
        <v>2500</v>
      </c>
      <c r="R7" s="13">
        <f>[1]شهریور!O33</f>
        <v>2500</v>
      </c>
      <c r="S7" s="11">
        <f>[1]شهریور!P33</f>
        <v>0</v>
      </c>
      <c r="T7" s="13">
        <f>[1]شهریور!Q33</f>
        <v>0</v>
      </c>
      <c r="U7" s="11">
        <f>[1]شهریور!R33</f>
        <v>12540</v>
      </c>
      <c r="V7" s="13">
        <f>[1]شهریور!S33</f>
        <v>0</v>
      </c>
      <c r="W7" s="11">
        <f>[1]شهریور!T33</f>
        <v>0</v>
      </c>
      <c r="X7" s="13">
        <f>[1]شهریور!U33</f>
        <v>0</v>
      </c>
      <c r="Y7" s="11">
        <f>[1]شهریور!V33</f>
        <v>8660</v>
      </c>
      <c r="Z7" s="13">
        <f>[1]شهریور!W33</f>
        <v>1790</v>
      </c>
      <c r="AA7" s="11">
        <v>0</v>
      </c>
      <c r="AB7" s="14">
        <v>0</v>
      </c>
      <c r="AC7" s="11">
        <f>[1]شهریور!Y33</f>
        <v>9000</v>
      </c>
      <c r="AD7" s="13">
        <v>0</v>
      </c>
      <c r="AE7" s="11">
        <f>[1]شهریور!AA33</f>
        <v>125</v>
      </c>
      <c r="AF7" s="13">
        <v>0</v>
      </c>
      <c r="AG7" s="11">
        <v>0</v>
      </c>
      <c r="AH7" s="13">
        <v>0</v>
      </c>
      <c r="AI7" s="11">
        <f t="shared" si="0"/>
        <v>258030</v>
      </c>
    </row>
    <row r="8" spans="1:35" ht="18" customHeight="1">
      <c r="A8" s="10" t="s">
        <v>36</v>
      </c>
      <c r="B8" s="11">
        <v>318080</v>
      </c>
      <c r="C8" s="90">
        <f>[1]مهر!C33</f>
        <v>3.815360915492958</v>
      </c>
      <c r="D8" s="93">
        <v>3.6756790744466801</v>
      </c>
      <c r="E8" s="93">
        <v>11691.599999999999</v>
      </c>
      <c r="F8" s="91">
        <v>12135.900000000001</v>
      </c>
      <c r="G8" s="94">
        <f t="shared" si="1"/>
        <v>306388.40000000002</v>
      </c>
      <c r="H8" s="91">
        <f t="shared" si="2"/>
        <v>305944.09999999998</v>
      </c>
      <c r="I8" s="11">
        <f>[1]مهر!F33</f>
        <v>7520</v>
      </c>
      <c r="J8" s="13">
        <f>[1]مهر!G33</f>
        <v>300</v>
      </c>
      <c r="K8" s="11">
        <f>[1]مهر!H33</f>
        <v>6550</v>
      </c>
      <c r="L8" s="13">
        <f>[1]مهر!I33</f>
        <v>14050</v>
      </c>
      <c r="M8" s="11">
        <f>[1]مهر!J33</f>
        <v>5780</v>
      </c>
      <c r="N8" s="13">
        <f>[1]مهر!K33</f>
        <v>242850</v>
      </c>
      <c r="O8" s="11">
        <f>[1]مهر!L33</f>
        <v>0</v>
      </c>
      <c r="P8" s="13">
        <f>[1]مهر!M33</f>
        <v>10350</v>
      </c>
      <c r="Q8" s="11">
        <f>[1]مهر!N33</f>
        <v>3020</v>
      </c>
      <c r="R8" s="13">
        <f>[1]مهر!O33</f>
        <v>3075</v>
      </c>
      <c r="S8" s="11">
        <f>[1]مهر!P33</f>
        <v>0</v>
      </c>
      <c r="T8" s="13">
        <f>[1]مهر!Q33</f>
        <v>5650</v>
      </c>
      <c r="U8" s="11">
        <f>[1]مهر!R33</f>
        <v>15870</v>
      </c>
      <c r="V8" s="13">
        <f>[1]مهر!S33</f>
        <v>0</v>
      </c>
      <c r="W8" s="11">
        <f>[1]مهر!T33</f>
        <v>2150</v>
      </c>
      <c r="X8" s="13">
        <f>[1]مهر!U33</f>
        <v>95790</v>
      </c>
      <c r="Y8" s="11">
        <f>[1]مهر!V33</f>
        <v>10970</v>
      </c>
      <c r="Z8" s="13">
        <f>[1]مهر!W33</f>
        <v>1670</v>
      </c>
      <c r="AA8" s="11">
        <v>0</v>
      </c>
      <c r="AB8" s="14">
        <f>[1]مهر!AC33</f>
        <v>18100</v>
      </c>
      <c r="AC8" s="11">
        <f>[1]مهر!Y33</f>
        <v>11550</v>
      </c>
      <c r="AD8" s="13">
        <v>0</v>
      </c>
      <c r="AE8" s="11">
        <v>0</v>
      </c>
      <c r="AF8" s="13">
        <v>0</v>
      </c>
      <c r="AG8" s="11">
        <v>0</v>
      </c>
      <c r="AH8" s="13">
        <v>0</v>
      </c>
      <c r="AI8" s="11">
        <f t="shared" si="0"/>
        <v>335765</v>
      </c>
    </row>
    <row r="9" spans="1:35" ht="18" customHeight="1">
      <c r="A9" s="10" t="s">
        <v>37</v>
      </c>
      <c r="B9" s="11">
        <v>381880</v>
      </c>
      <c r="C9" s="90">
        <f>[1]آبان!C35</f>
        <v>3.8229731852938098</v>
      </c>
      <c r="D9" s="93">
        <v>3.6997355190112078</v>
      </c>
      <c r="E9" s="93">
        <v>14128.550000000001</v>
      </c>
      <c r="F9" s="91">
        <v>14599.170000000002</v>
      </c>
      <c r="G9" s="94">
        <f t="shared" si="1"/>
        <v>367751.45</v>
      </c>
      <c r="H9" s="91">
        <f t="shared" si="2"/>
        <v>367280.83</v>
      </c>
      <c r="I9" s="11">
        <f>[1]آبان!F35</f>
        <v>8904</v>
      </c>
      <c r="J9" s="13">
        <f>[1]آبان!G35</f>
        <v>300</v>
      </c>
      <c r="K9" s="11">
        <f>[1]آبان!H35</f>
        <v>9900</v>
      </c>
      <c r="L9" s="13">
        <f>[1]آبان!I35</f>
        <v>7200</v>
      </c>
      <c r="M9" s="11">
        <f>[1]آبان!J35</f>
        <v>3850</v>
      </c>
      <c r="N9" s="13">
        <f>[1]آبان!K35</f>
        <v>308140</v>
      </c>
      <c r="O9" s="11">
        <f>[1]آبان!L35</f>
        <v>1000</v>
      </c>
      <c r="P9" s="13">
        <f>[1]آبان!M35</f>
        <v>2000</v>
      </c>
      <c r="Q9" s="11">
        <f>[1]آبان!N35</f>
        <v>1530</v>
      </c>
      <c r="R9" s="13">
        <f>[1]آبان!O35</f>
        <v>1580</v>
      </c>
      <c r="S9" s="11">
        <f>[1]آبان!P35</f>
        <v>1000</v>
      </c>
      <c r="T9" s="13">
        <f>[1]آبان!Q35</f>
        <v>13000</v>
      </c>
      <c r="U9" s="11">
        <f>[1]آبان!R35</f>
        <v>25220</v>
      </c>
      <c r="V9" s="13">
        <f>[1]آبان!S35</f>
        <v>0</v>
      </c>
      <c r="W9" s="11">
        <f>[1]آبان!T35</f>
        <v>3450</v>
      </c>
      <c r="X9" s="13">
        <f>[1]آبان!U35</f>
        <v>131140</v>
      </c>
      <c r="Y9" s="11">
        <f>[1]آبان!V35</f>
        <v>10040</v>
      </c>
      <c r="Z9" s="13">
        <f>[1]آبان!W35</f>
        <v>1580</v>
      </c>
      <c r="AA9" s="11">
        <v>0</v>
      </c>
      <c r="AB9" s="14">
        <f>[1]آبان!AC35</f>
        <v>9400</v>
      </c>
      <c r="AC9" s="11">
        <v>0</v>
      </c>
      <c r="AD9" s="13">
        <f>[1]آبان!Z35</f>
        <v>1000</v>
      </c>
      <c r="AE9" s="11">
        <f>[1]آبان!AA35</f>
        <v>50</v>
      </c>
      <c r="AF9" s="13">
        <v>0</v>
      </c>
      <c r="AG9" s="11">
        <v>0</v>
      </c>
      <c r="AH9" s="13">
        <v>0</v>
      </c>
      <c r="AI9" s="11">
        <f t="shared" si="0"/>
        <v>374670</v>
      </c>
    </row>
    <row r="10" spans="1:35" ht="18" customHeight="1">
      <c r="A10" s="10" t="s">
        <v>38</v>
      </c>
      <c r="B10" s="11">
        <v>400850</v>
      </c>
      <c r="C10" s="90">
        <f>[1]آذر!C36</f>
        <v>3.8494149931395785</v>
      </c>
      <c r="D10" s="93">
        <v>3.662998627915679</v>
      </c>
      <c r="E10" s="93">
        <v>14683.130000000001</v>
      </c>
      <c r="F10" s="91">
        <v>15430.380000000001</v>
      </c>
      <c r="G10" s="94">
        <f t="shared" si="1"/>
        <v>386166.87</v>
      </c>
      <c r="H10" s="91">
        <f t="shared" si="2"/>
        <v>385419.62</v>
      </c>
      <c r="I10" s="11">
        <f>[1]آذر!F36</f>
        <v>8824</v>
      </c>
      <c r="J10" s="13">
        <f>[1]آذر!G36</f>
        <v>0</v>
      </c>
      <c r="K10" s="11">
        <f>[1]آذر!H36</f>
        <v>10800</v>
      </c>
      <c r="L10" s="13">
        <f>[1]آذر!I36</f>
        <v>15900</v>
      </c>
      <c r="M10" s="11">
        <f>[1]آذر!J36</f>
        <v>6080</v>
      </c>
      <c r="N10" s="13">
        <f>[1]آذر!K36</f>
        <v>319750</v>
      </c>
      <c r="O10" s="11">
        <f>[1]آذر!L36</f>
        <v>1000</v>
      </c>
      <c r="P10" s="13">
        <f>[1]آذر!M36</f>
        <v>3700</v>
      </c>
      <c r="Q10" s="11">
        <f>[1]آذر!N36</f>
        <v>5080</v>
      </c>
      <c r="R10" s="13">
        <f>[1]آذر!O36</f>
        <v>6450</v>
      </c>
      <c r="S10" s="11">
        <f>[1]آذر!P36</f>
        <v>800</v>
      </c>
      <c r="T10" s="13">
        <f>[1]آذر!Q36</f>
        <v>7700</v>
      </c>
      <c r="U10" s="11">
        <f>[1]آذر!R36</f>
        <v>23970</v>
      </c>
      <c r="V10" s="13">
        <f>[1]آذر!S36</f>
        <v>0</v>
      </c>
      <c r="W10" s="11">
        <f>[1]آذر!T36</f>
        <v>11900</v>
      </c>
      <c r="X10" s="13">
        <f>[1]آذر!U36</f>
        <v>363030</v>
      </c>
      <c r="Y10" s="11">
        <f>[1]آذر!V36</f>
        <v>10740</v>
      </c>
      <c r="Z10" s="13">
        <f>[1]آذر!W36</f>
        <v>1640</v>
      </c>
      <c r="AA10" s="11">
        <v>0</v>
      </c>
      <c r="AB10" s="14">
        <v>0</v>
      </c>
      <c r="AC10" s="11">
        <f>[1]آذر!Y36</f>
        <v>7000</v>
      </c>
      <c r="AD10" s="13">
        <f>[1]آذر!Z36</f>
        <v>2300</v>
      </c>
      <c r="AE10" s="11">
        <f>[1]آذر!AA36</f>
        <v>75</v>
      </c>
      <c r="AF10" s="13">
        <v>0</v>
      </c>
      <c r="AG10" s="11">
        <f>[1]آذر!AC36</f>
        <v>1200</v>
      </c>
      <c r="AH10" s="13">
        <v>0</v>
      </c>
      <c r="AI10" s="11">
        <f t="shared" si="0"/>
        <v>410840</v>
      </c>
    </row>
    <row r="11" spans="1:35" ht="18" customHeight="1">
      <c r="A11" s="10" t="s">
        <v>39</v>
      </c>
      <c r="B11" s="11">
        <v>540370</v>
      </c>
      <c r="C11" s="90">
        <f>[1]دی!C37</f>
        <v>3.9482225142032306</v>
      </c>
      <c r="D11" s="93">
        <v>3.7216925439976314</v>
      </c>
      <c r="E11" s="93">
        <v>20110.91</v>
      </c>
      <c r="F11" s="91">
        <v>21335.01</v>
      </c>
      <c r="G11" s="94">
        <f t="shared" si="1"/>
        <v>520259.09</v>
      </c>
      <c r="H11" s="91">
        <f t="shared" si="2"/>
        <v>519034.99</v>
      </c>
      <c r="I11" s="11">
        <f>[1]دی!F37</f>
        <v>16386</v>
      </c>
      <c r="J11" s="13">
        <f>[1]دی!G37</f>
        <v>0</v>
      </c>
      <c r="K11" s="11">
        <f>[1]دی!H37</f>
        <v>3450</v>
      </c>
      <c r="L11" s="13">
        <f>[1]دی!I37</f>
        <v>36300</v>
      </c>
      <c r="M11" s="11">
        <f>[1]دی!J37</f>
        <v>1000</v>
      </c>
      <c r="N11" s="13">
        <f>[1]دی!K37</f>
        <v>428750</v>
      </c>
      <c r="O11" s="11">
        <f>[1]دی!L37</f>
        <v>1100</v>
      </c>
      <c r="P11" s="13">
        <f>[1]دی!M37</f>
        <v>13700</v>
      </c>
      <c r="Q11" s="11">
        <f>[1]دی!N37</f>
        <v>0</v>
      </c>
      <c r="R11" s="13">
        <f>[1]دی!O37</f>
        <v>850</v>
      </c>
      <c r="S11" s="11">
        <f>[1]دی!P37</f>
        <v>0</v>
      </c>
      <c r="T11" s="13">
        <f>[1]دی!Q37</f>
        <v>16350</v>
      </c>
      <c r="U11" s="11">
        <f>[1]دی!R37</f>
        <v>31520</v>
      </c>
      <c r="V11" s="13">
        <f>[1]دی!S37</f>
        <v>0</v>
      </c>
      <c r="W11" s="11">
        <f>[1]دی!T37</f>
        <v>33500</v>
      </c>
      <c r="X11" s="13">
        <f>[1]دی!U37</f>
        <v>480140</v>
      </c>
      <c r="Y11" s="11">
        <f>[1]دی!V37</f>
        <v>6400</v>
      </c>
      <c r="Z11" s="13">
        <f>[1]دی!W37</f>
        <v>810</v>
      </c>
      <c r="AA11" s="11">
        <v>0</v>
      </c>
      <c r="AB11" s="14">
        <v>0</v>
      </c>
      <c r="AC11" s="11">
        <f>[1]دی!Y37</f>
        <v>13000</v>
      </c>
      <c r="AD11" s="13">
        <v>0</v>
      </c>
      <c r="AE11" s="11">
        <f>[1]دی!AA37</f>
        <v>725</v>
      </c>
      <c r="AF11" s="13">
        <v>0</v>
      </c>
      <c r="AG11" s="11">
        <f>[1]دی!AC37</f>
        <v>2000</v>
      </c>
      <c r="AH11" s="13">
        <v>0</v>
      </c>
      <c r="AI11" s="11">
        <f t="shared" si="0"/>
        <v>555210</v>
      </c>
    </row>
    <row r="12" spans="1:35" ht="18" customHeight="1">
      <c r="A12" s="10" t="s">
        <v>40</v>
      </c>
      <c r="B12" s="11">
        <v>523760</v>
      </c>
      <c r="C12" s="90">
        <f>[1]بهمن!C35</f>
        <v>3.9671815335268055</v>
      </c>
      <c r="D12" s="93">
        <v>3.7928173209103404</v>
      </c>
      <c r="E12" s="93">
        <v>19865.260000000002</v>
      </c>
      <c r="F12" s="91">
        <v>20778.509999999998</v>
      </c>
      <c r="G12" s="94">
        <f t="shared" si="1"/>
        <v>503894.74</v>
      </c>
      <c r="H12" s="91">
        <f t="shared" si="2"/>
        <v>502981.49</v>
      </c>
      <c r="I12" s="11">
        <f>[1]بهمن!F35</f>
        <v>5250</v>
      </c>
      <c r="J12" s="13">
        <f>[1]بهمن!G35</f>
        <v>4650</v>
      </c>
      <c r="K12" s="11">
        <f>[1]بهمن!H35</f>
        <v>8750</v>
      </c>
      <c r="L12" s="13">
        <f>[1]بهمن!I35</f>
        <v>10150</v>
      </c>
      <c r="M12" s="11">
        <f>[1]بهمن!J35</f>
        <v>7550</v>
      </c>
      <c r="N12" s="13">
        <f>[1]بهمن!K35</f>
        <v>111100</v>
      </c>
      <c r="O12" s="11">
        <f>[1]بهمن!L35</f>
        <v>1300</v>
      </c>
      <c r="P12" s="13">
        <f>[1]بهمن!M35</f>
        <v>33320</v>
      </c>
      <c r="Q12" s="11">
        <f>[1]بهمن!N35</f>
        <v>44530</v>
      </c>
      <c r="R12" s="13">
        <f>[1]بهمن!O35</f>
        <v>30030</v>
      </c>
      <c r="S12" s="11">
        <f>[1]بهمن!P35</f>
        <v>0</v>
      </c>
      <c r="T12" s="13">
        <f>[1]بهمن!Q35</f>
        <v>45100</v>
      </c>
      <c r="U12" s="11">
        <f>[1]بهمن!R35</f>
        <v>34240</v>
      </c>
      <c r="V12" s="13">
        <f>[1]بهمن!S35</f>
        <v>231270</v>
      </c>
      <c r="W12" s="11">
        <f>[1]بهمن!T35</f>
        <v>22000</v>
      </c>
      <c r="X12" s="13">
        <f>[1]بهمن!U35</f>
        <v>309860</v>
      </c>
      <c r="Y12" s="11">
        <f>[1]بهمن!V35</f>
        <v>3330</v>
      </c>
      <c r="Z12" s="13">
        <f>[1]بهمن!W35</f>
        <v>1230</v>
      </c>
      <c r="AA12" s="11">
        <f>[1]بهمن!X35</f>
        <v>400</v>
      </c>
      <c r="AB12" s="14">
        <f>[1]بهمن!AD35</f>
        <v>16400</v>
      </c>
      <c r="AC12" s="11">
        <f>[1]بهمن!Y35</f>
        <v>2500</v>
      </c>
      <c r="AD12" s="13">
        <f>[1]بهمن!Z35</f>
        <v>2000</v>
      </c>
      <c r="AE12" s="11">
        <f>[1]بهمن!AA35</f>
        <v>300</v>
      </c>
      <c r="AF12" s="13">
        <v>0</v>
      </c>
      <c r="AG12" s="11">
        <v>0</v>
      </c>
      <c r="AH12" s="13">
        <v>0</v>
      </c>
      <c r="AI12" s="11">
        <f t="shared" si="0"/>
        <v>570960</v>
      </c>
    </row>
    <row r="13" spans="1:35" ht="18" customHeight="1">
      <c r="A13" s="10" t="s">
        <v>41</v>
      </c>
      <c r="B13" s="11">
        <v>490880</v>
      </c>
      <c r="C13" s="90">
        <f>[1]اسفند!C34</f>
        <v>3.9024608865710562</v>
      </c>
      <c r="D13" s="93">
        <v>3.7786383637548893</v>
      </c>
      <c r="E13" s="93">
        <v>18548.579999999998</v>
      </c>
      <c r="F13" s="91">
        <v>19205.64</v>
      </c>
      <c r="G13" s="94">
        <f t="shared" si="1"/>
        <v>472331.42</v>
      </c>
      <c r="H13" s="91">
        <f t="shared" si="2"/>
        <v>471674.36</v>
      </c>
      <c r="I13" s="11">
        <f>[1]اسفند!F34</f>
        <v>3560</v>
      </c>
      <c r="J13" s="13">
        <f>[1]اسفند!G34</f>
        <v>5000</v>
      </c>
      <c r="K13" s="11">
        <f>[1]اسفند!H34</f>
        <v>10850</v>
      </c>
      <c r="L13" s="13">
        <f>[1]اسفند!I34</f>
        <v>36850</v>
      </c>
      <c r="M13" s="11">
        <f>[1]اسفند!J34</f>
        <v>13400</v>
      </c>
      <c r="N13" s="13">
        <f>[1]اسفند!K34</f>
        <v>83950</v>
      </c>
      <c r="O13" s="11">
        <f>[1]اسفند!L34</f>
        <v>1000</v>
      </c>
      <c r="P13" s="13">
        <f>[1]اسفند!M34</f>
        <v>70700</v>
      </c>
      <c r="Q13" s="11">
        <f>[1]اسفند!N34</f>
        <v>30200</v>
      </c>
      <c r="R13" s="13">
        <f>[1]اسفند!O34</f>
        <v>47650</v>
      </c>
      <c r="S13" s="11">
        <f>[1]اسفند!P34</f>
        <v>0</v>
      </c>
      <c r="T13" s="13">
        <f>[1]اسفند!Q34</f>
        <v>66230</v>
      </c>
      <c r="U13" s="11">
        <f>[1]اسفند!R34</f>
        <v>40550</v>
      </c>
      <c r="V13" s="13">
        <f>[1]اسفند!S34</f>
        <v>286250</v>
      </c>
      <c r="W13" s="11">
        <f>[1]اسفند!T34</f>
        <v>1000</v>
      </c>
      <c r="X13" s="13">
        <f>[1]اسفند!U34</f>
        <v>235960</v>
      </c>
      <c r="Y13" s="11">
        <f>[1]اسفند!V34</f>
        <v>6760</v>
      </c>
      <c r="Z13" s="13">
        <f>[1]اسفند!W34</f>
        <v>1050</v>
      </c>
      <c r="AA13" s="11">
        <f>[1]اسفند!X34</f>
        <v>700</v>
      </c>
      <c r="AB13" s="14">
        <f>[1]اسفند!AD34</f>
        <v>18700</v>
      </c>
      <c r="AC13" s="11">
        <f>[1]اسفند!Y34</f>
        <v>8000</v>
      </c>
      <c r="AD13" s="13">
        <v>0</v>
      </c>
      <c r="AE13" s="11">
        <v>0</v>
      </c>
      <c r="AF13" s="13">
        <v>0</v>
      </c>
      <c r="AG13" s="11">
        <f>[1]اسفند!AC34</f>
        <v>1950</v>
      </c>
      <c r="AH13" s="13">
        <f>[1]اسفند!AE34</f>
        <v>8050</v>
      </c>
      <c r="AI13" s="11">
        <f t="shared" si="0"/>
        <v>691340</v>
      </c>
    </row>
    <row r="14" spans="1:35" ht="18" customHeight="1">
      <c r="A14" s="10" t="s">
        <v>42</v>
      </c>
      <c r="B14" s="11">
        <f>SUM(B2:B13)</f>
        <v>4916730</v>
      </c>
      <c r="C14" s="88">
        <f>(C2*B2+C3*B3+C4*B4+C5*B5+C6*B6+C7*B7+C8*B8+C9*B9+C10*B10+C11*B11+C12*B12+C13*B13)/(B2+B3+B4+B5+B6+B7+B8+B9+B10+B11+B12+B13)</f>
        <v>3.7639767842093659</v>
      </c>
      <c r="D14" s="88">
        <v>3.6443487846597229</v>
      </c>
      <c r="E14" s="11">
        <f>SUM(E2:E13)</f>
        <v>179182.79</v>
      </c>
      <c r="F14" s="11">
        <f>SUM(F2:F13)</f>
        <v>184648.815</v>
      </c>
      <c r="G14" s="11">
        <f>SUM(G2:G13)</f>
        <v>4737547.21</v>
      </c>
      <c r="H14" s="11">
        <f>SUM(H2:H13)</f>
        <v>4732081.1850000005</v>
      </c>
      <c r="I14" s="11">
        <f t="shared" ref="I14:AI14" si="3">SUM(I2:I13)</f>
        <v>76764</v>
      </c>
      <c r="J14" s="11">
        <f t="shared" si="3"/>
        <v>15650</v>
      </c>
      <c r="K14" s="11">
        <f t="shared" si="3"/>
        <v>94920</v>
      </c>
      <c r="L14" s="11">
        <f t="shared" si="3"/>
        <v>206275</v>
      </c>
      <c r="M14" s="11">
        <f t="shared" si="3"/>
        <v>86185</v>
      </c>
      <c r="N14" s="11">
        <f t="shared" si="3"/>
        <v>2848450</v>
      </c>
      <c r="O14" s="11">
        <f t="shared" si="3"/>
        <v>19295</v>
      </c>
      <c r="P14" s="11">
        <f t="shared" si="3"/>
        <v>224615</v>
      </c>
      <c r="Q14" s="11">
        <f t="shared" si="3"/>
        <v>113480</v>
      </c>
      <c r="R14" s="11">
        <f t="shared" si="3"/>
        <v>119845</v>
      </c>
      <c r="S14" s="11">
        <f t="shared" si="3"/>
        <v>5730</v>
      </c>
      <c r="T14" s="11">
        <f t="shared" si="3"/>
        <v>171030</v>
      </c>
      <c r="U14" s="19">
        <f t="shared" si="3"/>
        <v>285900</v>
      </c>
      <c r="V14" s="19">
        <f t="shared" si="3"/>
        <v>906880</v>
      </c>
      <c r="W14" s="19">
        <f t="shared" si="3"/>
        <v>85570</v>
      </c>
      <c r="X14" s="19">
        <f t="shared" si="3"/>
        <v>2596430</v>
      </c>
      <c r="Y14" s="19">
        <f t="shared" si="3"/>
        <v>74310</v>
      </c>
      <c r="Z14" s="19">
        <f t="shared" si="3"/>
        <v>13470</v>
      </c>
      <c r="AA14" s="19">
        <f t="shared" si="3"/>
        <v>1330</v>
      </c>
      <c r="AB14" s="19">
        <f t="shared" si="3"/>
        <v>117130</v>
      </c>
      <c r="AC14" s="19">
        <f t="shared" si="3"/>
        <v>81400</v>
      </c>
      <c r="AD14" s="19">
        <f t="shared" si="3"/>
        <v>7900</v>
      </c>
      <c r="AE14" s="19">
        <f t="shared" si="3"/>
        <v>1635</v>
      </c>
      <c r="AF14" s="19">
        <f t="shared" si="3"/>
        <v>2540</v>
      </c>
      <c r="AG14" s="19">
        <f t="shared" si="3"/>
        <v>5150</v>
      </c>
      <c r="AH14" s="19">
        <f t="shared" si="3"/>
        <v>8050</v>
      </c>
      <c r="AI14" s="20">
        <f t="shared" si="3"/>
        <v>5188405</v>
      </c>
    </row>
    <row r="18" spans="32:33">
      <c r="AF18" s="60"/>
    </row>
    <row r="21" spans="32:33">
      <c r="AG21" s="6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35"/>
  <sheetViews>
    <sheetView rightToLeft="1" zoomScale="90" zoomScaleNormal="90" workbookViewId="0">
      <selection activeCell="P16" sqref="P16"/>
    </sheetView>
  </sheetViews>
  <sheetFormatPr defaultRowHeight="15"/>
  <cols>
    <col min="2" max="2" width="13.42578125" customWidth="1"/>
    <col min="3" max="3" width="21.5703125" bestFit="1" customWidth="1"/>
    <col min="4" max="4" width="20.5703125" bestFit="1" customWidth="1"/>
    <col min="5" max="5" width="13.5703125" customWidth="1"/>
    <col min="8" max="8" width="21.5703125" bestFit="1" customWidth="1"/>
    <col min="9" max="10" width="9.140625" customWidth="1"/>
    <col min="11" max="11" width="13.28515625" bestFit="1" customWidth="1"/>
    <col min="12" max="12" width="46.140625" bestFit="1" customWidth="1"/>
    <col min="13" max="13" width="9.140625" customWidth="1"/>
    <col min="14" max="14" width="12" customWidth="1"/>
    <col min="15" max="15" width="13.140625" bestFit="1" customWidth="1"/>
    <col min="16" max="16" width="14.140625" bestFit="1" customWidth="1"/>
    <col min="17" max="17" width="10.85546875" customWidth="1"/>
    <col min="18" max="18" width="9.140625" customWidth="1"/>
    <col min="19" max="19" width="25.140625" bestFit="1" customWidth="1"/>
    <col min="20" max="20" width="9.7109375" bestFit="1" customWidth="1"/>
    <col min="21" max="21" width="15.85546875" bestFit="1" customWidth="1"/>
    <col min="22" max="23" width="11" customWidth="1"/>
    <col min="25" max="25" width="12" bestFit="1" customWidth="1"/>
    <col min="26" max="26" width="15.140625" bestFit="1" customWidth="1"/>
    <col min="27" max="27" width="12.7109375" bestFit="1" customWidth="1"/>
    <col min="28" max="28" width="12.28515625" bestFit="1" customWidth="1"/>
    <col min="29" max="29" width="12.7109375" bestFit="1" customWidth="1"/>
    <col min="30" max="31" width="12.28515625" bestFit="1" customWidth="1"/>
    <col min="32" max="32" width="9.85546875" bestFit="1" customWidth="1"/>
    <col min="33" max="33" width="11.28515625" bestFit="1" customWidth="1"/>
    <col min="34" max="35" width="10.5703125" bestFit="1" customWidth="1"/>
    <col min="36" max="36" width="11.28515625" bestFit="1" customWidth="1"/>
    <col min="37" max="37" width="10.140625" bestFit="1" customWidth="1"/>
    <col min="38" max="38" width="12.28515625" bestFit="1" customWidth="1"/>
    <col min="39" max="40" width="9.28515625" bestFit="1" customWidth="1"/>
    <col min="41" max="41" width="15.5703125" bestFit="1" customWidth="1"/>
    <col min="42" max="42" width="9.28515625" bestFit="1" customWidth="1"/>
  </cols>
  <sheetData>
    <row r="1" spans="1:42">
      <c r="D1" s="15" t="s">
        <v>5</v>
      </c>
      <c r="E1" s="15">
        <v>94920</v>
      </c>
      <c r="F1">
        <f>_xlfn.XLOOKUP(داشبورد!M17,محاسبات!D1:D20,محاسبات!E1:E20)</f>
        <v>2848450</v>
      </c>
      <c r="H1" s="15" t="s">
        <v>58</v>
      </c>
      <c r="J1" s="24"/>
      <c r="K1" s="111" t="s">
        <v>43</v>
      </c>
      <c r="L1" s="111"/>
      <c r="M1" s="111"/>
      <c r="N1" s="111"/>
      <c r="O1" s="111"/>
      <c r="P1" s="111"/>
      <c r="Q1" s="24"/>
      <c r="R1" s="25"/>
      <c r="S1" s="24"/>
      <c r="T1" s="24"/>
      <c r="U1" s="24"/>
      <c r="V1" s="34"/>
      <c r="W1" s="24"/>
    </row>
    <row r="2" spans="1:42" ht="30" customHeight="1">
      <c r="A2" s="15" t="s">
        <v>55</v>
      </c>
      <c r="B2" s="15"/>
      <c r="D2" s="15" t="s">
        <v>6</v>
      </c>
      <c r="E2" s="15">
        <v>187545</v>
      </c>
      <c r="F2">
        <v>5152575</v>
      </c>
      <c r="H2" s="15" t="s">
        <v>59</v>
      </c>
      <c r="J2" s="26" t="s">
        <v>75</v>
      </c>
      <c r="K2" s="26" t="s">
        <v>76</v>
      </c>
      <c r="L2" s="26" t="s">
        <v>77</v>
      </c>
      <c r="M2" s="26" t="s">
        <v>78</v>
      </c>
      <c r="N2" s="26" t="s">
        <v>79</v>
      </c>
      <c r="O2" s="26" t="s">
        <v>80</v>
      </c>
      <c r="P2" s="27" t="s">
        <v>81</v>
      </c>
      <c r="Q2" s="27" t="s">
        <v>82</v>
      </c>
      <c r="R2" s="112"/>
      <c r="S2" s="26" t="s">
        <v>77</v>
      </c>
      <c r="T2" s="26" t="s">
        <v>78</v>
      </c>
      <c r="U2" s="56" t="s">
        <v>356</v>
      </c>
      <c r="V2" s="27" t="s">
        <v>357</v>
      </c>
      <c r="W2" s="57"/>
      <c r="X2" s="50" t="s">
        <v>346</v>
      </c>
      <c r="Y2" s="4" t="s">
        <v>5</v>
      </c>
      <c r="Z2" s="4" t="s">
        <v>6</v>
      </c>
      <c r="AA2" s="4" t="s">
        <v>7</v>
      </c>
      <c r="AB2" s="4" t="s">
        <v>9</v>
      </c>
      <c r="AC2" s="4" t="s">
        <v>10</v>
      </c>
      <c r="AD2" s="4" t="s">
        <v>11</v>
      </c>
      <c r="AE2" s="4" t="s">
        <v>12</v>
      </c>
      <c r="AF2" s="4" t="s">
        <v>13</v>
      </c>
      <c r="AG2" s="4" t="s">
        <v>14</v>
      </c>
      <c r="AH2" s="4" t="s">
        <v>15</v>
      </c>
      <c r="AI2" s="4" t="s">
        <v>16</v>
      </c>
      <c r="AJ2" s="4" t="s">
        <v>17</v>
      </c>
      <c r="AK2" s="4" t="s">
        <v>347</v>
      </c>
      <c r="AL2" s="4" t="s">
        <v>348</v>
      </c>
      <c r="AM2" s="4" t="s">
        <v>24</v>
      </c>
      <c r="AN2" s="4" t="s">
        <v>26</v>
      </c>
      <c r="AO2" s="4" t="s">
        <v>349</v>
      </c>
      <c r="AP2" s="4" t="s">
        <v>28</v>
      </c>
    </row>
    <row r="3" spans="1:42">
      <c r="A3" s="15" t="s">
        <v>30</v>
      </c>
      <c r="B3" s="15">
        <f>_xlfn.XLOOKUP(داشبورد!G15,'داده تولید سال 1403'!B1:AH1,'داده تولید سال 1403'!B2:AH2)</f>
        <v>224600</v>
      </c>
      <c r="D3" s="15" t="s">
        <v>7</v>
      </c>
      <c r="E3" s="15">
        <v>86185</v>
      </c>
      <c r="H3" s="15" t="s">
        <v>60</v>
      </c>
      <c r="J3" s="28">
        <v>1</v>
      </c>
      <c r="K3" s="28" t="s">
        <v>83</v>
      </c>
      <c r="L3" s="44" t="s">
        <v>84</v>
      </c>
      <c r="M3" s="28" t="s">
        <v>85</v>
      </c>
      <c r="N3" s="30">
        <v>5631</v>
      </c>
      <c r="O3" s="30">
        <v>0</v>
      </c>
      <c r="P3" s="31">
        <v>5631</v>
      </c>
      <c r="Q3" s="32">
        <f>P3*0.1</f>
        <v>563.1</v>
      </c>
      <c r="R3" s="113"/>
      <c r="S3" s="33" t="s">
        <v>359</v>
      </c>
      <c r="T3" s="34" t="s">
        <v>82</v>
      </c>
      <c r="U3" s="59">
        <f>Q104+Q105+Q106+Q107+Q112+Q114+Q121+Q116+Q117</f>
        <v>44651.380000000005</v>
      </c>
      <c r="V3" s="52">
        <f>Y3+Y4</f>
        <v>94920</v>
      </c>
      <c r="W3" s="58"/>
      <c r="X3" s="50" t="s">
        <v>350</v>
      </c>
      <c r="Y3" s="4">
        <v>85690</v>
      </c>
      <c r="Z3" s="4">
        <v>73525</v>
      </c>
      <c r="AA3" s="4">
        <v>80935</v>
      </c>
      <c r="AB3" s="4">
        <v>19295</v>
      </c>
      <c r="AC3" s="4">
        <v>135565</v>
      </c>
      <c r="AD3" s="4">
        <v>45830</v>
      </c>
      <c r="AE3" s="4">
        <v>55145</v>
      </c>
      <c r="AF3" s="4">
        <v>4930</v>
      </c>
      <c r="AG3" s="4">
        <v>53650</v>
      </c>
      <c r="AH3" s="4">
        <v>285900</v>
      </c>
      <c r="AI3" s="4">
        <v>906880</v>
      </c>
      <c r="AJ3" s="4">
        <v>25070</v>
      </c>
      <c r="AK3" s="4">
        <v>89110</v>
      </c>
      <c r="AL3" s="4">
        <v>95080</v>
      </c>
      <c r="AM3" s="4">
        <v>7900</v>
      </c>
      <c r="AN3" s="4">
        <v>2540</v>
      </c>
      <c r="AO3" s="4">
        <v>81400</v>
      </c>
      <c r="AP3" s="4"/>
    </row>
    <row r="4" spans="1:42">
      <c r="A4" s="15" t="s">
        <v>56</v>
      </c>
      <c r="B4" s="15">
        <f>_xlfn.XLOOKUP(داشبورد!G15,'داده تولید سال 1403'!B1:AH1,'داده تولید سال 1403'!B3:AH3)</f>
        <v>270920</v>
      </c>
      <c r="D4" s="15" t="s">
        <v>8</v>
      </c>
      <c r="E4" s="15">
        <v>2848450</v>
      </c>
      <c r="H4" s="15" t="s">
        <v>61</v>
      </c>
      <c r="J4" s="35">
        <v>2</v>
      </c>
      <c r="K4" s="35" t="s">
        <v>86</v>
      </c>
      <c r="L4" s="44" t="s">
        <v>87</v>
      </c>
      <c r="M4" s="35" t="s">
        <v>85</v>
      </c>
      <c r="N4" s="37">
        <v>3219</v>
      </c>
      <c r="O4" s="37">
        <v>0</v>
      </c>
      <c r="P4" s="38">
        <v>3219</v>
      </c>
      <c r="Q4" s="32">
        <f>P4*0.4</f>
        <v>1287.6000000000001</v>
      </c>
      <c r="R4" s="113"/>
      <c r="S4" s="33" t="s">
        <v>360</v>
      </c>
      <c r="T4" s="34" t="s">
        <v>82</v>
      </c>
      <c r="U4" s="59">
        <f>Q113+Q122+Q123+Q124+Q125+Q126+Q127</f>
        <v>177327.5</v>
      </c>
      <c r="V4" s="52">
        <f>Z3+Z4</f>
        <v>206275</v>
      </c>
      <c r="W4" s="58"/>
      <c r="X4" s="50" t="s">
        <v>351</v>
      </c>
      <c r="Y4" s="4">
        <v>9230</v>
      </c>
      <c r="Z4" s="4">
        <v>132750</v>
      </c>
      <c r="AA4" s="4">
        <v>5250</v>
      </c>
      <c r="AB4" s="4"/>
      <c r="AC4" s="4">
        <v>89050</v>
      </c>
      <c r="AD4" s="4">
        <v>67650</v>
      </c>
      <c r="AE4" s="4">
        <v>64700</v>
      </c>
      <c r="AF4" s="4">
        <v>800</v>
      </c>
      <c r="AG4" s="4">
        <v>117380</v>
      </c>
      <c r="AH4" s="4"/>
      <c r="AI4" s="4"/>
      <c r="AJ4" s="4">
        <v>60500</v>
      </c>
      <c r="AK4" s="4"/>
      <c r="AL4" s="4">
        <v>22050</v>
      </c>
      <c r="AM4" s="4"/>
      <c r="AN4" s="4"/>
      <c r="AO4" s="4">
        <v>2848450</v>
      </c>
      <c r="AP4" s="4">
        <v>8050</v>
      </c>
    </row>
    <row r="5" spans="1:42">
      <c r="A5" s="15" t="s">
        <v>32</v>
      </c>
      <c r="B5" s="15">
        <f>_xlfn.XLOOKUP(داشبورد!G15,'داده تولید سال 1403'!B1:AH1,'داده تولید سال 1403'!B4:AH4)</f>
        <v>394200</v>
      </c>
      <c r="D5" s="15" t="s">
        <v>9</v>
      </c>
      <c r="E5" s="15">
        <v>19295</v>
      </c>
      <c r="H5" s="15" t="s">
        <v>62</v>
      </c>
      <c r="J5" s="28">
        <v>3</v>
      </c>
      <c r="K5" s="28" t="s">
        <v>88</v>
      </c>
      <c r="L5" s="44" t="s">
        <v>89</v>
      </c>
      <c r="M5" s="28" t="s">
        <v>85</v>
      </c>
      <c r="N5" s="30">
        <v>8122</v>
      </c>
      <c r="O5" s="30">
        <v>-2448</v>
      </c>
      <c r="P5" s="31">
        <v>5674</v>
      </c>
      <c r="Q5" s="32">
        <f>P5*0.3</f>
        <v>1702.2</v>
      </c>
      <c r="R5" s="113"/>
      <c r="S5" s="33" t="s">
        <v>361</v>
      </c>
      <c r="T5" s="34" t="s">
        <v>82</v>
      </c>
      <c r="U5" s="59">
        <f>Q108+Q109+Q110+Q111+Q115+Q118+Q119+Q120</f>
        <v>122126.3</v>
      </c>
      <c r="V5" s="52">
        <f>AA3+AA4</f>
        <v>86185</v>
      </c>
      <c r="W5" s="58"/>
      <c r="X5" s="51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</row>
    <row r="6" spans="1:42">
      <c r="A6" s="15" t="s">
        <v>33</v>
      </c>
      <c r="B6" s="15">
        <f>_xlfn.XLOOKUP(داشبورد!G15,'داده تولید سال 1403'!B1:AH1,'داده تولید سال 1403'!B5:AH5)</f>
        <v>133350</v>
      </c>
      <c r="D6" s="15" t="s">
        <v>10</v>
      </c>
      <c r="E6" s="15">
        <v>222915</v>
      </c>
      <c r="H6" s="15" t="s">
        <v>63</v>
      </c>
      <c r="J6" s="35">
        <v>4</v>
      </c>
      <c r="K6" s="35" t="s">
        <v>90</v>
      </c>
      <c r="L6" s="44" t="s">
        <v>91</v>
      </c>
      <c r="M6" s="35" t="s">
        <v>85</v>
      </c>
      <c r="N6" s="37">
        <v>472</v>
      </c>
      <c r="O6" s="37">
        <v>0</v>
      </c>
      <c r="P6" s="38">
        <v>472</v>
      </c>
      <c r="Q6" s="32">
        <f>P6*9</f>
        <v>4248</v>
      </c>
      <c r="R6" s="113"/>
      <c r="S6" s="33" t="s">
        <v>362</v>
      </c>
      <c r="T6" s="34" t="s">
        <v>82</v>
      </c>
      <c r="U6" s="59">
        <f>Q102+Q103</f>
        <v>17681</v>
      </c>
      <c r="V6" s="52">
        <f>AB3</f>
        <v>19295</v>
      </c>
      <c r="W6" s="58"/>
      <c r="X6" s="50" t="s">
        <v>352</v>
      </c>
      <c r="Y6" s="4">
        <f>Y3+Y4-Y7-Y8</f>
        <v>89224.8</v>
      </c>
      <c r="Z6" s="4">
        <f>Z3+Z4-Z7-Z8</f>
        <v>203180.875</v>
      </c>
      <c r="AA6" s="4">
        <f>AA3+AA4-AA7-AA8</f>
        <v>83427.08</v>
      </c>
      <c r="AB6" s="4">
        <v>18330.25</v>
      </c>
      <c r="AC6" s="4">
        <v>119585</v>
      </c>
      <c r="AD6" s="4">
        <v>60416</v>
      </c>
      <c r="AE6" s="4">
        <v>63805</v>
      </c>
      <c r="AF6" s="4">
        <v>3050</v>
      </c>
      <c r="AG6" s="4">
        <v>60541</v>
      </c>
      <c r="AH6" s="4">
        <v>171540</v>
      </c>
      <c r="AI6" s="4">
        <f>AI3</f>
        <v>906880</v>
      </c>
      <c r="AJ6" s="4">
        <v>65033.2</v>
      </c>
      <c r="AK6" s="4">
        <f>AK3-AK7-AK8</f>
        <v>77610</v>
      </c>
      <c r="AL6" s="4">
        <v>44285</v>
      </c>
      <c r="AM6" s="4">
        <v>7110</v>
      </c>
      <c r="AN6" s="4">
        <v>2000</v>
      </c>
      <c r="AO6" s="4">
        <f>AO3+AO4-AO7-AO8</f>
        <v>2856603.75</v>
      </c>
      <c r="AP6" s="4">
        <v>2727</v>
      </c>
    </row>
    <row r="7" spans="1:42">
      <c r="A7" s="15" t="s">
        <v>34</v>
      </c>
      <c r="B7" s="15">
        <f>_xlfn.XLOOKUP(داشبورد!G15,'داده تولید سال 1403'!B1:AH1,'داده تولید سال 1403'!B6:AH6)</f>
        <v>135510</v>
      </c>
      <c r="D7" s="15" t="s">
        <v>11</v>
      </c>
      <c r="E7" s="15">
        <v>98080</v>
      </c>
      <c r="H7" s="15" t="s">
        <v>64</v>
      </c>
      <c r="J7" s="28">
        <v>5</v>
      </c>
      <c r="K7" s="28" t="s">
        <v>92</v>
      </c>
      <c r="L7" s="44" t="s">
        <v>93</v>
      </c>
      <c r="M7" s="28" t="s">
        <v>85</v>
      </c>
      <c r="N7" s="30">
        <v>435</v>
      </c>
      <c r="O7" s="30">
        <v>0</v>
      </c>
      <c r="P7" s="31">
        <v>435</v>
      </c>
      <c r="Q7" s="32">
        <f>P7*4</f>
        <v>1740</v>
      </c>
      <c r="R7" s="113"/>
      <c r="S7" s="33" t="s">
        <v>363</v>
      </c>
      <c r="T7" s="34" t="s">
        <v>82</v>
      </c>
      <c r="U7" s="59">
        <f>Q96+Q97</f>
        <v>208330.375</v>
      </c>
      <c r="V7" s="52">
        <f>AC3+AC4</f>
        <v>224615</v>
      </c>
      <c r="W7" s="58"/>
      <c r="X7" s="50" t="s">
        <v>1</v>
      </c>
      <c r="Y7" s="4">
        <v>5418.2999999999993</v>
      </c>
      <c r="Z7" s="4">
        <v>1766.625</v>
      </c>
      <c r="AA7" s="4">
        <v>2652.92</v>
      </c>
      <c r="AB7" s="4">
        <v>964.75</v>
      </c>
      <c r="AC7" s="4">
        <v>2973.6740000000004</v>
      </c>
      <c r="AD7" s="4">
        <v>1253.098</v>
      </c>
      <c r="AE7" s="4">
        <v>1397.5720000000001</v>
      </c>
      <c r="AF7" s="4">
        <v>92.048000000000016</v>
      </c>
      <c r="AG7" s="4">
        <v>1179.7159999999999</v>
      </c>
      <c r="AH7" s="4">
        <v>114360</v>
      </c>
      <c r="AI7" s="4"/>
      <c r="AJ7" s="4">
        <v>10839</v>
      </c>
      <c r="AK7" s="4">
        <v>4500</v>
      </c>
      <c r="AL7" s="4">
        <v>1309.634</v>
      </c>
      <c r="AM7" s="4">
        <v>790</v>
      </c>
      <c r="AN7" s="4">
        <v>540</v>
      </c>
      <c r="AO7" s="4">
        <v>16277.25</v>
      </c>
      <c r="AP7" s="4">
        <v>33.81</v>
      </c>
    </row>
    <row r="8" spans="1:42">
      <c r="A8" s="15" t="s">
        <v>35</v>
      </c>
      <c r="B8" s="15">
        <f>_xlfn.XLOOKUP(داشبورد!G15,'داده تولید سال 1403'!B1:AH1,'داده تولید سال 1403'!B7:AH7)</f>
        <v>195330</v>
      </c>
      <c r="D8" s="15" t="s">
        <v>12</v>
      </c>
      <c r="E8" s="15">
        <v>119845</v>
      </c>
      <c r="H8" s="15" t="s">
        <v>65</v>
      </c>
      <c r="J8" s="35">
        <v>6</v>
      </c>
      <c r="K8" s="35" t="s">
        <v>94</v>
      </c>
      <c r="L8" s="44" t="s">
        <v>95</v>
      </c>
      <c r="M8" s="35" t="s">
        <v>85</v>
      </c>
      <c r="N8" s="37">
        <v>105</v>
      </c>
      <c r="O8" s="37">
        <v>0</v>
      </c>
      <c r="P8" s="38">
        <v>105</v>
      </c>
      <c r="Q8" s="32">
        <f>P8*9</f>
        <v>945</v>
      </c>
      <c r="R8" s="113"/>
      <c r="S8" s="33" t="s">
        <v>364</v>
      </c>
      <c r="T8" s="34" t="s">
        <v>82</v>
      </c>
      <c r="U8" s="59">
        <f>Q92</f>
        <v>101607</v>
      </c>
      <c r="V8" s="52">
        <f>AD3+AD4</f>
        <v>113480</v>
      </c>
      <c r="W8" s="58"/>
      <c r="X8" s="50" t="s">
        <v>46</v>
      </c>
      <c r="Y8" s="4">
        <v>276.89999999999998</v>
      </c>
      <c r="Z8" s="4">
        <v>1327.5</v>
      </c>
      <c r="AA8" s="4">
        <v>105</v>
      </c>
      <c r="AB8" s="4"/>
      <c r="AC8" s="4">
        <v>979.55</v>
      </c>
      <c r="AD8" s="4">
        <v>744.15</v>
      </c>
      <c r="AE8" s="4">
        <v>711.7</v>
      </c>
      <c r="AF8" s="4">
        <v>8.8000000000000007</v>
      </c>
      <c r="AG8" s="4">
        <v>821.66</v>
      </c>
      <c r="AH8" s="4"/>
      <c r="AI8" s="4"/>
      <c r="AJ8" s="4">
        <v>7986</v>
      </c>
      <c r="AK8" s="4">
        <v>7000</v>
      </c>
      <c r="AL8" s="4">
        <v>154.35</v>
      </c>
      <c r="AM8" s="4"/>
      <c r="AN8" s="4"/>
      <c r="AO8" s="4">
        <v>56969</v>
      </c>
      <c r="AP8" s="4">
        <v>56.35</v>
      </c>
    </row>
    <row r="9" spans="1:42">
      <c r="A9" s="15" t="s">
        <v>36</v>
      </c>
      <c r="B9" s="15">
        <f>_xlfn.XLOOKUP(داشبورد!G15,'داده تولید سال 1403'!B1:AH1,'داده تولید سال 1403'!B8:AH8)</f>
        <v>242850</v>
      </c>
      <c r="D9" s="15" t="s">
        <v>13</v>
      </c>
      <c r="E9" s="15">
        <v>5730</v>
      </c>
      <c r="H9" s="15" t="s">
        <v>66</v>
      </c>
      <c r="J9" s="28">
        <v>7</v>
      </c>
      <c r="K9" s="28" t="s">
        <v>96</v>
      </c>
      <c r="L9" s="44" t="s">
        <v>97</v>
      </c>
      <c r="M9" s="28" t="s">
        <v>85</v>
      </c>
      <c r="N9" s="30">
        <v>52</v>
      </c>
      <c r="O9" s="30">
        <v>0</v>
      </c>
      <c r="P9" s="31">
        <v>52</v>
      </c>
      <c r="Q9" s="32">
        <f>P9*4</f>
        <v>208</v>
      </c>
      <c r="R9" s="113"/>
      <c r="S9" s="33" t="s">
        <v>365</v>
      </c>
      <c r="T9" s="34" t="s">
        <v>82</v>
      </c>
      <c r="U9" s="59">
        <f>Q94</f>
        <v>112167</v>
      </c>
      <c r="V9" s="52">
        <f>AE3+AE4</f>
        <v>119845</v>
      </c>
      <c r="W9" s="58"/>
    </row>
    <row r="10" spans="1:42" ht="15.75" thickBot="1">
      <c r="A10" s="15" t="s">
        <v>37</v>
      </c>
      <c r="B10" s="15">
        <f>_xlfn.XLOOKUP(داشبورد!G15,'داده تولید سال 1403'!B1:AH1,'داده تولید سال 1403'!B9:AH9)</f>
        <v>308140</v>
      </c>
      <c r="D10" s="15" t="s">
        <v>14</v>
      </c>
      <c r="E10" s="15">
        <v>171030</v>
      </c>
      <c r="H10" s="15" t="s">
        <v>67</v>
      </c>
      <c r="J10" s="35">
        <v>8</v>
      </c>
      <c r="K10" s="35" t="s">
        <v>98</v>
      </c>
      <c r="L10" s="44" t="s">
        <v>99</v>
      </c>
      <c r="M10" s="35" t="s">
        <v>85</v>
      </c>
      <c r="N10" s="37">
        <v>2160</v>
      </c>
      <c r="O10" s="37">
        <v>0</v>
      </c>
      <c r="P10" s="38">
        <v>2160</v>
      </c>
      <c r="Q10" s="32">
        <f>P10*0.22</f>
        <v>475.2</v>
      </c>
      <c r="R10" s="113"/>
      <c r="S10" s="33" t="s">
        <v>366</v>
      </c>
      <c r="T10" s="34" t="s">
        <v>82</v>
      </c>
      <c r="U10" s="59">
        <f>Q93</f>
        <v>6734.75</v>
      </c>
      <c r="V10" s="52">
        <f>AF3+AF4</f>
        <v>5730</v>
      </c>
      <c r="W10" s="58"/>
    </row>
    <row r="11" spans="1:42">
      <c r="A11" s="15" t="s">
        <v>38</v>
      </c>
      <c r="B11" s="15">
        <f>_xlfn.XLOOKUP(داشبورد!G15,'داده تولید سال 1403'!B1:AH1,'داده تولید سال 1403'!B10:AH10)</f>
        <v>319750</v>
      </c>
      <c r="D11" s="15" t="s">
        <v>16</v>
      </c>
      <c r="E11" s="15">
        <v>906880</v>
      </c>
      <c r="H11" s="15" t="s">
        <v>68</v>
      </c>
      <c r="J11" s="28">
        <v>9</v>
      </c>
      <c r="K11" s="28" t="s">
        <v>100</v>
      </c>
      <c r="L11" s="44" t="s">
        <v>101</v>
      </c>
      <c r="M11" s="28" t="s">
        <v>85</v>
      </c>
      <c r="N11" s="30">
        <v>189</v>
      </c>
      <c r="O11" s="30">
        <v>0</v>
      </c>
      <c r="P11" s="31">
        <v>189</v>
      </c>
      <c r="Q11" s="32">
        <f>P11*14</f>
        <v>2646</v>
      </c>
      <c r="R11" s="113"/>
      <c r="S11" s="33" t="s">
        <v>367</v>
      </c>
      <c r="T11" s="34" t="s">
        <v>82</v>
      </c>
      <c r="U11" s="59">
        <f>Q98</f>
        <v>164699.5</v>
      </c>
      <c r="V11" s="52">
        <f>AG3+AG4</f>
        <v>171030</v>
      </c>
      <c r="W11" s="58"/>
      <c r="X11" s="66" t="s">
        <v>354</v>
      </c>
      <c r="Y11" s="67" t="s">
        <v>385</v>
      </c>
      <c r="Z11" s="67" t="s">
        <v>384</v>
      </c>
      <c r="AA11" s="67" t="s">
        <v>381</v>
      </c>
      <c r="AB11" s="67" t="s">
        <v>386</v>
      </c>
      <c r="AC11" s="96"/>
      <c r="AD11" s="98" t="s">
        <v>354</v>
      </c>
      <c r="AE11" s="99" t="s">
        <v>385</v>
      </c>
      <c r="AF11" s="99" t="s">
        <v>384</v>
      </c>
      <c r="AG11" s="99" t="s">
        <v>381</v>
      </c>
      <c r="AH11" s="99" t="s">
        <v>386</v>
      </c>
      <c r="AI11" s="96"/>
      <c r="AJ11" s="96"/>
      <c r="AK11" s="96"/>
      <c r="AL11" s="96"/>
      <c r="AM11" s="96"/>
      <c r="AN11" s="96"/>
      <c r="AO11" s="96"/>
      <c r="AP11" s="96"/>
    </row>
    <row r="12" spans="1:42">
      <c r="A12" s="15" t="s">
        <v>57</v>
      </c>
      <c r="B12" s="15">
        <f>_xlfn.XLOOKUP(داشبورد!G15,'داده تولید سال 1403'!B1:AH1,'داده تولید سال 1403'!B11:AH11)</f>
        <v>428750</v>
      </c>
      <c r="D12" s="15" t="s">
        <v>17</v>
      </c>
      <c r="E12" s="15">
        <v>85570</v>
      </c>
      <c r="H12" s="15" t="s">
        <v>69</v>
      </c>
      <c r="J12" s="35">
        <v>10</v>
      </c>
      <c r="K12" s="35" t="s">
        <v>102</v>
      </c>
      <c r="L12" s="45" t="s">
        <v>103</v>
      </c>
      <c r="M12" s="35" t="s">
        <v>85</v>
      </c>
      <c r="N12" s="37">
        <v>9679</v>
      </c>
      <c r="O12" s="37">
        <v>0</v>
      </c>
      <c r="P12" s="38">
        <v>9679</v>
      </c>
      <c r="Q12" s="32">
        <f>P12*0.35</f>
        <v>3387.6499999999996</v>
      </c>
      <c r="R12" s="113"/>
      <c r="S12" s="33" t="s">
        <v>368</v>
      </c>
      <c r="T12" s="34" t="s">
        <v>82</v>
      </c>
      <c r="U12" s="59">
        <f>Q131</f>
        <v>66982.5</v>
      </c>
      <c r="V12" s="52">
        <f>AI3</f>
        <v>906880</v>
      </c>
      <c r="W12" s="58"/>
      <c r="X12" s="68" t="s">
        <v>352</v>
      </c>
      <c r="Y12" s="11">
        <f>SUM(Y6:AP6)</f>
        <v>4835348.9550000001</v>
      </c>
      <c r="Z12" s="11">
        <v>4798591</v>
      </c>
      <c r="AA12" s="11">
        <f>Z12-Y12</f>
        <v>-36757.955000000075</v>
      </c>
      <c r="AB12" s="97">
        <f>AA12/Z12*100</f>
        <v>-0.76601558665866865</v>
      </c>
      <c r="AC12" s="96"/>
      <c r="AD12" s="100" t="s">
        <v>391</v>
      </c>
      <c r="AE12" s="94">
        <f>SUM(Y6:AP6)</f>
        <v>4835348.9550000001</v>
      </c>
      <c r="AF12" s="94">
        <f>'داده تولید سال 1403'!H14</f>
        <v>4732081.1850000005</v>
      </c>
      <c r="AG12" s="94">
        <f>AF12-AE12</f>
        <v>-103267.76999999955</v>
      </c>
      <c r="AH12" s="93">
        <f>AG12/AF12*100</f>
        <v>-2.1822907503646207</v>
      </c>
      <c r="AI12" s="96"/>
      <c r="AJ12" s="96"/>
      <c r="AK12" s="96"/>
      <c r="AL12" s="96"/>
      <c r="AM12" s="96"/>
      <c r="AN12" s="96"/>
      <c r="AO12" s="96"/>
      <c r="AP12" s="96"/>
    </row>
    <row r="13" spans="1:42">
      <c r="A13" s="15" t="s">
        <v>40</v>
      </c>
      <c r="B13" s="15">
        <f>_xlfn.XLOOKUP(داشبورد!G15,'داده تولید سال 1403'!B1:AH1,'داده تولید سال 1403'!B12:AH12)</f>
        <v>111100</v>
      </c>
      <c r="D13" s="15" t="s">
        <v>19</v>
      </c>
      <c r="E13" s="15">
        <v>74310</v>
      </c>
      <c r="H13" s="15" t="s">
        <v>70</v>
      </c>
      <c r="J13" s="28">
        <v>11</v>
      </c>
      <c r="K13" s="28" t="s">
        <v>104</v>
      </c>
      <c r="L13" s="45" t="s">
        <v>105</v>
      </c>
      <c r="M13" s="28" t="s">
        <v>85</v>
      </c>
      <c r="N13" s="30">
        <v>12054</v>
      </c>
      <c r="O13" s="30">
        <v>0</v>
      </c>
      <c r="P13" s="31">
        <v>12054</v>
      </c>
      <c r="Q13" s="32">
        <f>P13*0.25</f>
        <v>3013.5</v>
      </c>
      <c r="R13" s="113"/>
      <c r="S13" s="33" t="s">
        <v>369</v>
      </c>
      <c r="T13" s="34" t="s">
        <v>82</v>
      </c>
      <c r="U13" s="59">
        <f>Q14+Q15+Q16+Q17+Q18+Q44+Q26+Q12+Q13+Q19+Q20+Q23+Q24+Q25+Q61</f>
        <v>89292.87000000001</v>
      </c>
      <c r="V13" s="52">
        <f>AJ3+AJ4</f>
        <v>85570</v>
      </c>
      <c r="W13" s="58"/>
      <c r="X13" s="68" t="s">
        <v>1</v>
      </c>
      <c r="Y13" s="11">
        <f>SUM(Y7:AP7)</f>
        <v>166348.397</v>
      </c>
      <c r="Z13" s="11">
        <f>داشبورد!C6</f>
        <v>184648.815</v>
      </c>
      <c r="AA13" s="11">
        <f>Z13-Y13</f>
        <v>18300.418000000005</v>
      </c>
      <c r="AB13" s="97">
        <f>AA13/Z13*100</f>
        <v>9.9109317327598365</v>
      </c>
      <c r="AC13" s="96"/>
      <c r="AD13" s="100" t="s">
        <v>389</v>
      </c>
      <c r="AE13" s="94">
        <f>SUM(Y7:AP7)</f>
        <v>166348.397</v>
      </c>
      <c r="AF13" s="94">
        <f>'داده تولید سال 1403'!F14</f>
        <v>184648.815</v>
      </c>
      <c r="AG13" s="94">
        <f>AF13-AE13</f>
        <v>18300.418000000005</v>
      </c>
      <c r="AH13" s="93">
        <f t="shared" ref="AH13:AH15" si="0">AG13/AF13*100</f>
        <v>9.9109317327598365</v>
      </c>
      <c r="AI13" s="96"/>
      <c r="AJ13" s="96"/>
      <c r="AK13" s="96"/>
      <c r="AL13" s="96"/>
      <c r="AM13" s="96"/>
      <c r="AN13" s="96"/>
      <c r="AO13" s="96"/>
      <c r="AP13" s="96"/>
    </row>
    <row r="14" spans="1:42" ht="15.75" thickBot="1">
      <c r="A14" s="15" t="s">
        <v>41</v>
      </c>
      <c r="B14" s="15">
        <f>_xlfn.XLOOKUP(داشبورد!G15,'داده تولید سال 1403'!B1:AH1,'داده تولید سال 1403'!B13:AH13)</f>
        <v>83950</v>
      </c>
      <c r="D14" s="15" t="s">
        <v>20</v>
      </c>
      <c r="E14" s="15">
        <v>13470</v>
      </c>
      <c r="H14" s="15" t="s">
        <v>20</v>
      </c>
      <c r="J14" s="35">
        <v>12</v>
      </c>
      <c r="K14" s="35" t="s">
        <v>106</v>
      </c>
      <c r="L14" s="45" t="s">
        <v>107</v>
      </c>
      <c r="M14" s="35" t="s">
        <v>85</v>
      </c>
      <c r="N14" s="37">
        <v>6279</v>
      </c>
      <c r="O14" s="37">
        <v>0</v>
      </c>
      <c r="P14" s="38">
        <v>6279</v>
      </c>
      <c r="Q14" s="39">
        <f>P14*0.18</f>
        <v>1130.22</v>
      </c>
      <c r="R14" s="113"/>
      <c r="S14" s="103" t="s">
        <v>370</v>
      </c>
      <c r="T14" s="108" t="s">
        <v>82</v>
      </c>
      <c r="U14" s="106">
        <f>Q3+Q4+Q5+Q6+Q7+Q8+Q9+Q10+Q51+Q52+Q53+Q55++Q56+Q57+Q58+Q11+Q43+Q62+Q63+Q64</f>
        <v>113660.03</v>
      </c>
      <c r="V14" s="107">
        <f>AK3</f>
        <v>89110</v>
      </c>
      <c r="W14" s="58"/>
      <c r="X14" s="69" t="s">
        <v>353</v>
      </c>
      <c r="Y14" s="72">
        <f>SUM(Y8:AP8)</f>
        <v>77140.960000000006</v>
      </c>
      <c r="Z14" s="70">
        <v>78027</v>
      </c>
      <c r="AA14" s="70">
        <f>Z14-Y14</f>
        <v>886.0399999999936</v>
      </c>
      <c r="AB14" s="71">
        <f>AA14/Z14*100</f>
        <v>1.1355556409960572</v>
      </c>
      <c r="AC14" s="86"/>
      <c r="AD14" s="101" t="s">
        <v>392</v>
      </c>
      <c r="AE14" s="95">
        <f>SUM(Y6:AP6)</f>
        <v>4835348.9550000001</v>
      </c>
      <c r="AF14" s="95">
        <f>'داده تولید سال 1403'!G14</f>
        <v>4737547.21</v>
      </c>
      <c r="AG14" s="95">
        <f>AF14-AE14</f>
        <v>-97801.745000000112</v>
      </c>
      <c r="AH14" s="102">
        <f t="shared" si="0"/>
        <v>-2.0643962089403667</v>
      </c>
    </row>
    <row r="15" spans="1:42">
      <c r="D15" s="15" t="s">
        <v>21</v>
      </c>
      <c r="E15" s="15">
        <v>1330</v>
      </c>
      <c r="H15" s="15" t="s">
        <v>21</v>
      </c>
      <c r="J15" s="28">
        <v>13</v>
      </c>
      <c r="K15" s="28" t="s">
        <v>108</v>
      </c>
      <c r="L15" s="45" t="s">
        <v>109</v>
      </c>
      <c r="M15" s="28" t="s">
        <v>85</v>
      </c>
      <c r="N15" s="30">
        <v>9060</v>
      </c>
      <c r="O15" s="30">
        <v>0</v>
      </c>
      <c r="P15" s="31">
        <v>9060</v>
      </c>
      <c r="Q15" s="39">
        <f>P15*0.3</f>
        <v>2718</v>
      </c>
      <c r="R15" s="113"/>
      <c r="S15" s="104"/>
      <c r="T15" s="109"/>
      <c r="U15" s="106"/>
      <c r="V15" s="107"/>
      <c r="W15" s="54"/>
      <c r="AD15" s="101" t="s">
        <v>390</v>
      </c>
      <c r="AE15" s="95">
        <f>SUM(Y7:AP7)</f>
        <v>166348.397</v>
      </c>
      <c r="AF15" s="95">
        <f>'داده تولید سال 1403'!E14</f>
        <v>179182.79</v>
      </c>
      <c r="AG15" s="95">
        <f>AF15-AE15</f>
        <v>12834.393000000011</v>
      </c>
      <c r="AH15" s="102">
        <f t="shared" si="0"/>
        <v>7.1627375597846248</v>
      </c>
    </row>
    <row r="16" spans="1:42">
      <c r="A16" s="15" t="s">
        <v>55</v>
      </c>
      <c r="B16" s="15"/>
      <c r="D16" s="15" t="s">
        <v>22</v>
      </c>
      <c r="E16" s="15">
        <v>117130</v>
      </c>
      <c r="H16" s="15" t="s">
        <v>22</v>
      </c>
      <c r="J16" s="35">
        <v>14</v>
      </c>
      <c r="K16" s="35" t="s">
        <v>110</v>
      </c>
      <c r="L16" s="45" t="s">
        <v>111</v>
      </c>
      <c r="M16" s="35" t="s">
        <v>85</v>
      </c>
      <c r="N16" s="37">
        <v>5292</v>
      </c>
      <c r="O16" s="37">
        <v>0</v>
      </c>
      <c r="P16" s="38">
        <v>5292</v>
      </c>
      <c r="Q16" s="39">
        <f>P16*0.13</f>
        <v>687.96</v>
      </c>
      <c r="R16" s="113"/>
      <c r="S16" s="105"/>
      <c r="T16" s="110"/>
      <c r="U16" s="106"/>
      <c r="V16" s="107"/>
      <c r="W16" s="54"/>
      <c r="AD16" s="15" t="s">
        <v>46</v>
      </c>
      <c r="AE16" s="15">
        <v>77141</v>
      </c>
      <c r="AF16" s="15">
        <v>78027</v>
      </c>
      <c r="AG16" s="15">
        <v>886</v>
      </c>
      <c r="AH16" s="15">
        <v>1.1000000000000001</v>
      </c>
    </row>
    <row r="17" spans="1:35">
      <c r="A17" s="15" t="s">
        <v>30</v>
      </c>
      <c r="B17" s="15">
        <f>_xlfn.XLOOKUP(داشبورد!A15,'داده تولید سال 1403'!B1:AH1,'داده تولید سال 1403'!B2:AH2)</f>
        <v>366740</v>
      </c>
      <c r="D17" s="15" t="s">
        <v>23</v>
      </c>
      <c r="E17" s="15">
        <v>81400</v>
      </c>
      <c r="H17" s="15" t="s">
        <v>71</v>
      </c>
      <c r="J17" s="28">
        <v>15</v>
      </c>
      <c r="K17" s="28" t="s">
        <v>112</v>
      </c>
      <c r="L17" s="45" t="s">
        <v>113</v>
      </c>
      <c r="M17" s="28" t="s">
        <v>85</v>
      </c>
      <c r="N17" s="30">
        <v>3720</v>
      </c>
      <c r="O17" s="30">
        <v>0</v>
      </c>
      <c r="P17" s="31">
        <v>3720</v>
      </c>
      <c r="Q17" s="39">
        <f>P17*0.22</f>
        <v>818.4</v>
      </c>
      <c r="R17" s="113"/>
      <c r="S17" s="33" t="s">
        <v>371</v>
      </c>
      <c r="T17" s="34" t="s">
        <v>82</v>
      </c>
      <c r="U17" s="59">
        <f>Q95</f>
        <v>119608.75</v>
      </c>
      <c r="V17" s="52">
        <f>AL3+AL4</f>
        <v>117130</v>
      </c>
      <c r="W17" s="54"/>
    </row>
    <row r="18" spans="1:35">
      <c r="A18" s="15" t="s">
        <v>56</v>
      </c>
      <c r="B18" s="15">
        <f>_xlfn.XLOOKUP(داشبورد!A15,'داده تولید سال 1403'!B1:AH1,'داده تولید سال 1403'!B3:AH3)</f>
        <v>383290</v>
      </c>
      <c r="D18" s="15" t="s">
        <v>24</v>
      </c>
      <c r="E18" s="15">
        <v>7900</v>
      </c>
      <c r="H18" s="15" t="s">
        <v>72</v>
      </c>
      <c r="J18" s="35">
        <v>16</v>
      </c>
      <c r="K18" s="35" t="s">
        <v>114</v>
      </c>
      <c r="L18" s="45" t="s">
        <v>115</v>
      </c>
      <c r="M18" s="35" t="s">
        <v>85</v>
      </c>
      <c r="N18" s="37">
        <v>17512</v>
      </c>
      <c r="O18" s="37">
        <v>0</v>
      </c>
      <c r="P18" s="38">
        <v>17512</v>
      </c>
      <c r="Q18" s="39">
        <f>P18*2.6</f>
        <v>45531.200000000004</v>
      </c>
      <c r="R18" s="113"/>
      <c r="S18" s="33" t="s">
        <v>372</v>
      </c>
      <c r="T18" s="34" t="s">
        <v>82</v>
      </c>
      <c r="U18" s="59">
        <f>Q100+Q101</f>
        <v>11004.5</v>
      </c>
      <c r="V18" s="52">
        <f>AM3</f>
        <v>7900</v>
      </c>
      <c r="W18" s="54"/>
      <c r="AI18" t="s">
        <v>393</v>
      </c>
    </row>
    <row r="19" spans="1:35">
      <c r="A19" s="15" t="s">
        <v>32</v>
      </c>
      <c r="B19" s="15">
        <f>_xlfn.XLOOKUP(داشبورد!A15,'داده تولید سال 1403'!B1:AH1,'داده تولید سال 1403'!B4:AH4)</f>
        <v>768290</v>
      </c>
      <c r="D19" s="15" t="s">
        <v>26</v>
      </c>
      <c r="E19" s="15">
        <v>2540</v>
      </c>
      <c r="H19" s="15" t="s">
        <v>26</v>
      </c>
      <c r="J19" s="28">
        <v>17</v>
      </c>
      <c r="K19" s="28" t="s">
        <v>116</v>
      </c>
      <c r="L19" s="45" t="s">
        <v>117</v>
      </c>
      <c r="M19" s="28" t="s">
        <v>85</v>
      </c>
      <c r="N19" s="30">
        <v>46727</v>
      </c>
      <c r="O19" s="30">
        <v>0</v>
      </c>
      <c r="P19" s="31">
        <v>46727</v>
      </c>
      <c r="Q19" s="32">
        <f>P19*0.1</f>
        <v>4672.7</v>
      </c>
      <c r="R19" s="113"/>
      <c r="S19" s="33" t="s">
        <v>373</v>
      </c>
      <c r="T19" s="34" t="s">
        <v>82</v>
      </c>
      <c r="U19" s="59">
        <f>Q21+Q22+Q45+Q46+Q48+Q49+Q65</f>
        <v>5323.12</v>
      </c>
      <c r="V19" s="53">
        <f>AN3</f>
        <v>2540</v>
      </c>
      <c r="W19" s="55"/>
    </row>
    <row r="20" spans="1:35">
      <c r="A20" s="15" t="s">
        <v>33</v>
      </c>
      <c r="B20" s="15">
        <f>_xlfn.XLOOKUP(داشبورد!A15,'داده تولید سال 1403'!B1:AH1,'داده تولید سال 1403'!B5:AH5)</f>
        <v>259850</v>
      </c>
      <c r="D20" s="15" t="s">
        <v>28</v>
      </c>
      <c r="E20" s="15">
        <v>8050</v>
      </c>
      <c r="H20" s="15" t="s">
        <v>28</v>
      </c>
      <c r="J20" s="35">
        <v>18</v>
      </c>
      <c r="K20" s="35" t="s">
        <v>118</v>
      </c>
      <c r="L20" s="45" t="s">
        <v>119</v>
      </c>
      <c r="M20" s="35" t="s">
        <v>85</v>
      </c>
      <c r="N20" s="37">
        <v>9440</v>
      </c>
      <c r="O20" s="37">
        <v>0</v>
      </c>
      <c r="P20" s="38">
        <v>9440</v>
      </c>
      <c r="Q20" s="32">
        <f>P20*0.1</f>
        <v>944</v>
      </c>
      <c r="R20" s="113"/>
      <c r="S20" s="33" t="s">
        <v>374</v>
      </c>
      <c r="T20" s="34" t="s">
        <v>82</v>
      </c>
      <c r="U20" s="59">
        <f>Q99</f>
        <v>12592.5</v>
      </c>
      <c r="V20" s="52">
        <f>AP4</f>
        <v>8050</v>
      </c>
      <c r="W20" s="54"/>
      <c r="Z20" t="s">
        <v>358</v>
      </c>
      <c r="AF20" s="87"/>
    </row>
    <row r="21" spans="1:35">
      <c r="A21" s="15" t="s">
        <v>34</v>
      </c>
      <c r="B21" s="15">
        <f>_xlfn.XLOOKUP(داشبورد!A15,'داده تولید سال 1403'!B1:AH1,'داده تولید سال 1403'!B6:AH6)</f>
        <v>197670</v>
      </c>
      <c r="D21" s="15"/>
      <c r="E21" s="15">
        <v>5152575</v>
      </c>
      <c r="J21" s="28">
        <v>19</v>
      </c>
      <c r="K21" s="28" t="s">
        <v>120</v>
      </c>
      <c r="L21" s="29" t="s">
        <v>121</v>
      </c>
      <c r="M21" s="28" t="s">
        <v>85</v>
      </c>
      <c r="N21" s="30">
        <v>7288</v>
      </c>
      <c r="O21" s="30">
        <v>0</v>
      </c>
      <c r="P21" s="31">
        <v>7288</v>
      </c>
      <c r="Q21" s="32">
        <f>P21*0.18</f>
        <v>1311.84</v>
      </c>
      <c r="R21" s="113"/>
      <c r="S21" s="40" t="s">
        <v>375</v>
      </c>
      <c r="T21" s="34" t="s">
        <v>82</v>
      </c>
      <c r="U21" s="59">
        <f>Q31+Q32+Q33+Q34+Q35+Q36+Q37+Q38+Q39+Q40+Q41+Q42+Q30+Q29+Q28+Q27+Q47+Q60</f>
        <v>501563.02</v>
      </c>
      <c r="V21" s="52">
        <f>AO3+AO4</f>
        <v>2929850</v>
      </c>
      <c r="W21" s="54"/>
    </row>
    <row r="22" spans="1:35">
      <c r="A22" s="15" t="s">
        <v>35</v>
      </c>
      <c r="B22" s="15">
        <f>_xlfn.XLOOKUP(داشبورد!A15,'داده تولید سال 1403'!B1:AH1,'داده تولید سال 1403'!B7:AH7)</f>
        <v>285070</v>
      </c>
      <c r="J22" s="35">
        <v>20</v>
      </c>
      <c r="K22" s="35" t="s">
        <v>122</v>
      </c>
      <c r="L22" s="46" t="s">
        <v>123</v>
      </c>
      <c r="M22" s="35" t="s">
        <v>85</v>
      </c>
      <c r="N22" s="37">
        <v>2710</v>
      </c>
      <c r="O22" s="37">
        <v>0</v>
      </c>
      <c r="P22" s="38">
        <v>2710</v>
      </c>
      <c r="Q22" s="32">
        <f>P22*0.35</f>
        <v>948.49999999999989</v>
      </c>
      <c r="R22" s="113"/>
      <c r="V22" s="24"/>
      <c r="W22" s="24"/>
    </row>
    <row r="23" spans="1:35">
      <c r="A23" s="15" t="s">
        <v>36</v>
      </c>
      <c r="B23" s="15">
        <f>_xlfn.XLOOKUP(داشبورد!A15,'داده تولید سال 1403'!B1:AH1,'داده تولید سال 1403'!B8:AH8)</f>
        <v>318080</v>
      </c>
      <c r="J23" s="28">
        <v>21</v>
      </c>
      <c r="K23" s="28" t="s">
        <v>124</v>
      </c>
      <c r="L23" s="45" t="s">
        <v>125</v>
      </c>
      <c r="M23" s="28" t="s">
        <v>85</v>
      </c>
      <c r="N23" s="30">
        <v>2424</v>
      </c>
      <c r="O23" s="30">
        <v>0</v>
      </c>
      <c r="P23" s="31">
        <v>2424</v>
      </c>
      <c r="Q23" s="32">
        <f>P23*0.22</f>
        <v>533.28</v>
      </c>
      <c r="R23" s="113"/>
      <c r="V23" s="24"/>
      <c r="W23" s="24"/>
    </row>
    <row r="24" spans="1:35">
      <c r="A24" s="15" t="s">
        <v>37</v>
      </c>
      <c r="B24" s="15">
        <f>_xlfn.XLOOKUP(داشبورد!A15,'داده تولید سال 1403'!B1:AH1,'داده تولید سال 1403'!B9:AH9)</f>
        <v>381880</v>
      </c>
      <c r="J24" s="35">
        <v>22</v>
      </c>
      <c r="K24" s="35" t="s">
        <v>126</v>
      </c>
      <c r="L24" s="45" t="s">
        <v>127</v>
      </c>
      <c r="M24" s="35" t="s">
        <v>85</v>
      </c>
      <c r="N24" s="37">
        <v>12440</v>
      </c>
      <c r="O24" s="37">
        <v>0</v>
      </c>
      <c r="P24" s="38">
        <v>12440</v>
      </c>
      <c r="Q24" s="32">
        <f>P24*0.09</f>
        <v>1119.5999999999999</v>
      </c>
      <c r="R24" s="113"/>
      <c r="S24" s="24"/>
      <c r="T24" s="24"/>
      <c r="U24" s="24"/>
      <c r="V24" s="24"/>
      <c r="W24" s="24"/>
    </row>
    <row r="25" spans="1:35">
      <c r="A25" s="15" t="s">
        <v>38</v>
      </c>
      <c r="B25" s="15">
        <f>_xlfn.XLOOKUP(داشبورد!A15,'داده تولید سال 1403'!B1:AH1,'داده تولید سال 1403'!B10:AH10)</f>
        <v>400850</v>
      </c>
      <c r="J25" s="28">
        <v>23</v>
      </c>
      <c r="K25" s="28" t="s">
        <v>128</v>
      </c>
      <c r="L25" s="45" t="s">
        <v>129</v>
      </c>
      <c r="M25" s="28" t="s">
        <v>85</v>
      </c>
      <c r="N25" s="30">
        <v>222000</v>
      </c>
      <c r="O25" s="30">
        <v>0</v>
      </c>
      <c r="P25" s="31">
        <v>222000</v>
      </c>
      <c r="Q25" s="32">
        <f>P25*0.07</f>
        <v>15540.000000000002</v>
      </c>
      <c r="R25" s="113"/>
      <c r="S25" s="24"/>
      <c r="T25" s="24"/>
      <c r="U25" s="24"/>
      <c r="V25" s="24"/>
      <c r="W25" s="24"/>
    </row>
    <row r="26" spans="1:35">
      <c r="A26" s="15" t="s">
        <v>57</v>
      </c>
      <c r="B26" s="15">
        <f>_xlfn.XLOOKUP(داشبورد!A15,'داده تولید سال 1403'!B1:AH1,'داده تولید سال 1403'!B11:AH11)</f>
        <v>540370</v>
      </c>
      <c r="J26" s="35">
        <v>24</v>
      </c>
      <c r="K26" s="35" t="s">
        <v>130</v>
      </c>
      <c r="L26" s="45" t="s">
        <v>131</v>
      </c>
      <c r="M26" s="35" t="s">
        <v>85</v>
      </c>
      <c r="N26" s="37">
        <v>69958</v>
      </c>
      <c r="O26" s="37">
        <v>0</v>
      </c>
      <c r="P26" s="38">
        <v>69958</v>
      </c>
      <c r="Q26" s="39">
        <f>P26*0.12</f>
        <v>8394.9599999999991</v>
      </c>
      <c r="R26" s="113"/>
      <c r="S26" s="24"/>
      <c r="T26" s="24"/>
      <c r="U26" s="24"/>
      <c r="V26" s="24"/>
      <c r="W26" s="24"/>
    </row>
    <row r="27" spans="1:35">
      <c r="A27" s="15" t="s">
        <v>40</v>
      </c>
      <c r="B27" s="15">
        <f>_xlfn.XLOOKUP(داشبورد!A15,'داده تولید سال 1403'!B1:AH1,'داده تولید سال 1403'!B12:AH12)</f>
        <v>523760</v>
      </c>
      <c r="J27" s="28">
        <v>25</v>
      </c>
      <c r="K27" s="28" t="s">
        <v>132</v>
      </c>
      <c r="L27" s="29" t="s">
        <v>133</v>
      </c>
      <c r="M27" s="28" t="s">
        <v>85</v>
      </c>
      <c r="N27" s="30">
        <v>4273641</v>
      </c>
      <c r="O27" s="30">
        <v>-33432</v>
      </c>
      <c r="P27" s="31">
        <v>4240209</v>
      </c>
      <c r="Q27" s="39">
        <f>P27*0.1</f>
        <v>424020.9</v>
      </c>
      <c r="R27" s="113"/>
      <c r="S27" s="24"/>
      <c r="T27" s="24"/>
      <c r="U27" s="24"/>
      <c r="V27" s="24"/>
      <c r="W27" s="24"/>
    </row>
    <row r="28" spans="1:35">
      <c r="A28" s="15" t="s">
        <v>41</v>
      </c>
      <c r="B28" s="15">
        <f>_xlfn.XLOOKUP(داشبورد!A15,'داده تولید سال 1403'!B1:AH1,'داده تولید سال 1403'!B13:AH13)</f>
        <v>490880</v>
      </c>
      <c r="J28" s="35">
        <v>26</v>
      </c>
      <c r="K28" s="35" t="s">
        <v>134</v>
      </c>
      <c r="L28" s="36" t="s">
        <v>135</v>
      </c>
      <c r="M28" s="35" t="s">
        <v>85</v>
      </c>
      <c r="N28" s="37">
        <v>144986</v>
      </c>
      <c r="O28" s="37">
        <v>-24472</v>
      </c>
      <c r="P28" s="38">
        <v>120514</v>
      </c>
      <c r="Q28" s="39">
        <f>P28*0.1</f>
        <v>12051.400000000001</v>
      </c>
      <c r="R28" s="113"/>
      <c r="S28" s="24"/>
      <c r="T28" s="24"/>
      <c r="U28" s="24"/>
      <c r="V28" s="24"/>
      <c r="W28" s="24"/>
    </row>
    <row r="29" spans="1:35">
      <c r="J29" s="28">
        <v>27</v>
      </c>
      <c r="K29" s="28" t="s">
        <v>136</v>
      </c>
      <c r="L29" s="29" t="s">
        <v>137</v>
      </c>
      <c r="M29" s="28" t="s">
        <v>85</v>
      </c>
      <c r="N29" s="30">
        <v>100632</v>
      </c>
      <c r="O29" s="30">
        <v>0</v>
      </c>
      <c r="P29" s="31">
        <v>100632</v>
      </c>
      <c r="Q29" s="39">
        <f>P29*0.1</f>
        <v>10063.200000000001</v>
      </c>
      <c r="R29" s="113"/>
      <c r="S29" s="24"/>
      <c r="T29" s="24"/>
      <c r="U29" s="24"/>
      <c r="V29" s="24"/>
      <c r="W29" s="24"/>
    </row>
    <row r="30" spans="1:35">
      <c r="J30" s="35">
        <v>28</v>
      </c>
      <c r="K30" s="35" t="s">
        <v>138</v>
      </c>
      <c r="L30" s="36" t="s">
        <v>139</v>
      </c>
      <c r="M30" s="35" t="s">
        <v>85</v>
      </c>
      <c r="N30" s="37">
        <v>92150</v>
      </c>
      <c r="O30" s="37">
        <v>0</v>
      </c>
      <c r="P30" s="38">
        <v>92150</v>
      </c>
      <c r="Q30" s="39">
        <f>P30*0.1</f>
        <v>9215</v>
      </c>
      <c r="R30" s="113"/>
      <c r="S30" s="24"/>
      <c r="T30" s="24"/>
      <c r="U30" s="24"/>
      <c r="V30" s="24"/>
      <c r="W30" s="24"/>
    </row>
    <row r="31" spans="1:35">
      <c r="J31" s="28">
        <v>29</v>
      </c>
      <c r="K31" s="28" t="s">
        <v>140</v>
      </c>
      <c r="L31" s="29" t="s">
        <v>141</v>
      </c>
      <c r="M31" s="28" t="s">
        <v>85</v>
      </c>
      <c r="N31" s="30">
        <v>8977</v>
      </c>
      <c r="O31" s="30">
        <v>0</v>
      </c>
      <c r="P31" s="31">
        <v>8977</v>
      </c>
      <c r="Q31" s="39">
        <f>P31*0.35</f>
        <v>3141.95</v>
      </c>
      <c r="R31" s="113"/>
      <c r="S31" s="24"/>
      <c r="T31" s="24"/>
      <c r="U31" s="24"/>
      <c r="V31" s="24"/>
      <c r="W31" s="24"/>
    </row>
    <row r="32" spans="1:35">
      <c r="J32" s="35">
        <v>30</v>
      </c>
      <c r="K32" s="35" t="s">
        <v>142</v>
      </c>
      <c r="L32" s="36" t="s">
        <v>143</v>
      </c>
      <c r="M32" s="35" t="s">
        <v>85</v>
      </c>
      <c r="N32" s="37">
        <v>18641</v>
      </c>
      <c r="O32" s="37">
        <v>0</v>
      </c>
      <c r="P32" s="38">
        <v>18641</v>
      </c>
      <c r="Q32" s="39">
        <f>P32*0.27</f>
        <v>5033.0700000000006</v>
      </c>
      <c r="R32" s="113"/>
      <c r="S32" s="24"/>
      <c r="T32" s="24"/>
      <c r="U32" s="24"/>
      <c r="V32" s="24"/>
      <c r="W32" s="24"/>
    </row>
    <row r="33" spans="10:23">
      <c r="J33" s="28">
        <v>31</v>
      </c>
      <c r="K33" s="28" t="s">
        <v>144</v>
      </c>
      <c r="L33" s="29" t="s">
        <v>145</v>
      </c>
      <c r="M33" s="28" t="s">
        <v>85</v>
      </c>
      <c r="N33" s="30">
        <v>86</v>
      </c>
      <c r="O33" s="30">
        <v>0</v>
      </c>
      <c r="P33" s="31">
        <v>86</v>
      </c>
      <c r="Q33" s="39">
        <f>P33*8</f>
        <v>688</v>
      </c>
      <c r="R33" s="113"/>
      <c r="S33" s="24"/>
      <c r="T33" s="24"/>
      <c r="U33" s="24"/>
      <c r="V33" s="24"/>
      <c r="W33" s="24"/>
    </row>
    <row r="34" spans="10:23">
      <c r="J34" s="35">
        <v>32</v>
      </c>
      <c r="K34" s="35" t="s">
        <v>146</v>
      </c>
      <c r="L34" s="36" t="s">
        <v>147</v>
      </c>
      <c r="M34" s="35" t="s">
        <v>85</v>
      </c>
      <c r="N34" s="37">
        <v>69</v>
      </c>
      <c r="O34" s="37">
        <v>0</v>
      </c>
      <c r="P34" s="38">
        <v>69</v>
      </c>
      <c r="Q34" s="39">
        <f>P34*6</f>
        <v>414</v>
      </c>
      <c r="R34" s="113"/>
      <c r="S34" s="24"/>
      <c r="T34" s="24"/>
      <c r="U34" s="24"/>
      <c r="V34" s="24"/>
      <c r="W34" s="24"/>
    </row>
    <row r="35" spans="10:23">
      <c r="J35" s="28">
        <v>33</v>
      </c>
      <c r="K35" s="28" t="s">
        <v>148</v>
      </c>
      <c r="L35" s="29" t="s">
        <v>149</v>
      </c>
      <c r="M35" s="28" t="s">
        <v>85</v>
      </c>
      <c r="N35" s="30">
        <v>3876</v>
      </c>
      <c r="O35" s="30">
        <v>0</v>
      </c>
      <c r="P35" s="31">
        <v>3876</v>
      </c>
      <c r="Q35" s="39">
        <f>P35*0.3</f>
        <v>1162.8</v>
      </c>
      <c r="R35" s="113"/>
      <c r="S35" s="24"/>
      <c r="T35" s="24"/>
      <c r="U35" s="24"/>
      <c r="V35" s="24"/>
      <c r="W35" s="24"/>
    </row>
    <row r="36" spans="10:23">
      <c r="J36" s="35">
        <v>34</v>
      </c>
      <c r="K36" s="35" t="s">
        <v>150</v>
      </c>
      <c r="L36" s="36" t="s">
        <v>151</v>
      </c>
      <c r="M36" s="35" t="s">
        <v>85</v>
      </c>
      <c r="N36" s="37">
        <v>1392</v>
      </c>
      <c r="O36" s="37">
        <v>0</v>
      </c>
      <c r="P36" s="38">
        <v>1392</v>
      </c>
      <c r="Q36" s="39">
        <f>P36*5</f>
        <v>6960</v>
      </c>
      <c r="R36" s="113"/>
      <c r="S36" s="24"/>
      <c r="T36" s="24"/>
      <c r="U36" s="24"/>
      <c r="V36" s="24"/>
      <c r="W36" s="24"/>
    </row>
    <row r="37" spans="10:23">
      <c r="J37" s="28">
        <v>35</v>
      </c>
      <c r="K37" s="28" t="s">
        <v>152</v>
      </c>
      <c r="L37" s="29" t="s">
        <v>153</v>
      </c>
      <c r="M37" s="28" t="s">
        <v>85</v>
      </c>
      <c r="N37" s="30">
        <v>10032</v>
      </c>
      <c r="O37" s="30">
        <v>0</v>
      </c>
      <c r="P37" s="31">
        <v>10032</v>
      </c>
      <c r="Q37" s="39">
        <f>P37*0.3</f>
        <v>3009.6</v>
      </c>
      <c r="R37" s="113"/>
      <c r="S37" s="24"/>
      <c r="T37" s="24"/>
      <c r="U37" s="24"/>
      <c r="V37" s="24"/>
      <c r="W37" s="24"/>
    </row>
    <row r="38" spans="10:23">
      <c r="J38" s="35">
        <v>36</v>
      </c>
      <c r="K38" s="35" t="s">
        <v>154</v>
      </c>
      <c r="L38" s="36" t="s">
        <v>155</v>
      </c>
      <c r="M38" s="35" t="s">
        <v>85</v>
      </c>
      <c r="N38" s="37">
        <v>108666</v>
      </c>
      <c r="O38" s="37">
        <v>0</v>
      </c>
      <c r="P38" s="38">
        <v>108666</v>
      </c>
      <c r="Q38" s="39">
        <f>P38*0.1</f>
        <v>10866.6</v>
      </c>
      <c r="R38" s="113"/>
      <c r="S38" s="24"/>
      <c r="T38" s="24"/>
      <c r="U38" s="24"/>
      <c r="V38" s="24"/>
      <c r="W38" s="24"/>
    </row>
    <row r="39" spans="10:23">
      <c r="J39" s="28">
        <v>37</v>
      </c>
      <c r="K39" s="28" t="s">
        <v>156</v>
      </c>
      <c r="L39" s="29" t="s">
        <v>157</v>
      </c>
      <c r="M39" s="28" t="s">
        <v>85</v>
      </c>
      <c r="N39" s="30">
        <v>1877</v>
      </c>
      <c r="O39" s="30">
        <v>0</v>
      </c>
      <c r="P39" s="31">
        <v>1877</v>
      </c>
      <c r="Q39" s="39">
        <f>P39*0.2</f>
        <v>375.40000000000003</v>
      </c>
      <c r="R39" s="113"/>
      <c r="S39" s="24"/>
      <c r="T39" s="24"/>
      <c r="U39" s="24"/>
      <c r="V39" s="24"/>
      <c r="W39" s="24"/>
    </row>
    <row r="40" spans="10:23">
      <c r="J40" s="35">
        <v>38</v>
      </c>
      <c r="K40" s="35" t="s">
        <v>158</v>
      </c>
      <c r="L40" s="36" t="s">
        <v>159</v>
      </c>
      <c r="M40" s="35" t="s">
        <v>85</v>
      </c>
      <c r="N40" s="37">
        <v>467</v>
      </c>
      <c r="O40" s="37">
        <v>0</v>
      </c>
      <c r="P40" s="38">
        <v>467</v>
      </c>
      <c r="Q40" s="39">
        <f>P40*0.1</f>
        <v>46.7</v>
      </c>
      <c r="R40" s="113"/>
      <c r="S40" s="24"/>
      <c r="T40" s="24"/>
      <c r="U40" s="24"/>
      <c r="V40" s="24"/>
      <c r="W40" s="24"/>
    </row>
    <row r="41" spans="10:23">
      <c r="J41" s="28">
        <v>39</v>
      </c>
      <c r="K41" s="28" t="s">
        <v>160</v>
      </c>
      <c r="L41" s="29" t="s">
        <v>161</v>
      </c>
      <c r="M41" s="28" t="s">
        <v>85</v>
      </c>
      <c r="N41" s="30">
        <v>502</v>
      </c>
      <c r="O41" s="30">
        <v>0</v>
      </c>
      <c r="P41" s="31">
        <v>502</v>
      </c>
      <c r="Q41" s="39">
        <f>P41*3</f>
        <v>1506</v>
      </c>
      <c r="R41" s="113"/>
      <c r="S41" s="24"/>
      <c r="T41" s="24"/>
      <c r="U41" s="24"/>
      <c r="V41" s="24"/>
      <c r="W41" s="24"/>
    </row>
    <row r="42" spans="10:23">
      <c r="J42" s="35">
        <v>40</v>
      </c>
      <c r="K42" s="35" t="s">
        <v>162</v>
      </c>
      <c r="L42" s="36" t="s">
        <v>163</v>
      </c>
      <c r="M42" s="35" t="s">
        <v>85</v>
      </c>
      <c r="N42" s="37">
        <v>9296</v>
      </c>
      <c r="O42" s="37">
        <v>0</v>
      </c>
      <c r="P42" s="38">
        <v>9296</v>
      </c>
      <c r="Q42" s="39">
        <f>P42*0.2</f>
        <v>1859.2</v>
      </c>
      <c r="R42" s="113"/>
      <c r="S42" s="24"/>
      <c r="T42" s="24"/>
      <c r="U42" s="24"/>
      <c r="V42" s="24"/>
      <c r="W42" s="24"/>
    </row>
    <row r="43" spans="10:23">
      <c r="J43" s="28">
        <v>41</v>
      </c>
      <c r="K43" s="28" t="s">
        <v>164</v>
      </c>
      <c r="L43" s="29" t="s">
        <v>165</v>
      </c>
      <c r="M43" s="28" t="s">
        <v>85</v>
      </c>
      <c r="N43" s="30">
        <v>144240</v>
      </c>
      <c r="O43" s="30">
        <v>-1176</v>
      </c>
      <c r="P43" s="31">
        <v>143064</v>
      </c>
      <c r="Q43" s="32">
        <f>P43*0.3</f>
        <v>42919.199999999997</v>
      </c>
      <c r="R43" s="113"/>
      <c r="S43" s="24"/>
      <c r="T43" s="24"/>
      <c r="U43" s="24"/>
      <c r="V43" s="24"/>
      <c r="W43" s="24"/>
    </row>
    <row r="44" spans="10:23">
      <c r="J44" s="35">
        <v>42</v>
      </c>
      <c r="K44" s="35" t="s">
        <v>166</v>
      </c>
      <c r="L44" s="36" t="s">
        <v>167</v>
      </c>
      <c r="M44" s="35" t="s">
        <v>85</v>
      </c>
      <c r="N44" s="37">
        <v>8080</v>
      </c>
      <c r="O44" s="37">
        <v>0</v>
      </c>
      <c r="P44" s="38">
        <v>8080</v>
      </c>
      <c r="Q44" s="39">
        <f>P44*0.08</f>
        <v>646.4</v>
      </c>
      <c r="R44" s="113"/>
      <c r="S44" s="24"/>
      <c r="T44" s="24"/>
      <c r="U44" s="24"/>
      <c r="V44" s="24"/>
      <c r="W44" s="24"/>
    </row>
    <row r="45" spans="10:23">
      <c r="J45" s="28">
        <v>43</v>
      </c>
      <c r="K45" s="28" t="s">
        <v>168</v>
      </c>
      <c r="L45" s="29" t="s">
        <v>169</v>
      </c>
      <c r="M45" s="28" t="s">
        <v>85</v>
      </c>
      <c r="N45" s="30">
        <v>2100</v>
      </c>
      <c r="O45" s="30">
        <v>0</v>
      </c>
      <c r="P45" s="31">
        <v>2100</v>
      </c>
      <c r="Q45" s="32">
        <f>P45*0.35</f>
        <v>735</v>
      </c>
      <c r="R45" s="113"/>
      <c r="S45" s="24"/>
      <c r="T45" s="24"/>
      <c r="U45" s="24"/>
      <c r="V45" s="24"/>
      <c r="W45" s="24"/>
    </row>
    <row r="46" spans="10:23">
      <c r="J46" s="35">
        <v>44</v>
      </c>
      <c r="K46" s="35" t="s">
        <v>170</v>
      </c>
      <c r="L46" s="36" t="s">
        <v>171</v>
      </c>
      <c r="M46" s="35" t="s">
        <v>85</v>
      </c>
      <c r="N46" s="37">
        <v>1104</v>
      </c>
      <c r="O46" s="37">
        <v>0</v>
      </c>
      <c r="P46" s="38">
        <v>1104</v>
      </c>
      <c r="Q46" s="32">
        <f>P46*0.35</f>
        <v>386.4</v>
      </c>
      <c r="R46" s="113"/>
      <c r="S46" s="24"/>
      <c r="T46" s="24"/>
      <c r="U46" s="24"/>
      <c r="V46" s="24"/>
      <c r="W46" s="24"/>
    </row>
    <row r="47" spans="10:23">
      <c r="J47" s="28">
        <v>45</v>
      </c>
      <c r="K47" s="28" t="s">
        <v>172</v>
      </c>
      <c r="L47" s="29" t="s">
        <v>173</v>
      </c>
      <c r="M47" s="28" t="s">
        <v>85</v>
      </c>
      <c r="N47" s="30">
        <v>194</v>
      </c>
      <c r="O47" s="30">
        <v>0</v>
      </c>
      <c r="P47" s="31">
        <v>194</v>
      </c>
      <c r="Q47" s="39">
        <f>P47*9</f>
        <v>1746</v>
      </c>
      <c r="R47" s="113"/>
      <c r="S47" s="24"/>
      <c r="T47" s="24"/>
      <c r="U47" s="24"/>
      <c r="V47" s="24"/>
      <c r="W47" s="24"/>
    </row>
    <row r="48" spans="10:23">
      <c r="J48" s="35">
        <v>46</v>
      </c>
      <c r="K48" s="35" t="s">
        <v>174</v>
      </c>
      <c r="L48" s="36" t="s">
        <v>175</v>
      </c>
      <c r="M48" s="35" t="s">
        <v>85</v>
      </c>
      <c r="N48" s="37">
        <v>1836</v>
      </c>
      <c r="O48" s="37">
        <v>0</v>
      </c>
      <c r="P48" s="38">
        <v>1836</v>
      </c>
      <c r="Q48" s="32">
        <f>P48*0.13</f>
        <v>238.68</v>
      </c>
      <c r="R48" s="113"/>
      <c r="S48" s="24"/>
      <c r="T48" s="24"/>
      <c r="U48" s="24"/>
      <c r="V48" s="24"/>
      <c r="W48" s="24"/>
    </row>
    <row r="49" spans="10:23">
      <c r="J49" s="28">
        <v>47</v>
      </c>
      <c r="K49" s="28" t="s">
        <v>176</v>
      </c>
      <c r="L49" s="29" t="s">
        <v>177</v>
      </c>
      <c r="M49" s="28" t="s">
        <v>85</v>
      </c>
      <c r="N49" s="30">
        <v>387</v>
      </c>
      <c r="O49" s="30">
        <v>0</v>
      </c>
      <c r="P49" s="31">
        <v>387</v>
      </c>
      <c r="Q49" s="32">
        <f>P49*2.5</f>
        <v>967.5</v>
      </c>
      <c r="R49" s="113"/>
      <c r="S49" s="24"/>
      <c r="T49" s="24"/>
      <c r="U49" s="24"/>
      <c r="V49" s="24"/>
      <c r="W49" s="24"/>
    </row>
    <row r="50" spans="10:23">
      <c r="J50" s="35">
        <v>48</v>
      </c>
      <c r="K50" s="35" t="s">
        <v>178</v>
      </c>
      <c r="L50" s="36" t="s">
        <v>179</v>
      </c>
      <c r="M50" s="35" t="s">
        <v>85</v>
      </c>
      <c r="N50" s="37">
        <v>6800</v>
      </c>
      <c r="O50" s="37">
        <v>0</v>
      </c>
      <c r="P50" s="38">
        <v>6800</v>
      </c>
      <c r="Q50" s="39">
        <f>P50*0.07</f>
        <v>476.00000000000006</v>
      </c>
      <c r="R50" s="113"/>
      <c r="S50" s="24"/>
      <c r="T50" s="24"/>
      <c r="U50" s="24"/>
      <c r="V50" s="24"/>
      <c r="W50" s="24"/>
    </row>
    <row r="51" spans="10:23">
      <c r="J51" s="28">
        <v>49</v>
      </c>
      <c r="K51" s="28" t="s">
        <v>180</v>
      </c>
      <c r="L51" s="44" t="s">
        <v>181</v>
      </c>
      <c r="M51" s="28" t="s">
        <v>85</v>
      </c>
      <c r="N51" s="30">
        <v>6497</v>
      </c>
      <c r="O51" s="30">
        <v>-1362</v>
      </c>
      <c r="P51" s="31">
        <v>5135</v>
      </c>
      <c r="Q51" s="32">
        <f>P51*0.3</f>
        <v>1540.5</v>
      </c>
      <c r="R51" s="113"/>
      <c r="S51" s="24"/>
      <c r="T51" s="24"/>
      <c r="U51" s="24"/>
      <c r="V51" s="24"/>
      <c r="W51" s="24"/>
    </row>
    <row r="52" spans="10:23">
      <c r="J52" s="35">
        <v>50</v>
      </c>
      <c r="K52" s="35" t="s">
        <v>182</v>
      </c>
      <c r="L52" s="44" t="s">
        <v>183</v>
      </c>
      <c r="M52" s="35" t="s">
        <v>85</v>
      </c>
      <c r="N52" s="37">
        <v>10263</v>
      </c>
      <c r="O52" s="37">
        <v>-3127</v>
      </c>
      <c r="P52" s="38">
        <v>7136</v>
      </c>
      <c r="Q52" s="32">
        <f>P52*0.4</f>
        <v>2854.4</v>
      </c>
      <c r="R52" s="113"/>
      <c r="S52" s="24"/>
      <c r="T52" s="24"/>
      <c r="U52" s="24"/>
      <c r="V52" s="24"/>
      <c r="W52" s="24"/>
    </row>
    <row r="53" spans="10:23">
      <c r="J53" s="28">
        <v>51</v>
      </c>
      <c r="K53" s="28" t="s">
        <v>184</v>
      </c>
      <c r="L53" s="44" t="s">
        <v>185</v>
      </c>
      <c r="M53" s="28" t="s">
        <v>85</v>
      </c>
      <c r="N53" s="30">
        <v>31669</v>
      </c>
      <c r="O53" s="30">
        <v>0</v>
      </c>
      <c r="P53" s="31">
        <v>31669</v>
      </c>
      <c r="Q53" s="32">
        <f>P53*0.2</f>
        <v>6333.8</v>
      </c>
      <c r="R53" s="113"/>
      <c r="S53" s="24"/>
      <c r="T53" s="24"/>
      <c r="U53" s="24"/>
      <c r="V53" s="24"/>
      <c r="W53" s="24"/>
    </row>
    <row r="54" spans="10:23">
      <c r="J54" s="35">
        <v>52</v>
      </c>
      <c r="K54" s="35" t="s">
        <v>186</v>
      </c>
      <c r="L54" s="44" t="s">
        <v>187</v>
      </c>
      <c r="M54" s="35" t="s">
        <v>85</v>
      </c>
      <c r="N54" s="37">
        <v>33046</v>
      </c>
      <c r="O54" s="37">
        <v>0</v>
      </c>
      <c r="P54" s="38">
        <v>33046</v>
      </c>
      <c r="Q54" s="32">
        <f>P54*0.2</f>
        <v>6609.2000000000007</v>
      </c>
      <c r="R54" s="113"/>
      <c r="S54" s="24"/>
      <c r="T54" s="24"/>
      <c r="U54" s="24"/>
      <c r="V54" s="24"/>
      <c r="W54" s="24"/>
    </row>
    <row r="55" spans="10:23">
      <c r="J55" s="28">
        <v>53</v>
      </c>
      <c r="K55" s="28" t="s">
        <v>188</v>
      </c>
      <c r="L55" s="44" t="s">
        <v>189</v>
      </c>
      <c r="M55" s="28" t="s">
        <v>85</v>
      </c>
      <c r="N55" s="30">
        <v>1182</v>
      </c>
      <c r="O55" s="30">
        <v>0</v>
      </c>
      <c r="P55" s="31">
        <v>1182</v>
      </c>
      <c r="Q55" s="32">
        <f>P55*10</f>
        <v>11820</v>
      </c>
      <c r="R55" s="113"/>
      <c r="S55" s="24"/>
      <c r="T55" s="24"/>
      <c r="U55" s="24"/>
      <c r="V55" s="24"/>
      <c r="W55" s="24"/>
    </row>
    <row r="56" spans="10:23">
      <c r="J56" s="35">
        <v>54</v>
      </c>
      <c r="K56" s="35" t="s">
        <v>190</v>
      </c>
      <c r="L56" s="44" t="s">
        <v>191</v>
      </c>
      <c r="M56" s="35" t="s">
        <v>85</v>
      </c>
      <c r="N56" s="37">
        <v>95291</v>
      </c>
      <c r="O56" s="37">
        <v>0</v>
      </c>
      <c r="P56" s="38">
        <v>95291</v>
      </c>
      <c r="Q56" s="32">
        <f>P56*0.1</f>
        <v>9529.1</v>
      </c>
      <c r="R56" s="113"/>
      <c r="S56" s="24"/>
      <c r="T56" s="24"/>
      <c r="U56" s="24"/>
      <c r="V56" s="24"/>
      <c r="W56" s="24"/>
    </row>
    <row r="57" spans="10:23">
      <c r="J57" s="28">
        <v>55</v>
      </c>
      <c r="K57" s="28" t="s">
        <v>192</v>
      </c>
      <c r="L57" s="44" t="s">
        <v>193</v>
      </c>
      <c r="M57" s="28" t="s">
        <v>85</v>
      </c>
      <c r="N57" s="30">
        <v>397</v>
      </c>
      <c r="O57" s="30">
        <v>0</v>
      </c>
      <c r="P57" s="31">
        <v>397</v>
      </c>
      <c r="Q57" s="32">
        <f>P57*0.22</f>
        <v>87.34</v>
      </c>
      <c r="R57" s="113"/>
      <c r="S57" s="24"/>
      <c r="T57" s="24"/>
      <c r="U57" s="24"/>
      <c r="V57" s="24"/>
      <c r="W57" s="24"/>
    </row>
    <row r="58" spans="10:23">
      <c r="J58" s="35">
        <v>56</v>
      </c>
      <c r="K58" s="35" t="s">
        <v>194</v>
      </c>
      <c r="L58" s="44" t="s">
        <v>195</v>
      </c>
      <c r="M58" s="35" t="s">
        <v>85</v>
      </c>
      <c r="N58" s="37">
        <v>7272</v>
      </c>
      <c r="O58" s="37">
        <v>0</v>
      </c>
      <c r="P58" s="38">
        <v>7272</v>
      </c>
      <c r="Q58" s="32">
        <f>P58*0.22</f>
        <v>1599.84</v>
      </c>
      <c r="R58" s="113"/>
      <c r="S58" s="24"/>
      <c r="T58" s="24"/>
      <c r="U58" s="24"/>
      <c r="V58" s="24"/>
      <c r="W58" s="24"/>
    </row>
    <row r="59" spans="10:23">
      <c r="J59" s="28">
        <v>57</v>
      </c>
      <c r="K59" s="28" t="s">
        <v>196</v>
      </c>
      <c r="L59" s="29" t="s">
        <v>197</v>
      </c>
      <c r="M59" s="28" t="s">
        <v>198</v>
      </c>
      <c r="N59" s="30">
        <v>12617.875</v>
      </c>
      <c r="O59" s="30">
        <v>0</v>
      </c>
      <c r="P59" s="31">
        <v>12617.875</v>
      </c>
      <c r="Q59" s="32">
        <f>P59</f>
        <v>12617.875</v>
      </c>
      <c r="R59" s="113"/>
      <c r="S59" s="24"/>
      <c r="T59" s="24"/>
      <c r="U59" s="24"/>
      <c r="V59" s="24"/>
      <c r="W59" s="24"/>
    </row>
    <row r="60" spans="10:23">
      <c r="J60" s="35">
        <v>58</v>
      </c>
      <c r="K60" s="35" t="s">
        <v>199</v>
      </c>
      <c r="L60" s="36" t="s">
        <v>200</v>
      </c>
      <c r="M60" s="35" t="s">
        <v>85</v>
      </c>
      <c r="N60" s="37">
        <v>94032</v>
      </c>
      <c r="O60" s="37">
        <v>0</v>
      </c>
      <c r="P60" s="38">
        <v>94032</v>
      </c>
      <c r="Q60" s="32">
        <f>P60*0.1</f>
        <v>9403.2000000000007</v>
      </c>
      <c r="R60" s="113"/>
      <c r="S60" s="24"/>
      <c r="T60" s="24"/>
      <c r="U60" s="24"/>
      <c r="V60" s="24"/>
      <c r="W60" s="24"/>
    </row>
    <row r="61" spans="10:23">
      <c r="J61" s="28">
        <v>59</v>
      </c>
      <c r="K61" s="28" t="s">
        <v>201</v>
      </c>
      <c r="L61" s="47" t="s">
        <v>202</v>
      </c>
      <c r="M61" s="28" t="s">
        <v>85</v>
      </c>
      <c r="N61" s="30">
        <v>2000</v>
      </c>
      <c r="O61" s="30">
        <v>0</v>
      </c>
      <c r="P61" s="31">
        <v>2000</v>
      </c>
      <c r="Q61" s="32">
        <f>P61*0.0775</f>
        <v>155</v>
      </c>
      <c r="R61" s="113"/>
      <c r="S61" s="24"/>
      <c r="T61" s="24"/>
      <c r="U61" s="24"/>
      <c r="V61" s="24"/>
      <c r="W61" s="24"/>
    </row>
    <row r="62" spans="10:23">
      <c r="J62" s="35">
        <v>60</v>
      </c>
      <c r="K62" s="35" t="s">
        <v>203</v>
      </c>
      <c r="L62" s="36" t="s">
        <v>204</v>
      </c>
      <c r="M62" s="35" t="s">
        <v>85</v>
      </c>
      <c r="N62" s="37">
        <v>660</v>
      </c>
      <c r="O62" s="37">
        <v>0</v>
      </c>
      <c r="P62" s="38">
        <v>660</v>
      </c>
      <c r="Q62" s="32">
        <f>P62*0.3</f>
        <v>198</v>
      </c>
      <c r="R62" s="113"/>
      <c r="S62" s="24"/>
      <c r="T62" s="24"/>
      <c r="U62" s="24"/>
      <c r="V62" s="24"/>
      <c r="W62" s="24"/>
    </row>
    <row r="63" spans="10:23">
      <c r="J63" s="28">
        <v>61</v>
      </c>
      <c r="K63" s="28" t="s">
        <v>205</v>
      </c>
      <c r="L63" s="29" t="s">
        <v>206</v>
      </c>
      <c r="M63" s="28" t="s">
        <v>85</v>
      </c>
      <c r="N63" s="30">
        <v>151429</v>
      </c>
      <c r="O63" s="30">
        <v>0</v>
      </c>
      <c r="P63" s="31">
        <v>151429</v>
      </c>
      <c r="Q63" s="32">
        <f>P63*0.15</f>
        <v>22714.35</v>
      </c>
      <c r="R63" s="113"/>
      <c r="S63" s="24"/>
      <c r="T63" s="24"/>
      <c r="U63" s="24"/>
      <c r="V63" s="24"/>
      <c r="W63" s="24"/>
    </row>
    <row r="64" spans="10:23">
      <c r="J64" s="35">
        <v>62</v>
      </c>
      <c r="K64" s="35" t="s">
        <v>207</v>
      </c>
      <c r="L64" s="36" t="s">
        <v>208</v>
      </c>
      <c r="M64" s="35" t="s">
        <v>85</v>
      </c>
      <c r="N64" s="37">
        <v>1656</v>
      </c>
      <c r="O64" s="37">
        <v>0</v>
      </c>
      <c r="P64" s="38">
        <v>1656</v>
      </c>
      <c r="Q64" s="32">
        <f>P64*0.15</f>
        <v>248.39999999999998</v>
      </c>
      <c r="R64" s="113"/>
      <c r="S64" s="24"/>
      <c r="T64" s="24"/>
      <c r="U64" s="24"/>
      <c r="V64" s="24"/>
      <c r="W64" s="24"/>
    </row>
    <row r="65" spans="10:23">
      <c r="J65" s="28">
        <v>63</v>
      </c>
      <c r="K65" s="28" t="s">
        <v>209</v>
      </c>
      <c r="L65" s="29" t="s">
        <v>210</v>
      </c>
      <c r="M65" s="28" t="s">
        <v>85</v>
      </c>
      <c r="N65" s="30">
        <v>9190</v>
      </c>
      <c r="O65" s="30">
        <v>0</v>
      </c>
      <c r="P65" s="31">
        <v>9190</v>
      </c>
      <c r="Q65" s="32">
        <f>P65*0.08</f>
        <v>735.2</v>
      </c>
      <c r="R65" s="113"/>
      <c r="S65" s="24"/>
      <c r="T65" s="24"/>
      <c r="U65" s="24"/>
      <c r="V65" s="24"/>
      <c r="W65" s="24"/>
    </row>
    <row r="66" spans="10:23">
      <c r="J66" s="35">
        <v>64</v>
      </c>
      <c r="K66" s="35" t="s">
        <v>211</v>
      </c>
      <c r="L66" s="36" t="s">
        <v>212</v>
      </c>
      <c r="M66" s="35" t="s">
        <v>85</v>
      </c>
      <c r="N66" s="37">
        <v>8974</v>
      </c>
      <c r="O66" s="37">
        <v>-400</v>
      </c>
      <c r="P66" s="38">
        <v>8574</v>
      </c>
      <c r="Q66" s="41">
        <f>P66*0.4</f>
        <v>3429.6000000000004</v>
      </c>
      <c r="R66" s="113"/>
      <c r="S66" s="24"/>
      <c r="T66" s="24"/>
      <c r="U66" s="24"/>
      <c r="V66" s="24"/>
      <c r="W66" s="24"/>
    </row>
    <row r="67" spans="10:23">
      <c r="J67" s="28">
        <v>65</v>
      </c>
      <c r="K67" s="28" t="s">
        <v>213</v>
      </c>
      <c r="L67" s="29" t="s">
        <v>214</v>
      </c>
      <c r="M67" s="28" t="s">
        <v>85</v>
      </c>
      <c r="N67" s="30">
        <v>16590</v>
      </c>
      <c r="O67" s="30">
        <v>-70</v>
      </c>
      <c r="P67" s="31">
        <v>16520</v>
      </c>
      <c r="Q67" s="41">
        <f>P67*0.8</f>
        <v>13216</v>
      </c>
      <c r="R67" s="113"/>
      <c r="S67" s="24"/>
      <c r="T67" s="24"/>
      <c r="U67" s="24"/>
      <c r="V67" s="24"/>
      <c r="W67" s="24"/>
    </row>
    <row r="68" spans="10:23">
      <c r="J68" s="35">
        <v>66</v>
      </c>
      <c r="K68" s="35" t="s">
        <v>215</v>
      </c>
      <c r="L68" s="36" t="s">
        <v>216</v>
      </c>
      <c r="M68" s="35" t="s">
        <v>85</v>
      </c>
      <c r="N68" s="37">
        <v>25120</v>
      </c>
      <c r="O68" s="37">
        <v>0</v>
      </c>
      <c r="P68" s="38">
        <v>25120</v>
      </c>
      <c r="Q68" s="41">
        <f>P68*0.8</f>
        <v>20096</v>
      </c>
      <c r="R68" s="113"/>
      <c r="S68" s="24"/>
      <c r="T68" s="24"/>
      <c r="U68" s="24"/>
      <c r="V68" s="24"/>
      <c r="W68" s="24"/>
    </row>
    <row r="69" spans="10:23">
      <c r="J69" s="28">
        <v>67</v>
      </c>
      <c r="K69" s="28" t="s">
        <v>217</v>
      </c>
      <c r="L69" s="29" t="s">
        <v>218</v>
      </c>
      <c r="M69" s="28" t="s">
        <v>85</v>
      </c>
      <c r="N69" s="30">
        <v>1020</v>
      </c>
      <c r="O69" s="30">
        <v>0</v>
      </c>
      <c r="P69" s="31">
        <v>1020</v>
      </c>
      <c r="Q69" s="41">
        <f>P69*0.8</f>
        <v>816</v>
      </c>
      <c r="R69" s="113"/>
      <c r="S69" s="24"/>
      <c r="T69" s="24"/>
      <c r="U69" s="24"/>
      <c r="V69" s="24"/>
      <c r="W69" s="24"/>
    </row>
    <row r="70" spans="10:23">
      <c r="J70" s="35">
        <v>68</v>
      </c>
      <c r="K70" s="35" t="s">
        <v>219</v>
      </c>
      <c r="L70" s="36" t="s">
        <v>220</v>
      </c>
      <c r="M70" s="35" t="s">
        <v>85</v>
      </c>
      <c r="N70" s="37">
        <v>254740</v>
      </c>
      <c r="O70" s="37">
        <v>0</v>
      </c>
      <c r="P70" s="38">
        <v>254740</v>
      </c>
      <c r="Q70" s="41">
        <f>P70*0.35</f>
        <v>89159</v>
      </c>
      <c r="R70" s="113"/>
      <c r="S70" s="24"/>
      <c r="T70" s="24"/>
      <c r="U70" s="24"/>
      <c r="V70" s="24"/>
      <c r="W70" s="24"/>
    </row>
    <row r="71" spans="10:23">
      <c r="J71" s="28">
        <v>69</v>
      </c>
      <c r="K71" s="28" t="s">
        <v>221</v>
      </c>
      <c r="L71" s="29" t="s">
        <v>222</v>
      </c>
      <c r="M71" s="28" t="s">
        <v>85</v>
      </c>
      <c r="N71" s="30">
        <v>82980</v>
      </c>
      <c r="O71" s="30">
        <v>0</v>
      </c>
      <c r="P71" s="31">
        <v>82980</v>
      </c>
      <c r="Q71" s="41">
        <f>P71*0.7</f>
        <v>58085.999999999993</v>
      </c>
      <c r="R71" s="113"/>
      <c r="S71" s="24"/>
      <c r="T71" s="24"/>
      <c r="U71" s="24"/>
      <c r="V71" s="24"/>
      <c r="W71" s="24"/>
    </row>
    <row r="72" spans="10:23">
      <c r="J72" s="35">
        <v>70</v>
      </c>
      <c r="K72" s="35" t="s">
        <v>223</v>
      </c>
      <c r="L72" s="36" t="s">
        <v>224</v>
      </c>
      <c r="M72" s="35" t="s">
        <v>85</v>
      </c>
      <c r="N72" s="37">
        <v>156840</v>
      </c>
      <c r="O72" s="37">
        <v>0</v>
      </c>
      <c r="P72" s="38">
        <v>156840</v>
      </c>
      <c r="Q72" s="41">
        <f>P72*0.16</f>
        <v>25094.400000000001</v>
      </c>
      <c r="R72" s="113"/>
      <c r="S72" s="24"/>
      <c r="T72" s="24"/>
      <c r="U72" s="24"/>
      <c r="V72" s="24"/>
      <c r="W72" s="24"/>
    </row>
    <row r="73" spans="10:23">
      <c r="J73" s="28">
        <v>71</v>
      </c>
      <c r="K73" s="28" t="s">
        <v>225</v>
      </c>
      <c r="L73" s="29" t="s">
        <v>226</v>
      </c>
      <c r="M73" s="28" t="s">
        <v>85</v>
      </c>
      <c r="N73" s="30">
        <v>357</v>
      </c>
      <c r="O73" s="30">
        <v>0</v>
      </c>
      <c r="P73" s="31">
        <v>357</v>
      </c>
      <c r="Q73" s="41">
        <f>P73*0.4</f>
        <v>142.80000000000001</v>
      </c>
      <c r="R73" s="113"/>
      <c r="S73" s="24"/>
      <c r="T73" s="24"/>
      <c r="U73" s="24"/>
      <c r="V73" s="24"/>
      <c r="W73" s="24"/>
    </row>
    <row r="74" spans="10:23">
      <c r="J74" s="35">
        <v>72</v>
      </c>
      <c r="K74" s="35" t="s">
        <v>227</v>
      </c>
      <c r="L74" s="36" t="s">
        <v>228</v>
      </c>
      <c r="M74" s="35" t="s">
        <v>85</v>
      </c>
      <c r="N74" s="37">
        <v>631</v>
      </c>
      <c r="O74" s="37">
        <v>0</v>
      </c>
      <c r="P74" s="38">
        <v>631</v>
      </c>
      <c r="Q74" s="41">
        <f>P74*0.18</f>
        <v>113.58</v>
      </c>
      <c r="R74" s="113"/>
      <c r="S74" s="24"/>
      <c r="T74" s="24"/>
      <c r="U74" s="24"/>
      <c r="V74" s="24"/>
      <c r="W74" s="24"/>
    </row>
    <row r="75" spans="10:23">
      <c r="J75" s="28">
        <v>73</v>
      </c>
      <c r="K75" s="28" t="s">
        <v>229</v>
      </c>
      <c r="L75" s="29" t="s">
        <v>230</v>
      </c>
      <c r="M75" s="28" t="s">
        <v>85</v>
      </c>
      <c r="N75" s="30">
        <v>4200</v>
      </c>
      <c r="O75" s="30">
        <v>0</v>
      </c>
      <c r="P75" s="31">
        <v>4200</v>
      </c>
      <c r="Q75" s="41">
        <f>P75*0.5</f>
        <v>2100</v>
      </c>
      <c r="R75" s="113"/>
      <c r="S75" s="24"/>
      <c r="T75" s="24"/>
      <c r="U75" s="24"/>
      <c r="V75" s="24"/>
      <c r="W75" s="24"/>
    </row>
    <row r="76" spans="10:23">
      <c r="J76" s="35">
        <v>74</v>
      </c>
      <c r="K76" s="35" t="s">
        <v>231</v>
      </c>
      <c r="L76" s="36" t="s">
        <v>232</v>
      </c>
      <c r="M76" s="35" t="s">
        <v>85</v>
      </c>
      <c r="N76" s="37">
        <v>10500</v>
      </c>
      <c r="O76" s="37">
        <v>0</v>
      </c>
      <c r="P76" s="38">
        <v>10500</v>
      </c>
      <c r="Q76" s="41">
        <f>P76*1</f>
        <v>10500</v>
      </c>
      <c r="R76" s="113"/>
      <c r="S76" s="24"/>
      <c r="T76" s="24"/>
      <c r="U76" s="24"/>
      <c r="V76" s="24"/>
      <c r="W76" s="24"/>
    </row>
    <row r="77" spans="10:23">
      <c r="J77" s="28">
        <v>75</v>
      </c>
      <c r="K77" s="28" t="s">
        <v>233</v>
      </c>
      <c r="L77" s="29" t="s">
        <v>234</v>
      </c>
      <c r="M77" s="28" t="s">
        <v>85</v>
      </c>
      <c r="N77" s="30">
        <v>12649</v>
      </c>
      <c r="O77" s="30">
        <v>0</v>
      </c>
      <c r="P77" s="31">
        <v>12649</v>
      </c>
      <c r="Q77" s="41">
        <f>P77*2</f>
        <v>25298</v>
      </c>
      <c r="R77" s="113"/>
      <c r="S77" s="24"/>
      <c r="T77" s="24"/>
      <c r="U77" s="24"/>
      <c r="V77" s="24"/>
      <c r="W77" s="24"/>
    </row>
    <row r="78" spans="10:23">
      <c r="J78" s="35">
        <v>76</v>
      </c>
      <c r="K78" s="35" t="s">
        <v>235</v>
      </c>
      <c r="L78" s="36" t="s">
        <v>236</v>
      </c>
      <c r="M78" s="35" t="s">
        <v>85</v>
      </c>
      <c r="N78" s="37">
        <v>122288</v>
      </c>
      <c r="O78" s="37">
        <v>0</v>
      </c>
      <c r="P78" s="38">
        <v>122288</v>
      </c>
      <c r="Q78" s="41">
        <f>P78*0.18</f>
        <v>22011.84</v>
      </c>
      <c r="R78" s="113"/>
      <c r="S78" s="24"/>
      <c r="T78" s="24"/>
      <c r="U78" s="24"/>
      <c r="V78" s="24"/>
      <c r="W78" s="24"/>
    </row>
    <row r="79" spans="10:23">
      <c r="J79" s="28">
        <v>77</v>
      </c>
      <c r="K79" s="28" t="s">
        <v>237</v>
      </c>
      <c r="L79" s="29" t="s">
        <v>238</v>
      </c>
      <c r="M79" s="28" t="s">
        <v>85</v>
      </c>
      <c r="N79" s="30">
        <v>34728</v>
      </c>
      <c r="O79" s="30">
        <v>0</v>
      </c>
      <c r="P79" s="31">
        <v>34728</v>
      </c>
      <c r="Q79" s="41">
        <f>P79*0.18</f>
        <v>6251.04</v>
      </c>
      <c r="R79" s="113"/>
      <c r="S79" s="24"/>
      <c r="T79" s="24"/>
      <c r="U79" s="24"/>
      <c r="V79" s="24"/>
      <c r="W79" s="24"/>
    </row>
    <row r="80" spans="10:23">
      <c r="J80" s="35">
        <v>78</v>
      </c>
      <c r="K80" s="35" t="s">
        <v>239</v>
      </c>
      <c r="L80" s="36" t="s">
        <v>240</v>
      </c>
      <c r="M80" s="35" t="s">
        <v>85</v>
      </c>
      <c r="N80" s="37">
        <v>128270</v>
      </c>
      <c r="O80" s="37">
        <v>-480</v>
      </c>
      <c r="P80" s="38">
        <v>127790</v>
      </c>
      <c r="Q80" s="41">
        <f>P80*0.4</f>
        <v>51116</v>
      </c>
      <c r="R80" s="113"/>
      <c r="S80" s="24"/>
      <c r="T80" s="24"/>
      <c r="U80" s="24"/>
      <c r="V80" s="24"/>
      <c r="W80" s="24"/>
    </row>
    <row r="81" spans="10:23">
      <c r="J81" s="28">
        <v>79</v>
      </c>
      <c r="K81" s="28" t="s">
        <v>241</v>
      </c>
      <c r="L81" s="29" t="s">
        <v>242</v>
      </c>
      <c r="M81" s="28" t="s">
        <v>85</v>
      </c>
      <c r="N81" s="30">
        <v>13334</v>
      </c>
      <c r="O81" s="30">
        <v>0</v>
      </c>
      <c r="P81" s="31">
        <v>13334</v>
      </c>
      <c r="Q81" s="41">
        <f>P81*0.4</f>
        <v>5333.6</v>
      </c>
      <c r="R81" s="113"/>
      <c r="S81" s="24"/>
      <c r="T81" s="24"/>
      <c r="U81" s="24"/>
      <c r="V81" s="24"/>
      <c r="W81" s="24"/>
    </row>
    <row r="82" spans="10:23">
      <c r="J82" s="35">
        <v>80</v>
      </c>
      <c r="K82" s="35" t="s">
        <v>243</v>
      </c>
      <c r="L82" s="36" t="s">
        <v>244</v>
      </c>
      <c r="M82" s="35" t="s">
        <v>85</v>
      </c>
      <c r="N82" s="37">
        <v>45662</v>
      </c>
      <c r="O82" s="37">
        <v>-200</v>
      </c>
      <c r="P82" s="38">
        <v>45462</v>
      </c>
      <c r="Q82" s="41">
        <f>P82*2</f>
        <v>90924</v>
      </c>
      <c r="R82" s="113"/>
      <c r="S82" s="24"/>
      <c r="T82" s="24"/>
      <c r="U82" s="24"/>
      <c r="V82" s="24"/>
      <c r="W82" s="24"/>
    </row>
    <row r="83" spans="10:23">
      <c r="J83" s="28">
        <v>81</v>
      </c>
      <c r="K83" s="28" t="s">
        <v>245</v>
      </c>
      <c r="L83" s="29" t="s">
        <v>246</v>
      </c>
      <c r="M83" s="28" t="s">
        <v>85</v>
      </c>
      <c r="N83" s="30">
        <v>10528</v>
      </c>
      <c r="O83" s="30">
        <v>0</v>
      </c>
      <c r="P83" s="31">
        <v>10528</v>
      </c>
      <c r="Q83" s="41">
        <f>P83*2</f>
        <v>21056</v>
      </c>
      <c r="R83" s="113"/>
      <c r="S83" s="24"/>
      <c r="T83" s="24"/>
      <c r="U83" s="24"/>
      <c r="V83" s="24"/>
      <c r="W83" s="24"/>
    </row>
    <row r="84" spans="10:23">
      <c r="J84" s="35">
        <v>82</v>
      </c>
      <c r="K84" s="35" t="s">
        <v>247</v>
      </c>
      <c r="L84" s="36" t="s">
        <v>248</v>
      </c>
      <c r="M84" s="35" t="s">
        <v>85</v>
      </c>
      <c r="N84" s="37">
        <v>69668</v>
      </c>
      <c r="O84" s="37">
        <v>0</v>
      </c>
      <c r="P84" s="38">
        <v>69668</v>
      </c>
      <c r="Q84" s="41">
        <f>P84*1.8</f>
        <v>125402.40000000001</v>
      </c>
      <c r="R84" s="113"/>
      <c r="S84" s="24"/>
      <c r="T84" s="24"/>
      <c r="U84" s="24"/>
      <c r="V84" s="24"/>
      <c r="W84" s="24"/>
    </row>
    <row r="85" spans="10:23">
      <c r="J85" s="28">
        <v>83</v>
      </c>
      <c r="K85" s="28" t="s">
        <v>249</v>
      </c>
      <c r="L85" s="29" t="s">
        <v>250</v>
      </c>
      <c r="M85" s="28" t="s">
        <v>85</v>
      </c>
      <c r="N85" s="30">
        <v>6936</v>
      </c>
      <c r="O85" s="30">
        <v>0</v>
      </c>
      <c r="P85" s="31">
        <v>6936</v>
      </c>
      <c r="Q85" s="41">
        <f>P85*2.3</f>
        <v>15952.8</v>
      </c>
      <c r="R85" s="113"/>
      <c r="S85" s="24"/>
      <c r="T85" s="24"/>
      <c r="U85" s="24"/>
      <c r="V85" s="24"/>
      <c r="W85" s="24"/>
    </row>
    <row r="86" spans="10:23">
      <c r="J86" s="35">
        <v>84</v>
      </c>
      <c r="K86" s="35" t="s">
        <v>251</v>
      </c>
      <c r="L86" s="36" t="s">
        <v>252</v>
      </c>
      <c r="M86" s="35" t="s">
        <v>85</v>
      </c>
      <c r="N86" s="37">
        <v>278</v>
      </c>
      <c r="O86" s="37">
        <v>0</v>
      </c>
      <c r="P86" s="38">
        <v>278</v>
      </c>
      <c r="Q86" s="41">
        <f>P86*2.3</f>
        <v>639.4</v>
      </c>
      <c r="R86" s="113"/>
      <c r="S86" s="24"/>
      <c r="T86" s="24"/>
      <c r="U86" s="24"/>
      <c r="V86" s="24"/>
      <c r="W86" s="24"/>
    </row>
    <row r="87" spans="10:23">
      <c r="J87" s="28">
        <v>85</v>
      </c>
      <c r="K87" s="28" t="s">
        <v>253</v>
      </c>
      <c r="L87" s="29" t="s">
        <v>254</v>
      </c>
      <c r="M87" s="28" t="s">
        <v>255</v>
      </c>
      <c r="N87" s="30">
        <v>104</v>
      </c>
      <c r="O87" s="30">
        <v>0</v>
      </c>
      <c r="P87" s="31">
        <v>104</v>
      </c>
      <c r="Q87" s="41">
        <f>P87*1</f>
        <v>104</v>
      </c>
      <c r="R87" s="113"/>
      <c r="S87" s="24"/>
      <c r="T87" s="24"/>
      <c r="U87" s="24"/>
      <c r="V87" s="24"/>
      <c r="W87" s="24"/>
    </row>
    <row r="88" spans="10:23">
      <c r="J88" s="35">
        <v>86</v>
      </c>
      <c r="K88" s="35" t="s">
        <v>256</v>
      </c>
      <c r="L88" s="36" t="s">
        <v>257</v>
      </c>
      <c r="M88" s="35" t="s">
        <v>85</v>
      </c>
      <c r="N88" s="37">
        <v>924</v>
      </c>
      <c r="O88" s="37">
        <v>0</v>
      </c>
      <c r="P88" s="38">
        <v>924</v>
      </c>
      <c r="Q88" s="41">
        <f>P88*0.5</f>
        <v>462</v>
      </c>
      <c r="R88" s="113"/>
      <c r="S88" s="24"/>
      <c r="T88" s="24"/>
      <c r="U88" s="24"/>
      <c r="V88" s="24"/>
      <c r="W88" s="24"/>
    </row>
    <row r="89" spans="10:23">
      <c r="J89" s="28">
        <v>87</v>
      </c>
      <c r="K89" s="28" t="s">
        <v>258</v>
      </c>
      <c r="L89" s="29" t="s">
        <v>259</v>
      </c>
      <c r="M89" s="28" t="s">
        <v>255</v>
      </c>
      <c r="N89" s="30">
        <v>544</v>
      </c>
      <c r="O89" s="30">
        <v>0</v>
      </c>
      <c r="P89" s="31">
        <v>544</v>
      </c>
      <c r="Q89" s="41">
        <f>P89*0.5</f>
        <v>272</v>
      </c>
      <c r="R89" s="113"/>
      <c r="S89" s="24"/>
      <c r="T89" s="24"/>
      <c r="U89" s="24"/>
      <c r="V89" s="24"/>
      <c r="W89" s="24"/>
    </row>
    <row r="90" spans="10:23">
      <c r="J90" s="35">
        <v>88</v>
      </c>
      <c r="K90" s="35" t="s">
        <v>260</v>
      </c>
      <c r="L90" s="36" t="s">
        <v>261</v>
      </c>
      <c r="M90" s="35" t="s">
        <v>85</v>
      </c>
      <c r="N90" s="37">
        <v>9596</v>
      </c>
      <c r="O90" s="37">
        <v>0</v>
      </c>
      <c r="P90" s="38">
        <v>9596</v>
      </c>
      <c r="Q90" s="41">
        <f>P90*0.18</f>
        <v>1727.28</v>
      </c>
      <c r="R90" s="113"/>
      <c r="S90" s="24"/>
      <c r="T90" s="24"/>
      <c r="U90" s="24"/>
      <c r="V90" s="24"/>
      <c r="W90" s="24"/>
    </row>
    <row r="91" spans="10:23">
      <c r="J91" s="28">
        <v>89</v>
      </c>
      <c r="K91" s="28" t="s">
        <v>262</v>
      </c>
      <c r="L91" s="29" t="s">
        <v>263</v>
      </c>
      <c r="M91" s="28" t="s">
        <v>85</v>
      </c>
      <c r="N91" s="30">
        <v>405</v>
      </c>
      <c r="O91" s="30">
        <v>0</v>
      </c>
      <c r="P91" s="31">
        <v>405</v>
      </c>
      <c r="Q91" s="32">
        <f>P91*0.5</f>
        <v>202.5</v>
      </c>
      <c r="R91" s="113"/>
      <c r="S91" s="24"/>
      <c r="T91" s="24"/>
      <c r="U91" s="24"/>
      <c r="V91" s="24"/>
      <c r="W91" s="24"/>
    </row>
    <row r="92" spans="10:23">
      <c r="J92" s="35">
        <v>90</v>
      </c>
      <c r="K92" s="35" t="s">
        <v>264</v>
      </c>
      <c r="L92" s="36" t="s">
        <v>265</v>
      </c>
      <c r="M92" s="35" t="s">
        <v>85</v>
      </c>
      <c r="N92" s="37">
        <v>75084</v>
      </c>
      <c r="O92" s="37">
        <v>-1188</v>
      </c>
      <c r="P92" s="38">
        <v>73896</v>
      </c>
      <c r="Q92" s="39">
        <f>P92*1.375</f>
        <v>101607</v>
      </c>
      <c r="R92" s="113"/>
      <c r="S92" s="24"/>
      <c r="T92" s="24"/>
      <c r="U92" s="24"/>
      <c r="V92" s="24"/>
      <c r="W92" s="24"/>
    </row>
    <row r="93" spans="10:23">
      <c r="J93" s="28">
        <v>91</v>
      </c>
      <c r="K93" s="28" t="s">
        <v>266</v>
      </c>
      <c r="L93" s="29" t="s">
        <v>267</v>
      </c>
      <c r="M93" s="28" t="s">
        <v>85</v>
      </c>
      <c r="N93" s="30">
        <v>4898</v>
      </c>
      <c r="O93" s="30">
        <v>0</v>
      </c>
      <c r="P93" s="31">
        <v>4898</v>
      </c>
      <c r="Q93" s="39">
        <f>P93*1.375</f>
        <v>6734.75</v>
      </c>
      <c r="R93" s="113"/>
      <c r="S93" s="24"/>
      <c r="T93" s="24"/>
      <c r="U93" s="24"/>
      <c r="V93" s="24"/>
      <c r="W93" s="24"/>
    </row>
    <row r="94" spans="10:23">
      <c r="J94" s="35">
        <v>92</v>
      </c>
      <c r="K94" s="35" t="s">
        <v>268</v>
      </c>
      <c r="L94" s="36" t="s">
        <v>269</v>
      </c>
      <c r="M94" s="35" t="s">
        <v>85</v>
      </c>
      <c r="N94" s="37">
        <v>81576</v>
      </c>
      <c r="O94" s="37">
        <v>0</v>
      </c>
      <c r="P94" s="38">
        <v>81576</v>
      </c>
      <c r="Q94" s="39">
        <f>P94*1.375</f>
        <v>112167</v>
      </c>
      <c r="R94" s="113"/>
      <c r="S94" s="24"/>
      <c r="T94" s="24"/>
      <c r="U94" s="24"/>
      <c r="V94" s="24"/>
      <c r="W94" s="24"/>
    </row>
    <row r="95" spans="10:23">
      <c r="J95" s="28">
        <v>93</v>
      </c>
      <c r="K95" s="28" t="s">
        <v>270</v>
      </c>
      <c r="L95" s="29" t="s">
        <v>271</v>
      </c>
      <c r="M95" s="28" t="s">
        <v>85</v>
      </c>
      <c r="N95" s="30">
        <v>478435</v>
      </c>
      <c r="O95" s="30">
        <v>0</v>
      </c>
      <c r="P95" s="31">
        <v>478435</v>
      </c>
      <c r="Q95" s="39">
        <f>P95*0.25</f>
        <v>119608.75</v>
      </c>
      <c r="R95" s="113"/>
      <c r="S95" s="24"/>
      <c r="T95" s="24"/>
      <c r="U95" s="24"/>
      <c r="V95" s="24"/>
      <c r="W95" s="24"/>
    </row>
    <row r="96" spans="10:23">
      <c r="J96" s="35">
        <v>94</v>
      </c>
      <c r="K96" s="35" t="s">
        <v>272</v>
      </c>
      <c r="L96" s="36" t="s">
        <v>273</v>
      </c>
      <c r="M96" s="35" t="s">
        <v>85</v>
      </c>
      <c r="N96" s="37">
        <v>138583</v>
      </c>
      <c r="O96" s="37">
        <v>0</v>
      </c>
      <c r="P96" s="38">
        <v>138583</v>
      </c>
      <c r="Q96" s="39">
        <f>P96*1.375</f>
        <v>190551.625</v>
      </c>
      <c r="R96" s="113"/>
      <c r="S96" s="24"/>
      <c r="T96" s="24"/>
      <c r="U96" s="24"/>
      <c r="V96" s="24"/>
      <c r="W96" s="24"/>
    </row>
    <row r="97" spans="10:23">
      <c r="J97" s="28">
        <v>95</v>
      </c>
      <c r="K97" s="28" t="s">
        <v>274</v>
      </c>
      <c r="L97" s="29" t="s">
        <v>275</v>
      </c>
      <c r="M97" s="28" t="s">
        <v>85</v>
      </c>
      <c r="N97" s="30">
        <v>12930</v>
      </c>
      <c r="O97" s="30">
        <v>0</v>
      </c>
      <c r="P97" s="31">
        <v>12930</v>
      </c>
      <c r="Q97" s="39">
        <f>P97*1.375</f>
        <v>17778.75</v>
      </c>
      <c r="R97" s="113"/>
      <c r="S97" s="24"/>
      <c r="T97" s="24"/>
      <c r="U97" s="24"/>
      <c r="V97" s="24"/>
      <c r="W97" s="24"/>
    </row>
    <row r="98" spans="10:23">
      <c r="J98" s="35">
        <v>96</v>
      </c>
      <c r="K98" s="35" t="s">
        <v>276</v>
      </c>
      <c r="L98" s="36" t="s">
        <v>277</v>
      </c>
      <c r="M98" s="35" t="s">
        <v>85</v>
      </c>
      <c r="N98" s="37">
        <v>694258</v>
      </c>
      <c r="O98" s="37">
        <v>-35460</v>
      </c>
      <c r="P98" s="38">
        <v>658798</v>
      </c>
      <c r="Q98" s="39">
        <f>P98*0.25</f>
        <v>164699.5</v>
      </c>
      <c r="R98" s="113"/>
      <c r="S98" s="24"/>
      <c r="T98" s="24"/>
      <c r="U98" s="24"/>
      <c r="V98" s="24"/>
      <c r="W98" s="24"/>
    </row>
    <row r="99" spans="10:23">
      <c r="J99" s="28">
        <v>97</v>
      </c>
      <c r="K99" s="28" t="s">
        <v>278</v>
      </c>
      <c r="L99" s="29" t="s">
        <v>279</v>
      </c>
      <c r="M99" s="28" t="s">
        <v>85</v>
      </c>
      <c r="N99" s="30">
        <v>50370</v>
      </c>
      <c r="O99" s="30">
        <v>0</v>
      </c>
      <c r="P99" s="31">
        <v>50370</v>
      </c>
      <c r="Q99" s="39">
        <f>P99*0.25</f>
        <v>12592.5</v>
      </c>
      <c r="R99" s="113"/>
      <c r="S99" s="24"/>
      <c r="T99" s="24"/>
      <c r="U99" s="24"/>
      <c r="V99" s="24"/>
      <c r="W99" s="24"/>
    </row>
    <row r="100" spans="10:23">
      <c r="J100" s="35">
        <v>98</v>
      </c>
      <c r="K100" s="35" t="s">
        <v>280</v>
      </c>
      <c r="L100" s="36" t="s">
        <v>281</v>
      </c>
      <c r="M100" s="35" t="s">
        <v>85</v>
      </c>
      <c r="N100" s="37">
        <v>919</v>
      </c>
      <c r="O100" s="37">
        <v>0</v>
      </c>
      <c r="P100" s="38">
        <v>919</v>
      </c>
      <c r="Q100" s="39">
        <f>P100*10</f>
        <v>9190</v>
      </c>
      <c r="R100" s="113"/>
      <c r="S100" s="24"/>
      <c r="T100" s="24"/>
      <c r="U100" s="24"/>
      <c r="V100" s="24"/>
      <c r="W100" s="24"/>
    </row>
    <row r="101" spans="10:23">
      <c r="J101" s="28">
        <v>99</v>
      </c>
      <c r="K101" s="28" t="s">
        <v>282</v>
      </c>
      <c r="L101" s="29" t="s">
        <v>283</v>
      </c>
      <c r="M101" s="28" t="s">
        <v>85</v>
      </c>
      <c r="N101" s="30">
        <v>4775</v>
      </c>
      <c r="O101" s="30">
        <v>0</v>
      </c>
      <c r="P101" s="31">
        <v>4775</v>
      </c>
      <c r="Q101" s="39">
        <f>P101*0.38</f>
        <v>1814.5</v>
      </c>
      <c r="R101" s="113"/>
      <c r="S101" s="24"/>
      <c r="T101" s="24"/>
      <c r="U101" s="24"/>
      <c r="V101" s="24"/>
      <c r="W101" s="24"/>
    </row>
    <row r="102" spans="10:23">
      <c r="J102" s="35">
        <v>100</v>
      </c>
      <c r="K102" s="35" t="s">
        <v>284</v>
      </c>
      <c r="L102" s="36" t="s">
        <v>285</v>
      </c>
      <c r="M102" s="35" t="s">
        <v>85</v>
      </c>
      <c r="N102" s="37">
        <v>14905</v>
      </c>
      <c r="O102" s="37">
        <v>0</v>
      </c>
      <c r="P102" s="38">
        <v>14905</v>
      </c>
      <c r="Q102" s="39">
        <f>P102*0.5</f>
        <v>7452.5</v>
      </c>
      <c r="R102" s="113"/>
      <c r="S102" s="24"/>
      <c r="T102" s="24"/>
      <c r="U102" s="24"/>
      <c r="V102" s="24"/>
      <c r="W102" s="24"/>
    </row>
    <row r="103" spans="10:23">
      <c r="J103" s="28">
        <v>101</v>
      </c>
      <c r="K103" s="28" t="s">
        <v>286</v>
      </c>
      <c r="L103" s="29" t="s">
        <v>287</v>
      </c>
      <c r="M103" s="28" t="s">
        <v>85</v>
      </c>
      <c r="N103" s="30">
        <v>6819</v>
      </c>
      <c r="O103" s="30">
        <v>0</v>
      </c>
      <c r="P103" s="31">
        <v>6819</v>
      </c>
      <c r="Q103" s="39">
        <f>P103*1.5</f>
        <v>10228.5</v>
      </c>
      <c r="R103" s="113"/>
      <c r="S103" s="24"/>
      <c r="T103" s="24"/>
      <c r="U103" s="24"/>
      <c r="V103" s="24"/>
      <c r="W103" s="24"/>
    </row>
    <row r="104" spans="10:23">
      <c r="J104" s="35">
        <v>102</v>
      </c>
      <c r="K104" s="35" t="s">
        <v>288</v>
      </c>
      <c r="L104" s="36" t="s">
        <v>289</v>
      </c>
      <c r="M104" s="35" t="s">
        <v>85</v>
      </c>
      <c r="N104" s="37">
        <v>100560</v>
      </c>
      <c r="O104" s="37">
        <v>0</v>
      </c>
      <c r="P104" s="38">
        <v>100560</v>
      </c>
      <c r="Q104" s="39">
        <f>P104*0.09</f>
        <v>9050.4</v>
      </c>
      <c r="R104" s="113"/>
      <c r="S104" s="24"/>
      <c r="T104" s="24"/>
      <c r="U104" s="24"/>
      <c r="V104" s="24"/>
      <c r="W104" s="24"/>
    </row>
    <row r="105" spans="10:23">
      <c r="J105" s="28">
        <v>103</v>
      </c>
      <c r="K105" s="28" t="s">
        <v>290</v>
      </c>
      <c r="L105" s="29" t="s">
        <v>291</v>
      </c>
      <c r="M105" s="28" t="s">
        <v>85</v>
      </c>
      <c r="N105" s="30">
        <v>44806</v>
      </c>
      <c r="O105" s="30">
        <v>0</v>
      </c>
      <c r="P105" s="31">
        <v>44806</v>
      </c>
      <c r="Q105" s="39">
        <f>P105*0.24</f>
        <v>10753.44</v>
      </c>
      <c r="R105" s="113"/>
      <c r="S105" s="24"/>
      <c r="T105" s="24"/>
      <c r="U105" s="24"/>
      <c r="V105" s="24"/>
      <c r="W105" s="24"/>
    </row>
    <row r="106" spans="10:23">
      <c r="J106" s="35">
        <v>104</v>
      </c>
      <c r="K106" s="35" t="s">
        <v>292</v>
      </c>
      <c r="L106" s="36" t="s">
        <v>293</v>
      </c>
      <c r="M106" s="35" t="s">
        <v>85</v>
      </c>
      <c r="N106" s="37">
        <v>404</v>
      </c>
      <c r="O106" s="37">
        <v>0</v>
      </c>
      <c r="P106" s="38">
        <v>404</v>
      </c>
      <c r="Q106" s="39">
        <f>P106*10</f>
        <v>4040</v>
      </c>
      <c r="R106" s="113"/>
      <c r="S106" s="24"/>
      <c r="T106" s="24"/>
      <c r="U106" s="24"/>
      <c r="V106" s="24"/>
      <c r="W106" s="24"/>
    </row>
    <row r="107" spans="10:23">
      <c r="J107" s="28">
        <v>105</v>
      </c>
      <c r="K107" s="28" t="s">
        <v>294</v>
      </c>
      <c r="L107" s="29" t="s">
        <v>295</v>
      </c>
      <c r="M107" s="28" t="s">
        <v>85</v>
      </c>
      <c r="N107" s="30">
        <v>22818</v>
      </c>
      <c r="O107" s="30">
        <v>-906</v>
      </c>
      <c r="P107" s="31">
        <v>21912</v>
      </c>
      <c r="Q107" s="39">
        <f>P107*0.22</f>
        <v>4820.6400000000003</v>
      </c>
      <c r="R107" s="113"/>
      <c r="S107" s="24"/>
      <c r="T107" s="24"/>
      <c r="U107" s="24"/>
      <c r="V107" s="24"/>
      <c r="W107" s="24"/>
    </row>
    <row r="108" spans="10:23">
      <c r="J108" s="35">
        <v>106</v>
      </c>
      <c r="K108" s="35" t="s">
        <v>296</v>
      </c>
      <c r="L108" s="36" t="s">
        <v>297</v>
      </c>
      <c r="M108" s="35" t="s">
        <v>85</v>
      </c>
      <c r="N108" s="37">
        <v>16488</v>
      </c>
      <c r="O108" s="37">
        <v>0</v>
      </c>
      <c r="P108" s="38">
        <v>16488</v>
      </c>
      <c r="Q108" s="39">
        <f>P108*0.5</f>
        <v>8244</v>
      </c>
      <c r="R108" s="113"/>
      <c r="S108" s="24"/>
      <c r="T108" s="24"/>
      <c r="U108" s="24"/>
      <c r="V108" s="24"/>
      <c r="W108" s="24"/>
    </row>
    <row r="109" spans="10:23">
      <c r="J109" s="28">
        <v>107</v>
      </c>
      <c r="K109" s="28" t="s">
        <v>298</v>
      </c>
      <c r="L109" s="29" t="s">
        <v>299</v>
      </c>
      <c r="M109" s="28" t="s">
        <v>85</v>
      </c>
      <c r="N109" s="30">
        <v>5050</v>
      </c>
      <c r="O109" s="30">
        <v>0</v>
      </c>
      <c r="P109" s="31">
        <v>5050</v>
      </c>
      <c r="Q109" s="39">
        <f>P109*1.5</f>
        <v>7575</v>
      </c>
      <c r="R109" s="113"/>
      <c r="S109" s="24"/>
      <c r="T109" s="24"/>
      <c r="U109" s="24"/>
      <c r="V109" s="24"/>
      <c r="W109" s="24"/>
    </row>
    <row r="110" spans="10:23">
      <c r="J110" s="35">
        <v>108</v>
      </c>
      <c r="K110" s="35" t="s">
        <v>300</v>
      </c>
      <c r="L110" s="36" t="s">
        <v>301</v>
      </c>
      <c r="M110" s="35" t="s">
        <v>85</v>
      </c>
      <c r="N110" s="37">
        <v>10354</v>
      </c>
      <c r="O110" s="37">
        <v>0</v>
      </c>
      <c r="P110" s="38">
        <v>10354</v>
      </c>
      <c r="Q110" s="39">
        <f>P110*2</f>
        <v>20708</v>
      </c>
      <c r="R110" s="113"/>
      <c r="S110" s="24"/>
      <c r="T110" s="24"/>
      <c r="U110" s="24"/>
      <c r="V110" s="24"/>
      <c r="W110" s="24"/>
    </row>
    <row r="111" spans="10:23">
      <c r="J111" s="28">
        <v>109</v>
      </c>
      <c r="K111" s="28" t="s">
        <v>302</v>
      </c>
      <c r="L111" s="29" t="s">
        <v>303</v>
      </c>
      <c r="M111" s="28" t="s">
        <v>85</v>
      </c>
      <c r="N111" s="30">
        <v>2100</v>
      </c>
      <c r="O111" s="30">
        <v>0</v>
      </c>
      <c r="P111" s="31">
        <v>2100</v>
      </c>
      <c r="Q111" s="39">
        <f>P111*1.375</f>
        <v>2887.5</v>
      </c>
      <c r="R111" s="113"/>
      <c r="S111" s="24"/>
      <c r="T111" s="24"/>
      <c r="U111" s="24"/>
      <c r="V111" s="24"/>
      <c r="W111" s="24"/>
    </row>
    <row r="112" spans="10:23">
      <c r="J112" s="35">
        <v>110</v>
      </c>
      <c r="K112" s="35" t="s">
        <v>304</v>
      </c>
      <c r="L112" s="36" t="s">
        <v>305</v>
      </c>
      <c r="M112" s="35" t="s">
        <v>85</v>
      </c>
      <c r="N112" s="37">
        <v>712</v>
      </c>
      <c r="O112" s="37">
        <v>0</v>
      </c>
      <c r="P112" s="38">
        <v>712</v>
      </c>
      <c r="Q112" s="39">
        <f>P112*1.375</f>
        <v>979</v>
      </c>
      <c r="R112" s="113"/>
      <c r="S112" s="24"/>
      <c r="T112" s="24"/>
      <c r="U112" s="24"/>
      <c r="V112" s="24"/>
      <c r="W112" s="24"/>
    </row>
    <row r="113" spans="10:23">
      <c r="J113" s="28">
        <v>111</v>
      </c>
      <c r="K113" s="28" t="s">
        <v>306</v>
      </c>
      <c r="L113" s="29" t="s">
        <v>307</v>
      </c>
      <c r="M113" s="28" t="s">
        <v>85</v>
      </c>
      <c r="N113" s="30">
        <v>22164</v>
      </c>
      <c r="O113" s="30">
        <v>0</v>
      </c>
      <c r="P113" s="31">
        <v>22164</v>
      </c>
      <c r="Q113" s="39">
        <f>P113*1.85</f>
        <v>41003.4</v>
      </c>
      <c r="R113" s="113"/>
      <c r="S113" s="24"/>
      <c r="T113" s="24"/>
      <c r="U113" s="24"/>
      <c r="V113" s="24"/>
      <c r="W113" s="24"/>
    </row>
    <row r="114" spans="10:23">
      <c r="J114" s="35">
        <v>112</v>
      </c>
      <c r="K114" s="35" t="s">
        <v>308</v>
      </c>
      <c r="L114" s="36" t="s">
        <v>309</v>
      </c>
      <c r="M114" s="35" t="s">
        <v>85</v>
      </c>
      <c r="N114" s="37">
        <v>246</v>
      </c>
      <c r="O114" s="37">
        <v>0</v>
      </c>
      <c r="P114" s="38">
        <v>246</v>
      </c>
      <c r="Q114" s="39">
        <f>P114*0.4</f>
        <v>98.4</v>
      </c>
      <c r="R114" s="113"/>
      <c r="S114" s="24"/>
      <c r="T114" s="24"/>
      <c r="U114" s="24"/>
      <c r="V114" s="24"/>
      <c r="W114" s="24"/>
    </row>
    <row r="115" spans="10:23">
      <c r="J115" s="28">
        <v>113</v>
      </c>
      <c r="K115" s="28" t="s">
        <v>310</v>
      </c>
      <c r="L115" s="29" t="s">
        <v>311</v>
      </c>
      <c r="M115" s="28" t="s">
        <v>85</v>
      </c>
      <c r="N115" s="30">
        <v>4148</v>
      </c>
      <c r="O115" s="30">
        <v>0</v>
      </c>
      <c r="P115" s="31">
        <v>4148</v>
      </c>
      <c r="Q115" s="39">
        <f>P115*1.375</f>
        <v>5703.5</v>
      </c>
      <c r="R115" s="113"/>
      <c r="S115" s="24"/>
      <c r="T115" s="24"/>
      <c r="U115" s="24"/>
      <c r="V115" s="24"/>
      <c r="W115" s="24"/>
    </row>
    <row r="116" spans="10:23">
      <c r="J116" s="35">
        <v>114</v>
      </c>
      <c r="K116" s="35" t="s">
        <v>312</v>
      </c>
      <c r="L116" s="36" t="s">
        <v>313</v>
      </c>
      <c r="M116" s="35" t="s">
        <v>85</v>
      </c>
      <c r="N116" s="37">
        <v>9125</v>
      </c>
      <c r="O116" s="37">
        <v>0</v>
      </c>
      <c r="P116" s="38">
        <v>9125</v>
      </c>
      <c r="Q116" s="39">
        <f>P116*0.5</f>
        <v>4562.5</v>
      </c>
      <c r="R116" s="113"/>
      <c r="S116" s="24"/>
      <c r="T116" s="24"/>
      <c r="U116" s="24"/>
      <c r="V116" s="24"/>
      <c r="W116" s="24"/>
    </row>
    <row r="117" spans="10:23">
      <c r="J117" s="28">
        <v>115</v>
      </c>
      <c r="K117" s="28" t="s">
        <v>314</v>
      </c>
      <c r="L117" s="29" t="s">
        <v>315</v>
      </c>
      <c r="M117" s="28" t="s">
        <v>85</v>
      </c>
      <c r="N117" s="30">
        <v>5258</v>
      </c>
      <c r="O117" s="30">
        <v>0</v>
      </c>
      <c r="P117" s="31">
        <v>5258</v>
      </c>
      <c r="Q117" s="39">
        <f>P117*1.5</f>
        <v>7887</v>
      </c>
      <c r="R117" s="113"/>
      <c r="S117" s="24"/>
      <c r="T117" s="24"/>
      <c r="U117" s="24"/>
      <c r="V117" s="24"/>
      <c r="W117" s="24"/>
    </row>
    <row r="118" spans="10:23">
      <c r="J118" s="35">
        <v>116</v>
      </c>
      <c r="K118" s="35" t="s">
        <v>316</v>
      </c>
      <c r="L118" s="36" t="s">
        <v>317</v>
      </c>
      <c r="M118" s="35" t="s">
        <v>85</v>
      </c>
      <c r="N118" s="37">
        <v>15849</v>
      </c>
      <c r="O118" s="37">
        <v>0</v>
      </c>
      <c r="P118" s="38">
        <v>15849</v>
      </c>
      <c r="Q118" s="39">
        <f>P118*0.7</f>
        <v>11094.3</v>
      </c>
      <c r="R118" s="113"/>
      <c r="S118" s="24"/>
      <c r="T118" s="24"/>
      <c r="U118" s="24"/>
      <c r="V118" s="24"/>
      <c r="W118" s="24"/>
    </row>
    <row r="119" spans="10:23">
      <c r="J119" s="28">
        <v>117</v>
      </c>
      <c r="K119" s="28" t="s">
        <v>318</v>
      </c>
      <c r="L119" s="29" t="s">
        <v>319</v>
      </c>
      <c r="M119" s="28" t="s">
        <v>85</v>
      </c>
      <c r="N119" s="30">
        <v>30573</v>
      </c>
      <c r="O119" s="30">
        <v>-446</v>
      </c>
      <c r="P119" s="31">
        <v>30127</v>
      </c>
      <c r="Q119" s="39">
        <f>P119*2</f>
        <v>60254</v>
      </c>
      <c r="R119" s="113"/>
      <c r="S119" s="24"/>
      <c r="T119" s="24"/>
      <c r="U119" s="24"/>
      <c r="V119" s="24"/>
      <c r="W119" s="24"/>
    </row>
    <row r="120" spans="10:23">
      <c r="J120" s="35">
        <v>118</v>
      </c>
      <c r="K120" s="35" t="s">
        <v>320</v>
      </c>
      <c r="L120" s="36" t="s">
        <v>321</v>
      </c>
      <c r="M120" s="35" t="s">
        <v>85</v>
      </c>
      <c r="N120" s="37">
        <v>566</v>
      </c>
      <c r="O120" s="37">
        <v>0</v>
      </c>
      <c r="P120" s="38">
        <v>566</v>
      </c>
      <c r="Q120" s="39">
        <f>P120*10</f>
        <v>5660</v>
      </c>
      <c r="R120" s="113"/>
      <c r="S120" s="24"/>
      <c r="T120" s="24"/>
      <c r="U120" s="24"/>
      <c r="V120" s="24"/>
      <c r="W120" s="24"/>
    </row>
    <row r="121" spans="10:23">
      <c r="J121" s="28">
        <v>119</v>
      </c>
      <c r="K121" s="28" t="s">
        <v>322</v>
      </c>
      <c r="L121" s="29" t="s">
        <v>323</v>
      </c>
      <c r="M121" s="28" t="s">
        <v>85</v>
      </c>
      <c r="N121" s="30">
        <v>246</v>
      </c>
      <c r="O121" s="30">
        <v>0</v>
      </c>
      <c r="P121" s="31">
        <v>246</v>
      </c>
      <c r="Q121" s="39">
        <f>P121*10</f>
        <v>2460</v>
      </c>
      <c r="R121" s="113"/>
      <c r="S121" s="24"/>
      <c r="T121" s="24"/>
      <c r="U121" s="24"/>
      <c r="V121" s="24"/>
      <c r="W121" s="24"/>
    </row>
    <row r="122" spans="10:23">
      <c r="J122" s="35">
        <v>120</v>
      </c>
      <c r="K122" s="35" t="s">
        <v>324</v>
      </c>
      <c r="L122" s="36" t="s">
        <v>325</v>
      </c>
      <c r="M122" s="35" t="s">
        <v>85</v>
      </c>
      <c r="N122" s="37">
        <v>11535</v>
      </c>
      <c r="O122" s="37">
        <v>0</v>
      </c>
      <c r="P122" s="38">
        <v>11535</v>
      </c>
      <c r="Q122" s="39">
        <f>P122*0.5</f>
        <v>5767.5</v>
      </c>
      <c r="R122" s="113"/>
      <c r="S122" s="24"/>
      <c r="T122" s="24"/>
      <c r="U122" s="24"/>
      <c r="V122" s="24"/>
      <c r="W122" s="24"/>
    </row>
    <row r="123" spans="10:23">
      <c r="J123" s="28">
        <v>121</v>
      </c>
      <c r="K123" s="28" t="s">
        <v>326</v>
      </c>
      <c r="L123" s="29" t="s">
        <v>327</v>
      </c>
      <c r="M123" s="28" t="s">
        <v>85</v>
      </c>
      <c r="N123" s="30">
        <v>9788</v>
      </c>
      <c r="O123" s="30">
        <v>0</v>
      </c>
      <c r="P123" s="31">
        <v>9788</v>
      </c>
      <c r="Q123" s="39">
        <f>P123*0.7</f>
        <v>6851.5999999999995</v>
      </c>
      <c r="R123" s="113"/>
      <c r="S123" s="24"/>
      <c r="T123" s="24"/>
      <c r="U123" s="24"/>
      <c r="V123" s="24"/>
      <c r="W123" s="24"/>
    </row>
    <row r="124" spans="10:23">
      <c r="J124" s="35">
        <v>122</v>
      </c>
      <c r="K124" s="35" t="s">
        <v>328</v>
      </c>
      <c r="L124" s="36" t="s">
        <v>329</v>
      </c>
      <c r="M124" s="35" t="s">
        <v>85</v>
      </c>
      <c r="N124" s="37">
        <v>25599</v>
      </c>
      <c r="O124" s="37">
        <v>0</v>
      </c>
      <c r="P124" s="38">
        <v>25599</v>
      </c>
      <c r="Q124" s="39">
        <f>P124*2</f>
        <v>51198</v>
      </c>
      <c r="R124" s="113"/>
      <c r="S124" s="24"/>
      <c r="T124" s="24"/>
      <c r="U124" s="24"/>
      <c r="V124" s="24"/>
      <c r="W124" s="24"/>
    </row>
    <row r="125" spans="10:23">
      <c r="J125" s="28">
        <v>123</v>
      </c>
      <c r="K125" s="28" t="s">
        <v>330</v>
      </c>
      <c r="L125" s="29" t="s">
        <v>331</v>
      </c>
      <c r="M125" s="28" t="s">
        <v>85</v>
      </c>
      <c r="N125" s="30">
        <v>744</v>
      </c>
      <c r="O125" s="30">
        <v>0</v>
      </c>
      <c r="P125" s="31">
        <v>744</v>
      </c>
      <c r="Q125" s="39">
        <f>P125*1.75</f>
        <v>1302</v>
      </c>
      <c r="R125" s="113"/>
      <c r="S125" s="24"/>
      <c r="T125" s="24"/>
      <c r="U125" s="24"/>
      <c r="V125" s="24"/>
      <c r="W125" s="24"/>
    </row>
    <row r="126" spans="10:23">
      <c r="J126" s="35">
        <v>124</v>
      </c>
      <c r="K126" s="35" t="s">
        <v>332</v>
      </c>
      <c r="L126" s="36" t="s">
        <v>333</v>
      </c>
      <c r="M126" s="35" t="s">
        <v>85</v>
      </c>
      <c r="N126" s="37">
        <v>33132</v>
      </c>
      <c r="O126" s="37">
        <v>0</v>
      </c>
      <c r="P126" s="38">
        <v>33132</v>
      </c>
      <c r="Q126" s="39">
        <f>P126*1.75</f>
        <v>57981</v>
      </c>
      <c r="R126" s="113"/>
      <c r="S126" s="24"/>
      <c r="T126" s="24"/>
      <c r="U126" s="24"/>
      <c r="V126" s="24"/>
      <c r="W126" s="24"/>
    </row>
    <row r="127" spans="10:23">
      <c r="J127" s="28">
        <v>125</v>
      </c>
      <c r="K127" s="28" t="s">
        <v>334</v>
      </c>
      <c r="L127" s="29" t="s">
        <v>335</v>
      </c>
      <c r="M127" s="28" t="s">
        <v>85</v>
      </c>
      <c r="N127" s="30">
        <v>33060</v>
      </c>
      <c r="O127" s="30">
        <v>0</v>
      </c>
      <c r="P127" s="31">
        <v>33060</v>
      </c>
      <c r="Q127" s="39">
        <f>P127*0.4</f>
        <v>13224</v>
      </c>
      <c r="R127" s="113"/>
      <c r="S127" s="24"/>
      <c r="T127" s="24"/>
      <c r="U127" s="24"/>
      <c r="V127" s="24"/>
      <c r="W127" s="24"/>
    </row>
    <row r="128" spans="10:23">
      <c r="J128" s="35">
        <v>126</v>
      </c>
      <c r="K128" s="35" t="s">
        <v>336</v>
      </c>
      <c r="L128" s="36" t="s">
        <v>337</v>
      </c>
      <c r="M128" s="35" t="s">
        <v>198</v>
      </c>
      <c r="N128" s="37">
        <v>303167</v>
      </c>
      <c r="O128" s="37">
        <v>0</v>
      </c>
      <c r="P128" s="38">
        <v>303167</v>
      </c>
      <c r="Q128" s="32">
        <f>P128</f>
        <v>303167</v>
      </c>
      <c r="R128" s="113"/>
      <c r="S128" s="24"/>
      <c r="T128" s="24"/>
      <c r="U128" s="24"/>
      <c r="V128" s="24"/>
      <c r="W128" s="24"/>
    </row>
    <row r="129" spans="10:23">
      <c r="J129" s="28">
        <v>127</v>
      </c>
      <c r="K129" s="28" t="s">
        <v>338</v>
      </c>
      <c r="L129" s="29" t="s">
        <v>339</v>
      </c>
      <c r="M129" s="28" t="s">
        <v>198</v>
      </c>
      <c r="N129" s="30">
        <v>1474864.7150000001</v>
      </c>
      <c r="O129" s="30">
        <v>0</v>
      </c>
      <c r="P129" s="31">
        <v>1474864.7150000001</v>
      </c>
      <c r="Q129" s="32">
        <f>P129</f>
        <v>1474864.7150000001</v>
      </c>
      <c r="R129" s="113"/>
      <c r="S129" s="24"/>
      <c r="T129" s="24"/>
      <c r="U129" s="24"/>
      <c r="V129" s="24"/>
      <c r="W129" s="24"/>
    </row>
    <row r="130" spans="10:23">
      <c r="J130" s="35">
        <v>128</v>
      </c>
      <c r="K130" s="35" t="s">
        <v>340</v>
      </c>
      <c r="L130" s="36" t="s">
        <v>341</v>
      </c>
      <c r="M130" s="35" t="s">
        <v>198</v>
      </c>
      <c r="N130" s="37">
        <v>1099130</v>
      </c>
      <c r="O130" s="37">
        <v>0</v>
      </c>
      <c r="P130" s="38">
        <v>1099130</v>
      </c>
      <c r="Q130" s="32">
        <f>P130</f>
        <v>1099130</v>
      </c>
      <c r="R130" s="113"/>
      <c r="S130" s="24"/>
      <c r="T130" s="24"/>
      <c r="U130" s="24"/>
      <c r="V130" s="24"/>
      <c r="W130" s="24"/>
    </row>
    <row r="131" spans="10:23">
      <c r="J131" s="28">
        <v>129</v>
      </c>
      <c r="K131" s="28" t="s">
        <v>342</v>
      </c>
      <c r="L131" s="29" t="s">
        <v>343</v>
      </c>
      <c r="M131" s="28" t="s">
        <v>198</v>
      </c>
      <c r="N131" s="30">
        <v>66982.5</v>
      </c>
      <c r="O131" s="30">
        <v>0</v>
      </c>
      <c r="P131" s="31">
        <v>66982.5</v>
      </c>
      <c r="Q131" s="39">
        <f>P131</f>
        <v>66982.5</v>
      </c>
      <c r="R131" s="113"/>
      <c r="S131" s="24"/>
      <c r="T131" s="24"/>
      <c r="U131" s="24"/>
      <c r="V131" s="24"/>
      <c r="W131" s="24"/>
    </row>
    <row r="132" spans="10:23">
      <c r="J132" s="115" t="s">
        <v>344</v>
      </c>
      <c r="K132" s="115"/>
      <c r="L132" s="115"/>
      <c r="M132" s="115"/>
      <c r="N132" s="42">
        <v>11785088.09</v>
      </c>
      <c r="O132" s="42">
        <v>-105167</v>
      </c>
      <c r="P132" s="43">
        <v>11679921.09</v>
      </c>
      <c r="Q132" s="43"/>
      <c r="R132" s="114"/>
      <c r="S132" s="24"/>
      <c r="T132" s="24"/>
      <c r="U132" s="24"/>
      <c r="V132" s="24"/>
      <c r="W132" s="24"/>
    </row>
    <row r="135" spans="10:23">
      <c r="O135" s="48">
        <f>'داده تولید سال 1403'!V14/محاسبات!P131</f>
        <v>13.539058709364387</v>
      </c>
    </row>
  </sheetData>
  <mergeCells count="7">
    <mergeCell ref="S14:S16"/>
    <mergeCell ref="U14:U16"/>
    <mergeCell ref="V14:V16"/>
    <mergeCell ref="T14:T16"/>
    <mergeCell ref="K1:P1"/>
    <mergeCell ref="R2:R132"/>
    <mergeCell ref="J132:M132"/>
  </mergeCells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W51"/>
  <sheetViews>
    <sheetView rightToLeft="1" tabSelected="1" zoomScale="90" zoomScaleNormal="90" workbookViewId="0">
      <selection activeCell="AA34" sqref="AA34"/>
    </sheetView>
  </sheetViews>
  <sheetFormatPr defaultColWidth="9.140625" defaultRowHeight="14.25"/>
  <cols>
    <col min="1" max="1" width="13.5703125" style="12" bestFit="1" customWidth="1"/>
    <col min="2" max="2" width="8.7109375" style="12" bestFit="1" customWidth="1"/>
    <col min="3" max="3" width="11.85546875" style="12" bestFit="1" customWidth="1"/>
    <col min="4" max="4" width="13.5703125" style="12" bestFit="1" customWidth="1"/>
    <col min="5" max="5" width="7.85546875" style="12" customWidth="1"/>
    <col min="6" max="6" width="0.85546875" style="12" customWidth="1"/>
    <col min="7" max="7" width="10.85546875" style="12" bestFit="1" customWidth="1"/>
    <col min="8" max="8" width="9.85546875" style="12" bestFit="1" customWidth="1"/>
    <col min="9" max="9" width="11.85546875" style="12" bestFit="1" customWidth="1"/>
    <col min="10" max="10" width="13.5703125" style="12" bestFit="1" customWidth="1"/>
    <col min="11" max="11" width="7.42578125" style="12" customWidth="1"/>
    <col min="12" max="12" width="0.85546875" style="12" customWidth="1"/>
    <col min="13" max="13" width="5.7109375" style="12" customWidth="1"/>
    <col min="14" max="14" width="3.7109375" style="12" customWidth="1"/>
    <col min="15" max="15" width="10.7109375" style="12" customWidth="1"/>
    <col min="16" max="16" width="6.5703125" style="12" customWidth="1"/>
    <col min="17" max="17" width="10.140625" style="12" customWidth="1"/>
    <col min="18" max="18" width="8" style="12" customWidth="1"/>
    <col min="19" max="19" width="0.85546875" style="12" customWidth="1"/>
    <col min="20" max="21" width="9.140625" style="12"/>
    <col min="22" max="22" width="16.5703125" style="12" customWidth="1"/>
    <col min="23" max="23" width="0.85546875" style="12" customWidth="1"/>
    <col min="24" max="16384" width="9.140625" style="12"/>
  </cols>
  <sheetData>
    <row r="1" spans="1:23" ht="22.5" customHeight="1" thickBot="1">
      <c r="A1" s="128" t="s">
        <v>74</v>
      </c>
      <c r="B1" s="129"/>
      <c r="C1" s="129"/>
      <c r="D1" s="129"/>
      <c r="E1" s="129"/>
      <c r="F1" s="129"/>
      <c r="G1" s="129"/>
      <c r="H1" s="129"/>
      <c r="I1" s="129"/>
      <c r="J1" s="129"/>
      <c r="K1" s="130"/>
      <c r="L1" s="122"/>
      <c r="M1" s="116" t="s">
        <v>52</v>
      </c>
      <c r="N1" s="117"/>
      <c r="O1" s="117"/>
      <c r="P1" s="144">
        <f>'داده تولید سال 1403'!AI14</f>
        <v>5188405</v>
      </c>
      <c r="Q1" s="144"/>
      <c r="R1" s="145"/>
      <c r="S1" s="223"/>
      <c r="T1" s="165" t="s">
        <v>345</v>
      </c>
      <c r="U1" s="166"/>
      <c r="V1" s="167"/>
      <c r="W1" s="226"/>
    </row>
    <row r="2" spans="1:23" ht="5.0999999999999996" customHeight="1" thickBot="1">
      <c r="A2" s="134"/>
      <c r="B2" s="135"/>
      <c r="C2" s="135"/>
      <c r="D2" s="135"/>
      <c r="E2" s="135"/>
      <c r="F2" s="135"/>
      <c r="G2" s="135"/>
      <c r="H2" s="135"/>
      <c r="I2" s="135"/>
      <c r="J2" s="135"/>
      <c r="K2" s="136"/>
      <c r="L2" s="123"/>
      <c r="M2" s="118"/>
      <c r="N2" s="119"/>
      <c r="O2" s="119"/>
      <c r="P2" s="146"/>
      <c r="Q2" s="146"/>
      <c r="R2" s="147"/>
      <c r="S2" s="224"/>
      <c r="T2" s="168"/>
      <c r="U2" s="169"/>
      <c r="V2" s="170"/>
      <c r="W2" s="227"/>
    </row>
    <row r="3" spans="1:23" ht="14.25" customHeight="1" thickBot="1">
      <c r="A3" s="154" t="s">
        <v>51</v>
      </c>
      <c r="B3" s="140" t="s">
        <v>44</v>
      </c>
      <c r="C3" s="140" t="s">
        <v>379</v>
      </c>
      <c r="D3" s="140" t="s">
        <v>2</v>
      </c>
      <c r="E3" s="140" t="s">
        <v>46</v>
      </c>
      <c r="F3" s="140"/>
      <c r="G3" s="140" t="s">
        <v>47</v>
      </c>
      <c r="H3" s="140" t="s">
        <v>25</v>
      </c>
      <c r="I3" s="140" t="s">
        <v>48</v>
      </c>
      <c r="J3" s="140" t="s">
        <v>49</v>
      </c>
      <c r="K3" s="185" t="s">
        <v>50</v>
      </c>
      <c r="L3" s="123"/>
      <c r="M3" s="120"/>
      <c r="N3" s="121"/>
      <c r="O3" s="121"/>
      <c r="P3" s="148"/>
      <c r="Q3" s="148"/>
      <c r="R3" s="149"/>
      <c r="S3" s="224"/>
      <c r="T3" s="168"/>
      <c r="U3" s="169"/>
      <c r="V3" s="170"/>
      <c r="W3" s="227"/>
    </row>
    <row r="4" spans="1:23" ht="9" customHeight="1" thickBot="1">
      <c r="A4" s="155"/>
      <c r="B4" s="126"/>
      <c r="C4" s="126"/>
      <c r="D4" s="126"/>
      <c r="E4" s="126"/>
      <c r="F4" s="126"/>
      <c r="G4" s="126"/>
      <c r="H4" s="126"/>
      <c r="I4" s="126"/>
      <c r="J4" s="126"/>
      <c r="K4" s="127"/>
      <c r="L4" s="123"/>
      <c r="M4" s="150"/>
      <c r="N4" s="135"/>
      <c r="O4" s="135"/>
      <c r="P4" s="135"/>
      <c r="Q4" s="135"/>
      <c r="R4" s="136"/>
      <c r="S4" s="224"/>
      <c r="T4" s="203" t="s">
        <v>303</v>
      </c>
      <c r="U4" s="203"/>
      <c r="V4" s="203"/>
      <c r="W4" s="227"/>
    </row>
    <row r="5" spans="1:23" ht="22.5" customHeight="1">
      <c r="A5" s="155"/>
      <c r="B5" s="126"/>
      <c r="C5" s="126"/>
      <c r="D5" s="126"/>
      <c r="E5" s="126"/>
      <c r="F5" s="126"/>
      <c r="G5" s="126"/>
      <c r="H5" s="126"/>
      <c r="I5" s="126"/>
      <c r="J5" s="126"/>
      <c r="K5" s="127"/>
      <c r="L5" s="123"/>
      <c r="M5" s="194" t="s">
        <v>53</v>
      </c>
      <c r="N5" s="194"/>
      <c r="O5" s="194"/>
      <c r="P5" s="194"/>
      <c r="Q5" s="194"/>
      <c r="R5" s="194"/>
      <c r="S5" s="224"/>
      <c r="T5" s="204"/>
      <c r="U5" s="204"/>
      <c r="V5" s="204"/>
      <c r="W5" s="227"/>
    </row>
    <row r="6" spans="1:23" ht="18" customHeight="1" thickBot="1">
      <c r="A6" s="64">
        <f>'داده تولید سال 1403'!B14</f>
        <v>4916730</v>
      </c>
      <c r="B6" s="18">
        <f>'داده تولید سال 1403'!C14</f>
        <v>3.7639767842093659</v>
      </c>
      <c r="C6" s="17">
        <f>'داده تولید سال 1403'!F14</f>
        <v>184648.815</v>
      </c>
      <c r="D6" s="17">
        <f>'داده تولید سال 1403'!H14+56500</f>
        <v>4788581.1850000005</v>
      </c>
      <c r="E6" s="184">
        <f>'داده تولید سال 1403'!I14</f>
        <v>76764</v>
      </c>
      <c r="F6" s="184"/>
      <c r="G6" s="17">
        <f>'داده تولید سال 1403'!J14</f>
        <v>15650</v>
      </c>
      <c r="H6" s="17">
        <f>'داده تولید سال 1403'!AE14</f>
        <v>1635</v>
      </c>
      <c r="I6" s="17">
        <f>'داده تولید سال 1403'!U14</f>
        <v>285900</v>
      </c>
      <c r="J6" s="17">
        <f>'داده تولید سال 1403'!X14</f>
        <v>2596430</v>
      </c>
      <c r="K6" s="21">
        <f>'داده تولید سال 1403'!AG14</f>
        <v>5150</v>
      </c>
      <c r="L6" s="123"/>
      <c r="M6" s="195"/>
      <c r="N6" s="195"/>
      <c r="O6" s="195"/>
      <c r="P6" s="195"/>
      <c r="Q6" s="195"/>
      <c r="R6" s="195"/>
      <c r="S6" s="224"/>
      <c r="T6" s="190">
        <f>INDEX(محاسبات!Q3:Q131,MATCH(داشبورد!T4,محاسبات!L3:L131,0))</f>
        <v>2887.5</v>
      </c>
      <c r="U6" s="190"/>
      <c r="V6" s="190"/>
      <c r="W6" s="227"/>
    </row>
    <row r="7" spans="1:23" ht="5.0999999999999996" customHeight="1" thickBot="1">
      <c r="A7" s="137"/>
      <c r="B7" s="138"/>
      <c r="C7" s="138"/>
      <c r="D7" s="138"/>
      <c r="E7" s="138"/>
      <c r="F7" s="138"/>
      <c r="G7" s="138"/>
      <c r="H7" s="138"/>
      <c r="I7" s="138"/>
      <c r="J7" s="138"/>
      <c r="K7" s="139"/>
      <c r="L7" s="123"/>
      <c r="M7" s="196"/>
      <c r="N7" s="196"/>
      <c r="O7" s="196"/>
      <c r="P7" s="196"/>
      <c r="Q7" s="196"/>
      <c r="R7" s="196"/>
      <c r="S7" s="224"/>
      <c r="T7" s="171"/>
      <c r="U7" s="171"/>
      <c r="V7" s="171"/>
      <c r="W7" s="227"/>
    </row>
    <row r="8" spans="1:23" ht="19.5" customHeight="1">
      <c r="A8" s="156" t="s">
        <v>380</v>
      </c>
      <c r="B8" s="157"/>
      <c r="C8" s="157"/>
      <c r="D8" s="157"/>
      <c r="E8" s="157"/>
      <c r="F8" s="157"/>
      <c r="G8" s="157"/>
      <c r="H8" s="157"/>
      <c r="I8" s="157"/>
      <c r="J8" s="157"/>
      <c r="K8" s="158"/>
      <c r="L8" s="123"/>
      <c r="M8" s="214" t="s">
        <v>32</v>
      </c>
      <c r="N8" s="214"/>
      <c r="O8" s="215"/>
      <c r="P8" s="180">
        <f>INDEX('داده تولید سال 1403'!AI2:AI13,MATCH(داشبورد!M8,'داده تولید سال 1403'!A2:A13,0))</f>
        <v>685280</v>
      </c>
      <c r="Q8" s="181"/>
      <c r="R8" s="181"/>
      <c r="S8" s="224"/>
      <c r="T8" s="191" t="s">
        <v>355</v>
      </c>
      <c r="U8" s="191"/>
      <c r="V8" s="191"/>
      <c r="W8" s="227"/>
    </row>
    <row r="9" spans="1:23" ht="15" customHeight="1" thickBot="1">
      <c r="A9" s="131" t="s">
        <v>32</v>
      </c>
      <c r="B9" s="132"/>
      <c r="C9" s="132"/>
      <c r="D9" s="132"/>
      <c r="E9" s="132"/>
      <c r="F9" s="132"/>
      <c r="G9" s="132"/>
      <c r="H9" s="132"/>
      <c r="I9" s="132"/>
      <c r="J9" s="132"/>
      <c r="K9" s="133"/>
      <c r="L9" s="123"/>
      <c r="M9" s="216"/>
      <c r="N9" s="216"/>
      <c r="O9" s="217"/>
      <c r="P9" s="182"/>
      <c r="Q9" s="183"/>
      <c r="R9" s="183"/>
      <c r="S9" s="224"/>
      <c r="T9" s="192"/>
      <c r="U9" s="192"/>
      <c r="V9" s="192"/>
      <c r="W9" s="227"/>
    </row>
    <row r="10" spans="1:23" ht="5.0999999999999996" customHeight="1">
      <c r="A10" s="155" t="s">
        <v>73</v>
      </c>
      <c r="B10" s="126" t="s">
        <v>44</v>
      </c>
      <c r="C10" s="126" t="s">
        <v>45</v>
      </c>
      <c r="D10" s="126" t="s">
        <v>2</v>
      </c>
      <c r="E10" s="126" t="s">
        <v>46</v>
      </c>
      <c r="F10" s="126"/>
      <c r="G10" s="126" t="s">
        <v>47</v>
      </c>
      <c r="H10" s="126" t="s">
        <v>25</v>
      </c>
      <c r="I10" s="126" t="s">
        <v>48</v>
      </c>
      <c r="J10" s="126" t="s">
        <v>49</v>
      </c>
      <c r="K10" s="127" t="s">
        <v>50</v>
      </c>
      <c r="L10" s="123"/>
      <c r="M10" s="218"/>
      <c r="N10" s="219"/>
      <c r="O10" s="219"/>
      <c r="P10" s="219"/>
      <c r="Q10" s="219"/>
      <c r="R10" s="220"/>
      <c r="S10" s="224"/>
      <c r="T10" s="193"/>
      <c r="U10" s="193"/>
      <c r="V10" s="193"/>
      <c r="W10" s="227"/>
    </row>
    <row r="11" spans="1:23" ht="18.75" customHeight="1">
      <c r="A11" s="155"/>
      <c r="B11" s="126"/>
      <c r="C11" s="126"/>
      <c r="D11" s="126"/>
      <c r="E11" s="126"/>
      <c r="F11" s="126"/>
      <c r="G11" s="126"/>
      <c r="H11" s="126"/>
      <c r="I11" s="126"/>
      <c r="J11" s="126"/>
      <c r="K11" s="127"/>
      <c r="L11" s="123"/>
      <c r="M11" s="221" t="s">
        <v>54</v>
      </c>
      <c r="N11" s="221"/>
      <c r="O11" s="221"/>
      <c r="P11" s="221"/>
      <c r="Q11" s="221"/>
      <c r="R11" s="221"/>
      <c r="S11" s="224"/>
      <c r="T11" s="190" t="s">
        <v>372</v>
      </c>
      <c r="U11" s="190"/>
      <c r="V11" s="190"/>
      <c r="W11" s="227"/>
    </row>
    <row r="12" spans="1:23" ht="17.25" customHeight="1">
      <c r="A12" s="155"/>
      <c r="B12" s="126"/>
      <c r="C12" s="126"/>
      <c r="D12" s="126"/>
      <c r="E12" s="126"/>
      <c r="F12" s="126"/>
      <c r="G12" s="126"/>
      <c r="H12" s="126"/>
      <c r="I12" s="126"/>
      <c r="J12" s="126"/>
      <c r="K12" s="127"/>
      <c r="L12" s="123"/>
      <c r="M12" s="205" t="s">
        <v>30</v>
      </c>
      <c r="N12" s="205"/>
      <c r="O12" s="206"/>
      <c r="P12" s="207">
        <f>INDEX('داده تولید سال 1403'!B2:AH13,MATCH(M12,'داده تولید سال 1403'!A2:A13,0),MATCH(M13,'داده تولید سال 1403'!B1:AH1,0))</f>
        <v>740</v>
      </c>
      <c r="Q12" s="208"/>
      <c r="R12" s="208"/>
      <c r="S12" s="224"/>
      <c r="T12" s="190" t="s">
        <v>377</v>
      </c>
      <c r="U12" s="211"/>
      <c r="V12" s="73">
        <f>INDEX(محاسبات!V3:V21,MATCH(T11,محاسبات!S3:S21,0))</f>
        <v>7900</v>
      </c>
      <c r="W12" s="227"/>
    </row>
    <row r="13" spans="1:23" ht="20.25" customHeight="1" thickBot="1">
      <c r="A13" s="64">
        <f>INDEX('داده تولید سال 1403'!B2:B13,MATCH(A9,'داده تولید سال 1403'!A2:A13,0))</f>
        <v>768290</v>
      </c>
      <c r="B13" s="18">
        <f>INDEX('داده تولید سال 1403'!C2:C13,MATCH(A9,'داده تولید سال 1403'!A2:A13,0))</f>
        <v>3.6477750253494365</v>
      </c>
      <c r="C13" s="17">
        <f>INDEX('داده تولید سال 1403'!F2:F13,MATCH(A9,'داده تولید سال 1403'!A2:A13,0))</f>
        <v>27987.379999999997</v>
      </c>
      <c r="D13" s="17">
        <f>INDEX('داده تولید سال 1403'!H2:H13,MATCH(A9,'داده تولید سال 1403'!A2:A13,0))</f>
        <v>740302.62</v>
      </c>
      <c r="E13" s="184">
        <f>INDEX('داده تولید سال 1403'!I2:I13,MATCH(A9,'داده تولید سال 1403'!A2:A13,0))</f>
        <v>6480</v>
      </c>
      <c r="F13" s="184"/>
      <c r="G13" s="17">
        <f>INDEX('داده تولید سال 1403'!J2:J13,MATCH(A9,'داده تولید سال 1403'!A2:A13,0))</f>
        <v>2400</v>
      </c>
      <c r="H13" s="17">
        <f>INDEX('داده تولید سال 1403'!AE2:AE13,MATCH(A9,'داده تولید سال 1403'!A2:A13,0))</f>
        <v>50</v>
      </c>
      <c r="I13" s="17">
        <f>INDEX('داده تولید سال 1403'!U2:U13,MATCH(A9,'داده تولید سال 1403'!A2:A13,0))</f>
        <v>42710</v>
      </c>
      <c r="J13" s="17">
        <f>INDEX('داده تولید سال 1403'!X2:X13,MATCH(A9,'داده تولید سال 1403'!A2:A13,0))</f>
        <v>389690</v>
      </c>
      <c r="K13" s="21">
        <f>INDEX('داده تولید سال 1403'!AG2:AG13,MATCH(A9,'داده تولید سال 1403'!A2:A13,0))</f>
        <v>0</v>
      </c>
      <c r="L13" s="123"/>
      <c r="M13" s="206" t="s">
        <v>20</v>
      </c>
      <c r="N13" s="222"/>
      <c r="O13" s="222"/>
      <c r="P13" s="209"/>
      <c r="Q13" s="210"/>
      <c r="R13" s="210"/>
      <c r="S13" s="224"/>
      <c r="T13" s="212" t="s">
        <v>376</v>
      </c>
      <c r="U13" s="213"/>
      <c r="V13" s="74">
        <f>INDEX(محاسبات!U3:U21,MATCH(داشبورد!T11,محاسبات!S3:S21,0))</f>
        <v>11004.5</v>
      </c>
      <c r="W13" s="227"/>
    </row>
    <row r="14" spans="1:23" ht="5.0999999999999996" customHeight="1" thickBot="1">
      <c r="A14" s="137"/>
      <c r="B14" s="138"/>
      <c r="C14" s="138"/>
      <c r="D14" s="138"/>
      <c r="E14" s="138"/>
      <c r="F14" s="138"/>
      <c r="G14" s="138"/>
      <c r="H14" s="138"/>
      <c r="I14" s="138"/>
      <c r="J14" s="138"/>
      <c r="K14" s="139"/>
      <c r="L14" s="123"/>
      <c r="M14" s="151"/>
      <c r="N14" s="152"/>
      <c r="O14" s="152"/>
      <c r="P14" s="152"/>
      <c r="Q14" s="152"/>
      <c r="R14" s="153"/>
      <c r="S14" s="224"/>
      <c r="T14" s="197" t="s">
        <v>381</v>
      </c>
      <c r="U14" s="198"/>
      <c r="V14" s="201">
        <f>V12-V13</f>
        <v>-3104.5</v>
      </c>
      <c r="W14" s="227"/>
    </row>
    <row r="15" spans="1:23" ht="20.25" customHeight="1" thickBot="1">
      <c r="A15" s="172" t="s">
        <v>0</v>
      </c>
      <c r="B15" s="173"/>
      <c r="C15" s="173"/>
      <c r="D15" s="173"/>
      <c r="E15" s="174"/>
      <c r="F15" s="161"/>
      <c r="G15" s="178" t="s">
        <v>8</v>
      </c>
      <c r="H15" s="173"/>
      <c r="I15" s="173"/>
      <c r="J15" s="173"/>
      <c r="K15" s="174"/>
      <c r="L15" s="124"/>
      <c r="M15" s="186" t="s">
        <v>378</v>
      </c>
      <c r="N15" s="186"/>
      <c r="O15" s="186"/>
      <c r="P15" s="186"/>
      <c r="Q15" s="186"/>
      <c r="R15" s="187"/>
      <c r="S15" s="224"/>
      <c r="T15" s="199"/>
      <c r="U15" s="200"/>
      <c r="V15" s="202"/>
      <c r="W15" s="227"/>
    </row>
    <row r="16" spans="1:23" ht="5.0999999999999996" customHeight="1">
      <c r="A16" s="172"/>
      <c r="B16" s="173"/>
      <c r="C16" s="173"/>
      <c r="D16" s="173"/>
      <c r="E16" s="174"/>
      <c r="F16" s="162"/>
      <c r="G16" s="178"/>
      <c r="H16" s="173"/>
      <c r="I16" s="173"/>
      <c r="J16" s="173"/>
      <c r="K16" s="174"/>
      <c r="L16" s="124"/>
      <c r="M16" s="188"/>
      <c r="N16" s="188"/>
      <c r="O16" s="188"/>
      <c r="P16" s="188"/>
      <c r="Q16" s="188"/>
      <c r="R16" s="189"/>
      <c r="S16" s="224"/>
      <c r="T16" s="65"/>
      <c r="U16" s="65"/>
      <c r="V16" s="65"/>
      <c r="W16" s="227"/>
    </row>
    <row r="17" spans="1:23" ht="21" customHeight="1">
      <c r="A17" s="175"/>
      <c r="B17" s="176"/>
      <c r="C17" s="176"/>
      <c r="D17" s="176"/>
      <c r="E17" s="177"/>
      <c r="F17" s="163"/>
      <c r="G17" s="179"/>
      <c r="H17" s="176"/>
      <c r="I17" s="176"/>
      <c r="J17" s="176"/>
      <c r="K17" s="177"/>
      <c r="L17" s="123"/>
      <c r="M17" s="141" t="s">
        <v>8</v>
      </c>
      <c r="N17" s="142"/>
      <c r="O17" s="142"/>
      <c r="P17" s="142"/>
      <c r="Q17" s="142"/>
      <c r="R17" s="143"/>
      <c r="S17" s="224"/>
      <c r="T17" s="232" t="s">
        <v>382</v>
      </c>
      <c r="U17" s="188"/>
      <c r="V17" s="189"/>
      <c r="W17" s="227"/>
    </row>
    <row r="18" spans="1:23" ht="9.75" customHeight="1">
      <c r="A18" s="81"/>
      <c r="B18" s="16"/>
      <c r="C18" s="16"/>
      <c r="D18" s="16"/>
      <c r="E18" s="22"/>
      <c r="F18" s="163"/>
      <c r="G18" s="23"/>
      <c r="H18" s="16"/>
      <c r="I18" s="16"/>
      <c r="J18" s="16"/>
      <c r="K18" s="22"/>
      <c r="L18" s="123"/>
      <c r="M18" s="82"/>
      <c r="N18" s="82"/>
      <c r="O18" s="82"/>
      <c r="P18" s="82"/>
      <c r="Q18" s="82"/>
      <c r="R18" s="82"/>
      <c r="S18" s="224"/>
      <c r="T18" s="211" t="s">
        <v>349</v>
      </c>
      <c r="U18" s="229"/>
      <c r="V18" s="233"/>
      <c r="W18" s="227"/>
    </row>
    <row r="19" spans="1:23" ht="18" customHeight="1">
      <c r="A19" s="81"/>
      <c r="B19" s="79"/>
      <c r="C19" s="79"/>
      <c r="D19" s="79"/>
      <c r="E19" s="75"/>
      <c r="F19" s="163"/>
      <c r="G19" s="77"/>
      <c r="H19" s="79"/>
      <c r="I19" s="79"/>
      <c r="J19" s="79"/>
      <c r="K19" s="75"/>
      <c r="L19" s="123"/>
      <c r="M19" s="82"/>
      <c r="N19" s="82"/>
      <c r="O19" s="82"/>
      <c r="P19" s="82"/>
      <c r="Q19" s="82"/>
      <c r="R19" s="82"/>
      <c r="S19" s="224"/>
      <c r="T19" s="211"/>
      <c r="U19" s="229"/>
      <c r="V19" s="233"/>
      <c r="W19" s="227"/>
    </row>
    <row r="20" spans="1:23" ht="17.25" customHeight="1">
      <c r="A20" s="81"/>
      <c r="B20" s="79"/>
      <c r="C20" s="79"/>
      <c r="D20" s="79"/>
      <c r="E20" s="75"/>
      <c r="F20" s="163"/>
      <c r="G20" s="77"/>
      <c r="H20" s="79"/>
      <c r="I20" s="79"/>
      <c r="J20" s="79"/>
      <c r="K20" s="75"/>
      <c r="L20" s="123"/>
      <c r="M20" s="77"/>
      <c r="N20" s="79"/>
      <c r="O20" s="79"/>
      <c r="P20" s="79"/>
      <c r="Q20" s="79"/>
      <c r="R20" s="75"/>
      <c r="S20" s="224"/>
      <c r="T20" s="211" t="s">
        <v>351</v>
      </c>
      <c r="U20" s="229"/>
      <c r="V20" s="75">
        <f>INDEX(محاسبات!Y4:AP4,MATCH(داشبورد!T18,محاسبات!Y2:AP2,0))</f>
        <v>2848450</v>
      </c>
      <c r="W20" s="227"/>
    </row>
    <row r="21" spans="1:23" ht="16.5" customHeight="1" thickBot="1">
      <c r="A21" s="81"/>
      <c r="B21" s="79"/>
      <c r="C21" s="79"/>
      <c r="D21" s="79"/>
      <c r="E21" s="75"/>
      <c r="F21" s="163"/>
      <c r="G21" s="77"/>
      <c r="H21" s="79"/>
      <c r="I21" s="79"/>
      <c r="J21" s="79"/>
      <c r="K21" s="75"/>
      <c r="L21" s="123"/>
      <c r="M21" s="77"/>
      <c r="N21" s="79"/>
      <c r="O21" s="79"/>
      <c r="P21" s="79"/>
      <c r="Q21" s="79"/>
      <c r="R21" s="75"/>
      <c r="S21" s="224"/>
      <c r="T21" s="213" t="s">
        <v>350</v>
      </c>
      <c r="U21" s="234"/>
      <c r="V21" s="73">
        <f>INDEX(محاسبات!Y3:AP3,MATCH(داشبورد!T18,محاسبات!Y2:AP2,0))</f>
        <v>81400</v>
      </c>
      <c r="W21" s="227"/>
    </row>
    <row r="22" spans="1:23" ht="5.0999999999999996" customHeight="1">
      <c r="A22" s="81"/>
      <c r="B22" s="79"/>
      <c r="C22" s="79"/>
      <c r="D22" s="79"/>
      <c r="E22" s="75"/>
      <c r="F22" s="163"/>
      <c r="G22" s="77"/>
      <c r="H22" s="79"/>
      <c r="I22" s="79"/>
      <c r="J22" s="79"/>
      <c r="K22" s="75"/>
      <c r="L22" s="123"/>
      <c r="M22" s="77"/>
      <c r="N22" s="79"/>
      <c r="O22" s="79"/>
      <c r="P22" s="79"/>
      <c r="Q22" s="79"/>
      <c r="R22" s="75"/>
      <c r="S22" s="224"/>
      <c r="T22" s="235"/>
      <c r="U22" s="235"/>
      <c r="V22" s="235"/>
      <c r="W22" s="227"/>
    </row>
    <row r="23" spans="1:23" ht="21.75" customHeight="1">
      <c r="A23" s="81"/>
      <c r="B23" s="79"/>
      <c r="C23" s="79"/>
      <c r="D23" s="79"/>
      <c r="E23" s="75"/>
      <c r="F23" s="163"/>
      <c r="G23" s="77"/>
      <c r="H23" s="79"/>
      <c r="I23" s="79"/>
      <c r="J23" s="79"/>
      <c r="K23" s="75"/>
      <c r="L23" s="123"/>
      <c r="M23" s="77"/>
      <c r="N23" s="79"/>
      <c r="O23" s="79"/>
      <c r="P23" s="79"/>
      <c r="Q23" s="79"/>
      <c r="R23" s="75"/>
      <c r="S23" s="224"/>
      <c r="T23" s="191" t="s">
        <v>383</v>
      </c>
      <c r="U23" s="191"/>
      <c r="V23" s="191"/>
      <c r="W23" s="227"/>
    </row>
    <row r="24" spans="1:23" ht="17.25" customHeight="1">
      <c r="A24" s="81"/>
      <c r="B24" s="79"/>
      <c r="C24" s="79"/>
      <c r="D24" s="79"/>
      <c r="E24" s="75"/>
      <c r="F24" s="163"/>
      <c r="G24" s="77"/>
      <c r="H24" s="79"/>
      <c r="I24" s="79"/>
      <c r="J24" s="79"/>
      <c r="K24" s="75"/>
      <c r="L24" s="123"/>
      <c r="M24" s="77"/>
      <c r="N24" s="79"/>
      <c r="O24" s="79"/>
      <c r="P24" s="79"/>
      <c r="Q24" s="79"/>
      <c r="R24" s="75"/>
      <c r="S24" s="224"/>
      <c r="T24" s="191" t="s">
        <v>390</v>
      </c>
      <c r="U24" s="191"/>
      <c r="V24" s="191"/>
      <c r="W24" s="227"/>
    </row>
    <row r="25" spans="1:23" ht="19.5" customHeight="1">
      <c r="A25" s="81"/>
      <c r="B25" s="79"/>
      <c r="C25" s="79"/>
      <c r="D25" s="79"/>
      <c r="E25" s="75"/>
      <c r="F25" s="163"/>
      <c r="G25" s="77"/>
      <c r="H25" s="79"/>
      <c r="I25" s="79"/>
      <c r="J25" s="79"/>
      <c r="K25" s="75"/>
      <c r="L25" s="123"/>
      <c r="M25" s="77"/>
      <c r="N25" s="79"/>
      <c r="O25" s="79"/>
      <c r="P25" s="79"/>
      <c r="Q25" s="79"/>
      <c r="R25" s="75"/>
      <c r="S25" s="224"/>
      <c r="T25" s="211" t="s">
        <v>384</v>
      </c>
      <c r="U25" s="229"/>
      <c r="V25" s="76">
        <f>INDEX(محاسبات!AF12:AF16,MATCH(داشبورد!T24,محاسبات!AD12:AD16,0))</f>
        <v>179182.79</v>
      </c>
      <c r="W25" s="227"/>
    </row>
    <row r="26" spans="1:23" ht="20.25" customHeight="1">
      <c r="A26" s="81"/>
      <c r="B26" s="79"/>
      <c r="C26" s="79"/>
      <c r="D26" s="79"/>
      <c r="E26" s="75"/>
      <c r="F26" s="163"/>
      <c r="G26" s="77"/>
      <c r="H26" s="79"/>
      <c r="I26" s="79"/>
      <c r="J26" s="79"/>
      <c r="K26" s="75"/>
      <c r="L26" s="123"/>
      <c r="M26" s="77"/>
      <c r="N26" s="79"/>
      <c r="O26" s="79"/>
      <c r="P26" s="79"/>
      <c r="Q26" s="79"/>
      <c r="R26" s="75"/>
      <c r="S26" s="224"/>
      <c r="T26" s="211" t="s">
        <v>385</v>
      </c>
      <c r="U26" s="229"/>
      <c r="V26" s="76">
        <f>INDEX(محاسبات!AE12:AE16,MATCH(داشبورد!T24,محاسبات!AD12:AD16,0))</f>
        <v>166348.397</v>
      </c>
      <c r="W26" s="227"/>
    </row>
    <row r="27" spans="1:23" ht="5.25" customHeight="1">
      <c r="A27" s="81"/>
      <c r="B27" s="79"/>
      <c r="C27" s="79"/>
      <c r="D27" s="79"/>
      <c r="E27" s="75"/>
      <c r="F27" s="163"/>
      <c r="G27" s="77"/>
      <c r="H27" s="79"/>
      <c r="I27" s="79"/>
      <c r="J27" s="79"/>
      <c r="K27" s="75"/>
      <c r="L27" s="123"/>
      <c r="M27" s="77"/>
      <c r="N27" s="79"/>
      <c r="O27" s="79"/>
      <c r="P27" s="79"/>
      <c r="Q27" s="79"/>
      <c r="R27" s="75"/>
      <c r="S27" s="224"/>
      <c r="T27" s="211" t="s">
        <v>381</v>
      </c>
      <c r="U27" s="229"/>
      <c r="V27" s="230">
        <f>INDEX(محاسبات!AG12:AG16,MATCH(داشبورد!T24,محاسبات!AD12:AD16,0))</f>
        <v>12834.393000000011</v>
      </c>
      <c r="W27" s="227"/>
    </row>
    <row r="28" spans="1:23" ht="14.25" customHeight="1">
      <c r="A28" s="81"/>
      <c r="B28" s="79"/>
      <c r="C28" s="79"/>
      <c r="D28" s="79"/>
      <c r="E28" s="75"/>
      <c r="F28" s="163"/>
      <c r="G28" s="77"/>
      <c r="H28" s="79"/>
      <c r="I28" s="79"/>
      <c r="J28" s="79"/>
      <c r="K28" s="75"/>
      <c r="L28" s="123"/>
      <c r="M28" s="77"/>
      <c r="N28" s="79"/>
      <c r="O28" s="79"/>
      <c r="P28" s="79"/>
      <c r="Q28" s="79"/>
      <c r="R28" s="75"/>
      <c r="S28" s="224"/>
      <c r="T28" s="211"/>
      <c r="U28" s="229"/>
      <c r="V28" s="230"/>
      <c r="W28" s="227"/>
    </row>
    <row r="29" spans="1:23" ht="14.25" customHeight="1">
      <c r="A29" s="81"/>
      <c r="B29" s="79"/>
      <c r="C29" s="79"/>
      <c r="D29" s="79"/>
      <c r="E29" s="75"/>
      <c r="F29" s="163"/>
      <c r="G29" s="77"/>
      <c r="H29" s="79"/>
      <c r="I29" s="79"/>
      <c r="J29" s="79"/>
      <c r="K29" s="75"/>
      <c r="L29" s="123"/>
      <c r="M29" s="77"/>
      <c r="N29" s="79"/>
      <c r="O29" s="79"/>
      <c r="P29" s="79"/>
      <c r="Q29" s="79"/>
      <c r="R29" s="75"/>
      <c r="S29" s="224"/>
      <c r="T29" s="211" t="s">
        <v>386</v>
      </c>
      <c r="U29" s="229"/>
      <c r="V29" s="231">
        <f>INDEX(محاسبات!AH12:AH16,MATCH(داشبورد!T24,محاسبات!AD12:AD16,0))</f>
        <v>7.1627375597846248</v>
      </c>
      <c r="W29" s="227"/>
    </row>
    <row r="30" spans="1:23" ht="5.25" customHeight="1" thickBot="1">
      <c r="A30" s="83"/>
      <c r="B30" s="80"/>
      <c r="C30" s="80"/>
      <c r="D30" s="80"/>
      <c r="E30" s="73"/>
      <c r="F30" s="164"/>
      <c r="G30" s="78"/>
      <c r="H30" s="80"/>
      <c r="I30" s="80"/>
      <c r="J30" s="80"/>
      <c r="K30" s="73"/>
      <c r="L30" s="123"/>
      <c r="M30" s="78"/>
      <c r="N30" s="80"/>
      <c r="O30" s="80"/>
      <c r="P30" s="80"/>
      <c r="Q30" s="80"/>
      <c r="R30" s="73"/>
      <c r="S30" s="224"/>
      <c r="T30" s="211"/>
      <c r="U30" s="229"/>
      <c r="V30" s="231"/>
      <c r="W30" s="227"/>
    </row>
    <row r="31" spans="1:23" ht="5.0999999999999996" customHeight="1" thickBot="1">
      <c r="A31" s="151"/>
      <c r="B31" s="152"/>
      <c r="C31" s="152"/>
      <c r="D31" s="152"/>
      <c r="E31" s="152"/>
      <c r="F31" s="152"/>
      <c r="G31" s="152"/>
      <c r="H31" s="152"/>
      <c r="I31" s="152"/>
      <c r="J31" s="152"/>
      <c r="K31" s="159"/>
      <c r="L31" s="125"/>
      <c r="M31" s="160"/>
      <c r="N31" s="152"/>
      <c r="O31" s="152"/>
      <c r="P31" s="152"/>
      <c r="Q31" s="152"/>
      <c r="R31" s="153"/>
      <c r="S31" s="224"/>
      <c r="T31" s="82"/>
      <c r="U31" s="82"/>
      <c r="V31" s="82"/>
      <c r="W31" s="227"/>
    </row>
    <row r="32" spans="1:23" ht="15" customHeight="1">
      <c r="A32" s="84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224"/>
      <c r="T32" s="82"/>
      <c r="U32" s="82"/>
      <c r="V32" s="85"/>
      <c r="W32" s="227"/>
    </row>
    <row r="33" spans="1:23" ht="15" customHeight="1">
      <c r="A33" s="84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224"/>
      <c r="T33" s="82"/>
      <c r="U33" s="82"/>
      <c r="V33" s="82"/>
      <c r="W33" s="227"/>
    </row>
    <row r="34" spans="1:23" ht="15" customHeight="1">
      <c r="A34" s="84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224"/>
      <c r="T34" s="82"/>
      <c r="U34" s="82"/>
      <c r="V34" s="82"/>
      <c r="W34" s="227"/>
    </row>
    <row r="35" spans="1:23" ht="15" customHeight="1">
      <c r="A35" s="84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224"/>
      <c r="T35" s="82"/>
      <c r="U35" s="82"/>
      <c r="V35" s="82"/>
      <c r="W35" s="227"/>
    </row>
    <row r="36" spans="1:23" ht="15" customHeight="1">
      <c r="A36" s="84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224"/>
      <c r="T36" s="82"/>
      <c r="U36" s="82"/>
      <c r="V36" s="82"/>
      <c r="W36" s="227"/>
    </row>
    <row r="37" spans="1:23" ht="15" customHeight="1">
      <c r="A37" s="84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224"/>
      <c r="T37" s="82"/>
      <c r="U37" s="82"/>
      <c r="V37" s="82"/>
      <c r="W37" s="227"/>
    </row>
    <row r="38" spans="1:23" ht="15" customHeight="1">
      <c r="A38" s="84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224"/>
      <c r="T38" s="82"/>
      <c r="U38" s="82"/>
      <c r="V38" s="82"/>
      <c r="W38" s="227"/>
    </row>
    <row r="39" spans="1:23" ht="15" customHeight="1">
      <c r="A39" s="84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224"/>
      <c r="T39" s="82"/>
      <c r="U39" s="82"/>
      <c r="V39" s="82"/>
      <c r="W39" s="227"/>
    </row>
    <row r="40" spans="1:23" ht="15" customHeight="1">
      <c r="A40" s="84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224"/>
      <c r="T40" s="82"/>
      <c r="U40" s="82"/>
      <c r="V40" s="82"/>
      <c r="W40" s="227"/>
    </row>
    <row r="41" spans="1:23" ht="15" customHeight="1">
      <c r="A41" s="84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224"/>
      <c r="T41" s="82"/>
      <c r="U41" s="82"/>
      <c r="V41" s="82"/>
      <c r="W41" s="227"/>
    </row>
    <row r="42" spans="1:23" ht="15" customHeight="1">
      <c r="A42" s="84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224"/>
      <c r="T42" s="82"/>
      <c r="U42" s="82"/>
      <c r="V42" s="82"/>
      <c r="W42" s="227"/>
    </row>
    <row r="43" spans="1:23" ht="15" customHeight="1">
      <c r="A43" s="84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224"/>
      <c r="T43" s="82"/>
      <c r="U43" s="82"/>
      <c r="V43" s="82"/>
      <c r="W43" s="227"/>
    </row>
    <row r="44" spans="1:23" ht="15" customHeight="1">
      <c r="A44" s="84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224"/>
      <c r="T44" s="82"/>
      <c r="U44" s="82"/>
      <c r="V44" s="82"/>
      <c r="W44" s="227"/>
    </row>
    <row r="45" spans="1:23" ht="15" customHeight="1">
      <c r="A45" s="84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224"/>
      <c r="T45" s="82"/>
      <c r="U45" s="82"/>
      <c r="V45" s="82"/>
      <c r="W45" s="227"/>
    </row>
    <row r="46" spans="1:23" ht="15" customHeight="1">
      <c r="A46" s="84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224"/>
      <c r="T46" s="82"/>
      <c r="U46" s="82"/>
      <c r="V46" s="82"/>
      <c r="W46" s="227"/>
    </row>
    <row r="47" spans="1:23" ht="15" customHeight="1">
      <c r="A47" s="84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224"/>
      <c r="T47" s="82"/>
      <c r="U47" s="82"/>
      <c r="V47" s="82"/>
      <c r="W47" s="227"/>
    </row>
    <row r="48" spans="1:23" ht="15" customHeight="1">
      <c r="A48" s="84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224"/>
      <c r="T48" s="82"/>
      <c r="U48" s="82"/>
      <c r="V48" s="82"/>
      <c r="W48" s="227"/>
    </row>
    <row r="49" spans="1:23" ht="15" customHeight="1">
      <c r="A49" s="84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224"/>
      <c r="T49" s="82"/>
      <c r="U49" s="82"/>
      <c r="V49" s="82"/>
      <c r="W49" s="227"/>
    </row>
    <row r="50" spans="1:23" ht="12.75" customHeight="1" thickBot="1">
      <c r="A50" s="84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225"/>
      <c r="T50" s="82"/>
      <c r="U50" s="82"/>
      <c r="V50" s="82"/>
      <c r="W50" s="228"/>
    </row>
    <row r="51" spans="1:23" ht="5.0999999999999996" customHeight="1" thickBot="1">
      <c r="A51" s="61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3"/>
    </row>
  </sheetData>
  <mergeCells count="73">
    <mergeCell ref="S1:S50"/>
    <mergeCell ref="W1:W50"/>
    <mergeCell ref="T27:U28"/>
    <mergeCell ref="T29:U30"/>
    <mergeCell ref="T25:U25"/>
    <mergeCell ref="T26:U26"/>
    <mergeCell ref="V27:V28"/>
    <mergeCell ref="V29:V30"/>
    <mergeCell ref="T17:V17"/>
    <mergeCell ref="T18:V19"/>
    <mergeCell ref="T20:U20"/>
    <mergeCell ref="T21:U21"/>
    <mergeCell ref="T22:V22"/>
    <mergeCell ref="T23:V23"/>
    <mergeCell ref="T24:V24"/>
    <mergeCell ref="M15:R16"/>
    <mergeCell ref="T11:V11"/>
    <mergeCell ref="T8:V10"/>
    <mergeCell ref="M5:R7"/>
    <mergeCell ref="T14:U15"/>
    <mergeCell ref="V14:V15"/>
    <mergeCell ref="T4:V5"/>
    <mergeCell ref="T6:V6"/>
    <mergeCell ref="M12:O12"/>
    <mergeCell ref="P12:R13"/>
    <mergeCell ref="T12:U12"/>
    <mergeCell ref="T13:U13"/>
    <mergeCell ref="M8:O9"/>
    <mergeCell ref="M10:R10"/>
    <mergeCell ref="M11:R11"/>
    <mergeCell ref="M13:O13"/>
    <mergeCell ref="A31:K31"/>
    <mergeCell ref="M31:R31"/>
    <mergeCell ref="F15:F30"/>
    <mergeCell ref="T1:V3"/>
    <mergeCell ref="T7:V7"/>
    <mergeCell ref="A15:E17"/>
    <mergeCell ref="G15:K17"/>
    <mergeCell ref="P8:R9"/>
    <mergeCell ref="A14:K14"/>
    <mergeCell ref="E3:F5"/>
    <mergeCell ref="E6:F6"/>
    <mergeCell ref="E10:F12"/>
    <mergeCell ref="E13:F13"/>
    <mergeCell ref="K3:K5"/>
    <mergeCell ref="H3:H5"/>
    <mergeCell ref="I3:I5"/>
    <mergeCell ref="A8:K8"/>
    <mergeCell ref="A10:A12"/>
    <mergeCell ref="B10:B12"/>
    <mergeCell ref="C10:C12"/>
    <mergeCell ref="D10:D12"/>
    <mergeCell ref="A3:A5"/>
    <mergeCell ref="B3:B5"/>
    <mergeCell ref="C3:C5"/>
    <mergeCell ref="D3:D5"/>
    <mergeCell ref="G3:G5"/>
    <mergeCell ref="M1:O3"/>
    <mergeCell ref="L1:L31"/>
    <mergeCell ref="G10:G12"/>
    <mergeCell ref="H10:H12"/>
    <mergeCell ref="I10:I12"/>
    <mergeCell ref="J10:J12"/>
    <mergeCell ref="K10:K12"/>
    <mergeCell ref="A1:K1"/>
    <mergeCell ref="A9:K9"/>
    <mergeCell ref="A2:K2"/>
    <mergeCell ref="A7:K7"/>
    <mergeCell ref="J3:J5"/>
    <mergeCell ref="M17:R17"/>
    <mergeCell ref="P1:R3"/>
    <mergeCell ref="M4:R4"/>
    <mergeCell ref="M14:R14"/>
  </mergeCells>
  <pageMargins left="0.7" right="0.7" top="0.75" bottom="0.75" header="0.3" footer="0.3"/>
  <pageSetup paperSize="8" orientation="landscape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'داده تولید سال 1403'!$A$2:$A$13</xm:f>
          </x14:formula1>
          <xm:sqref>A9 M8:O9 A19 M12</xm:sqref>
        </x14:dataValidation>
        <x14:dataValidation type="list" allowBlank="1" showInputMessage="1" showErrorMessage="1" xr:uid="{00000000-0002-0000-0200-000001000000}">
          <x14:formula1>
            <xm:f>'داده تولید سال 1403'!$B$1:$AH$1</xm:f>
          </x14:formula1>
          <xm:sqref>M17:R17 B18:E18 G15:G16 A15:A16 M14 G18:K18 M13:O13</xm:sqref>
        </x14:dataValidation>
        <x14:dataValidation type="list" allowBlank="1" showInputMessage="1" showErrorMessage="1" xr:uid="{00000000-0002-0000-0200-000002000000}">
          <x14:formula1>
            <xm:f>محاسبات!$L$3:$L$131</xm:f>
          </x14:formula1>
          <xm:sqref>T4</xm:sqref>
        </x14:dataValidation>
        <x14:dataValidation type="list" allowBlank="1" showInputMessage="1" showErrorMessage="1" xr:uid="{00000000-0002-0000-0200-000003000000}">
          <x14:formula1>
            <xm:f>محاسبات!$S$3:$S$21</xm:f>
          </x14:formula1>
          <xm:sqref>T11:V11</xm:sqref>
        </x14:dataValidation>
        <x14:dataValidation type="list" allowBlank="1" showInputMessage="1" showErrorMessage="1" xr:uid="{00000000-0002-0000-0200-000004000000}">
          <x14:formula1>
            <xm:f>محاسبات!$Y$2:$AP$2</xm:f>
          </x14:formula1>
          <xm:sqref>T18:V19</xm:sqref>
        </x14:dataValidation>
        <x14:dataValidation type="list" allowBlank="1" showInputMessage="1" showErrorMessage="1" xr:uid="{00000000-0002-0000-0200-000005000000}">
          <x14:formula1>
            <xm:f>محاسبات!$AD$12:$AD$16</xm:f>
          </x14:formula1>
          <xm:sqref>T24:V24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3477-0A4E-416E-A66B-7635B2739459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داده تولید سال 1403</vt:lpstr>
      <vt:lpstr>محاسبات</vt:lpstr>
      <vt:lpstr>داشبورد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Reza Bahiraei</dc:creator>
  <cp:lastModifiedBy>Mohamad Reza Bahiraei</cp:lastModifiedBy>
  <cp:lastPrinted>2025-08-06T14:24:51Z</cp:lastPrinted>
  <dcterms:created xsi:type="dcterms:W3CDTF">2025-08-01T15:58:40Z</dcterms:created>
  <dcterms:modified xsi:type="dcterms:W3CDTF">2025-08-08T08:17:02Z</dcterms:modified>
</cp:coreProperties>
</file>