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lixuanchen/Desktop/ESWD/Dillards POS/latest/"/>
    </mc:Choice>
  </mc:AlternateContent>
  <xr:revisionPtr revIDLastSave="0" documentId="13_ncr:1_{DA0E9EFB-C9A4-C642-B1BD-815AEB8234B8}" xr6:coauthVersionLast="47" xr6:coauthVersionMax="47" xr10:uidLastSave="{00000000-0000-0000-0000-000000000000}"/>
  <bookViews>
    <workbookView xWindow="760" yWindow="500" windowWidth="37640" windowHeight="21100" activeTab="2" xr2:uid="{85412322-B9D1-A94B-B1C8-C0D4325F9BD0}"/>
  </bookViews>
  <sheets>
    <sheet name="Optimistic" sheetId="1" r:id="rId1"/>
    <sheet name="Neutral" sheetId="2" r:id="rId2"/>
    <sheet name="Pessimistic" sheetId="3" r:id="rId3"/>
    <sheet name="Resul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3" l="1"/>
  <c r="D3" i="4"/>
  <c r="C3" i="4"/>
  <c r="B3" i="4"/>
  <c r="C38" i="3"/>
  <c r="E38" i="3" s="1"/>
  <c r="B39" i="3" s="1"/>
  <c r="D34" i="3"/>
  <c r="E34" i="3" s="1"/>
  <c r="B35" i="3" s="1"/>
  <c r="E33" i="3"/>
  <c r="E32" i="3"/>
  <c r="E31" i="3"/>
  <c r="B47" i="2"/>
  <c r="B46" i="2"/>
  <c r="E33" i="2"/>
  <c r="D34" i="2"/>
  <c r="E34" i="2" s="1"/>
  <c r="E32" i="2"/>
  <c r="E31" i="2"/>
  <c r="B35" i="2" s="1"/>
  <c r="E33" i="1"/>
  <c r="D34" i="1"/>
  <c r="F18" i="2"/>
  <c r="K6" i="2"/>
  <c r="F7" i="2"/>
  <c r="F18" i="1"/>
  <c r="F18" i="3"/>
  <c r="F7" i="3"/>
  <c r="I18" i="3"/>
  <c r="C18" i="3"/>
  <c r="E18" i="3" s="1"/>
  <c r="J18" i="3" s="1"/>
  <c r="K17" i="3" s="1"/>
  <c r="L17" i="3" s="1"/>
  <c r="I17" i="3"/>
  <c r="C17" i="3"/>
  <c r="E17" i="3" s="1"/>
  <c r="J17" i="3" s="1"/>
  <c r="I7" i="3"/>
  <c r="E7" i="3"/>
  <c r="J7" i="3" s="1"/>
  <c r="C7" i="3"/>
  <c r="I6" i="3"/>
  <c r="C6" i="3"/>
  <c r="E6" i="3" s="1"/>
  <c r="J6" i="3" s="1"/>
  <c r="C38" i="2"/>
  <c r="E38" i="2" s="1"/>
  <c r="B39" i="2" s="1"/>
  <c r="I18" i="2"/>
  <c r="C18" i="2"/>
  <c r="E18" i="2" s="1"/>
  <c r="J18" i="2" s="1"/>
  <c r="I17" i="2"/>
  <c r="C17" i="2"/>
  <c r="E17" i="2" s="1"/>
  <c r="J17" i="2" s="1"/>
  <c r="I7" i="2"/>
  <c r="E7" i="2"/>
  <c r="J7" i="2" s="1"/>
  <c r="C7" i="2"/>
  <c r="I6" i="2"/>
  <c r="C6" i="2"/>
  <c r="E6" i="2" s="1"/>
  <c r="J6" i="2" s="1"/>
  <c r="C39" i="1"/>
  <c r="E39" i="1" s="1"/>
  <c r="B40" i="1" s="1"/>
  <c r="E34" i="1"/>
  <c r="E31" i="1"/>
  <c r="E32" i="1"/>
  <c r="F7" i="1"/>
  <c r="I18" i="1"/>
  <c r="I17" i="1"/>
  <c r="C17" i="1"/>
  <c r="E17" i="1" s="1"/>
  <c r="C18" i="1"/>
  <c r="E18" i="1" s="1"/>
  <c r="C6" i="1"/>
  <c r="E6" i="1" s="1"/>
  <c r="C7" i="1"/>
  <c r="E7" i="1" s="1"/>
  <c r="I6" i="1"/>
  <c r="I7" i="1"/>
  <c r="B47" i="3" l="1"/>
  <c r="B46" i="3"/>
  <c r="B35" i="1"/>
  <c r="K17" i="2"/>
  <c r="L17" i="2" s="1"/>
  <c r="L6" i="3"/>
  <c r="J17" i="1"/>
  <c r="J18" i="1"/>
  <c r="K17" i="1" s="1"/>
  <c r="J6" i="1"/>
  <c r="J7" i="1"/>
  <c r="L6" i="2" l="1"/>
  <c r="K6" i="1"/>
  <c r="L6" i="1" s="1"/>
  <c r="B47" i="1" l="1"/>
  <c r="B48" i="1"/>
  <c r="L17" i="1"/>
</calcChain>
</file>

<file path=xl/sharedStrings.xml><?xml version="1.0" encoding="utf-8"?>
<sst xmlns="http://schemas.openxmlformats.org/spreadsheetml/2006/main" count="313" uniqueCount="82">
  <si>
    <t>Investments</t>
  </si>
  <si>
    <t>Rate of Buying from Recommendation</t>
  </si>
  <si>
    <t>Source</t>
  </si>
  <si>
    <t xml:space="preserve">https://investor.dillards.com/press-releases/press-release-details/2022/Dillards-Inc.-Reports-Fourth-Quarter-and-Fiscal-Year-Results/default.aspx </t>
  </si>
  <si>
    <t>Return - Online Store</t>
  </si>
  <si>
    <t>Data Scientists</t>
  </si>
  <si>
    <t>Annual Wage</t>
  </si>
  <si>
    <t>Total</t>
  </si>
  <si>
    <t>Total Labor Costs</t>
  </si>
  <si>
    <t>Computing Costs</t>
  </si>
  <si>
    <t>Return - in Physical Retail</t>
  </si>
  <si>
    <t>Assumption</t>
  </si>
  <si>
    <t>Report</t>
  </si>
  <si>
    <t>Tools/instruments</t>
  </si>
  <si>
    <t xml:space="preserve">https://www.statista.com/outlook/cmo/apparel/united-states  </t>
  </si>
  <si>
    <t>Baseline</t>
  </si>
  <si>
    <t>Labor Costs</t>
  </si>
  <si>
    <t>Sales Training</t>
  </si>
  <si>
    <t>Assumptions</t>
  </si>
  <si>
    <t>Returns</t>
  </si>
  <si>
    <t>Offline Revenue Share</t>
  </si>
  <si>
    <t>Online Revenue Share</t>
  </si>
  <si>
    <t>trnsct data</t>
  </si>
  <si>
    <t>Offline Transaction Count 2022</t>
  </si>
  <si>
    <t>Avg CAGR 2004-2022 Apparel Department Store</t>
  </si>
  <si>
    <t>https://f.hubspotusercontent00.net/hubfs/3814356/AAA%20Press/Market-Outlook-US-Department-Stores—Opportunities-in-E-Commerce-and-Apparel-Jun-3-2021-1.pdf</t>
  </si>
  <si>
    <t>reported stat</t>
  </si>
  <si>
    <t xml:space="preserve">https://www.macrotrends.net/countries/USA/united-states/inflation-rate-cpi </t>
  </si>
  <si>
    <t>US Avg Inflation Rate 2004-2022</t>
  </si>
  <si>
    <t>trsact data</t>
  </si>
  <si>
    <t>Median Price of Goods Sold 2022 dollars</t>
  </si>
  <si>
    <t>Median Price of Goods sold 2004 dollars</t>
  </si>
  <si>
    <t>Revenue Generated</t>
  </si>
  <si>
    <t>Assumption 1</t>
  </si>
  <si>
    <t>Assumption 2</t>
  </si>
  <si>
    <t>Assumption1</t>
  </si>
  <si>
    <t xml:space="preserve">According to research, most apparel department store draws around 45% of their revenue from online channels as of 2022. </t>
  </si>
  <si>
    <t>Lift Amount</t>
  </si>
  <si>
    <t>Lift Rate</t>
  </si>
  <si>
    <t>Transaction Count * Price * Success Rate</t>
  </si>
  <si>
    <t>Transaction Count 2004</t>
  </si>
  <si>
    <t>trnsact data</t>
  </si>
  <si>
    <t>Avg CAGR 2004-2022 Apparel Department Store Online Sales</t>
  </si>
  <si>
    <t>With Our Model</t>
  </si>
  <si>
    <t>Assumption 3</t>
  </si>
  <si>
    <t>Calculated Field</t>
  </si>
  <si>
    <t xml:space="preserve">https://www.invoca.com/blog/retail-marketing-statistics </t>
  </si>
  <si>
    <t>Report Stat</t>
  </si>
  <si>
    <t xml:space="preserve">https://www.getwiser.ai/blog/statistics-personalized-product-recommendations/ </t>
  </si>
  <si>
    <t>We are using the average success rate of ecommerce conversion with recommondation systems, multiplies by 0.5 since Dillard's current system is purely brand-rule based</t>
  </si>
  <si>
    <t xml:space="preserve">Our final product in online store sector will recommend products in the same cluster as the items in shopping cars, having half of the recommendations with brand filter on, achieving at least the same result as the original brand-based recommendations. </t>
  </si>
  <si>
    <t>We Assume our recommendation system will increase success rate of the current brand-based recommendation system by 20% again.</t>
  </si>
  <si>
    <t>The algorithm is integrated in sales representitives smart devices (tablet, smartphone, etc), which allows reps to scan the bar code of a customer's items picked and recommends products in the same cluster.</t>
  </si>
  <si>
    <t>Person*Time (FTE*Hours)</t>
  </si>
  <si>
    <t>*Assumes typical data science projects in corporatioins last around 6 month</t>
  </si>
  <si>
    <t>Fron-end Developer</t>
  </si>
  <si>
    <t>Duaration</t>
  </si>
  <si>
    <t>AWS</t>
  </si>
  <si>
    <t>Hourly Rate</t>
  </si>
  <si>
    <t>Days Computing in Project</t>
  </si>
  <si>
    <t>Hours Computing per Day</t>
  </si>
  <si>
    <t>Total Cost</t>
  </si>
  <si>
    <t>Total Computing Costs</t>
  </si>
  <si>
    <t>*Assumes we work 5 days a week, and only use computing resources for 2 hours a day, since our models are not extremely computationally intensive.</t>
  </si>
  <si>
    <t>Assumptions:</t>
  </si>
  <si>
    <t>Costs</t>
  </si>
  <si>
    <t>Used open-source languages and tools only</t>
  </si>
  <si>
    <t>Total ROI</t>
  </si>
  <si>
    <t>We Assume our recommendation system will increase success rate of the current brand-based recommendation system by 1% again.</t>
  </si>
  <si>
    <t>We Assume our recommendation system will increase success rate of the current brand-based recommendation system by 10% again.</t>
  </si>
  <si>
    <t>Optimistic</t>
  </si>
  <si>
    <t>Neutral</t>
  </si>
  <si>
    <t>Pessimistic</t>
  </si>
  <si>
    <t>ROI</t>
  </si>
  <si>
    <t>Amount</t>
  </si>
  <si>
    <t>Rate</t>
  </si>
  <si>
    <t>*Assumes 10 -people team work for 4 weeks to create content for sales-rep training on how to use the recommendation system at offline stores</t>
  </si>
  <si>
    <t>*Assumes 4 FTE developers needed to implement offline-store application and app changes in online store.</t>
  </si>
  <si>
    <t>Full-Stack Engineer</t>
  </si>
  <si>
    <r>
      <t>Assumes with our model, the sales reps' success rate improves by</t>
    </r>
    <r>
      <rPr>
        <b/>
        <sz val="12"/>
        <color theme="1"/>
        <rFont val="Calibri"/>
        <family val="2"/>
        <scheme val="minor"/>
      </rPr>
      <t xml:space="preserve"> 1%</t>
    </r>
    <r>
      <rPr>
        <sz val="12"/>
        <color theme="1"/>
        <rFont val="Calibri"/>
        <family val="2"/>
        <scheme val="minor"/>
      </rPr>
      <t xml:space="preserve"> (3.03 in 100 customers accepts recommendation). We believe having more information is unlikely to decrease a sales reps success rate. An improvement of 1% is under the bear (pessimistic) assumption. Actual rate can be calculated from an A/B test.</t>
    </r>
  </si>
  <si>
    <t>Assumes with our model, the sales reps' success rate improves by 20% (3.6 in 100 customers accepts recommendation). We believe having more information is unlikely to decrease a sales reps success rate. An improvement of 20% is under the bull (optimistic) assumption. Actual rate can be calculated from an A/B test</t>
  </si>
  <si>
    <t>Assumes with our model, the sales reps' success rate improves by 10% (3.3 in 100 customers accepts recommendation). We believe having more information is unlikely to decrease a sales reps success rate. An improvement of 10% is under the neutral assumption. Actual rate can be calculated from an A/B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</si>
</sst>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0.000"/>
    <numFmt numFmtId="165" formatCode="0.0000"/>
    <numFmt numFmtId="166" formatCode="_(* #,##0_);_(* \(#,##0\);_(* &quot;-&quot;??_);_(@_)"/>
    <numFmt numFmtId="167" formatCode="0.0%"/>
    <numFmt numFmtId="168" formatCode="0.000%"/>
    <numFmt numFmtId="169" formatCode="_(&quot;$&quot;* #,##0_);_(&quot;$&quot;* \(#,##0\);_(&quot;$&quot;* &quot;-&quot;??_);_(@_)"/>
  </numFmts>
  <fonts count="6" x14ac:knownFonts="1">
    <font>
      <sz val="12"/>
      <color theme="1"/>
      <name val="Calibri"/>
      <family val="2"/>
      <scheme val="minor"/>
    </font>
    <font>
      <sz val="12"/>
      <color theme="0"/>
      <name val="Calibri"/>
      <family val="2"/>
      <scheme val="minor"/>
    </font>
    <font>
      <u/>
      <sz val="12"/>
      <color theme="10"/>
      <name val="Calibri"/>
      <family val="2"/>
      <scheme val="minor"/>
    </font>
    <font>
      <sz val="16"/>
      <color theme="0"/>
      <name val="Calibri"/>
      <family val="2"/>
      <scheme val="minor"/>
    </font>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499984740745262"/>
        <bgColor indexed="64"/>
      </patternFill>
    </fill>
    <fill>
      <patternFill patternType="solid">
        <fgColor theme="8" tint="-0.249977111117893"/>
        <bgColor indexed="64"/>
      </patternFill>
    </fill>
    <fill>
      <patternFill patternType="solid">
        <fgColor theme="4" tint="0.39997558519241921"/>
        <bgColor indexed="64"/>
      </patternFill>
    </fill>
  </fills>
  <borders count="1">
    <border>
      <left/>
      <right/>
      <top/>
      <bottom/>
      <diagonal/>
    </border>
  </borders>
  <cellStyleXfs count="5">
    <xf numFmtId="0" fontId="0" fillId="0" borderId="0"/>
    <xf numFmtId="0" fontId="2" fillId="0" borderId="0" applyNumberForma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4" fontId="4" fillId="0" borderId="0" applyFont="0" applyFill="0" applyBorder="0" applyAlignment="0" applyProtection="0"/>
  </cellStyleXfs>
  <cellXfs count="18">
    <xf numFmtId="0" fontId="0" fillId="0" borderId="0" xfId="0"/>
    <xf numFmtId="0" fontId="2" fillId="0" borderId="0" xfId="1"/>
    <xf numFmtId="2" fontId="0" fillId="0" borderId="0" xfId="0" applyNumberFormat="1"/>
    <xf numFmtId="0" fontId="3" fillId="2" borderId="0" xfId="0" applyFont="1" applyFill="1" applyAlignment="1">
      <alignment vertical="center"/>
    </xf>
    <xf numFmtId="0" fontId="1" fillId="3" borderId="0" xfId="0" applyFont="1" applyFill="1" applyAlignment="1">
      <alignment vertical="top" wrapText="1"/>
    </xf>
    <xf numFmtId="0" fontId="3" fillId="4" borderId="0" xfId="0" applyFont="1" applyFill="1" applyAlignment="1">
      <alignment vertical="center"/>
    </xf>
    <xf numFmtId="3" fontId="0" fillId="0" borderId="0" xfId="0" applyNumberFormat="1"/>
    <xf numFmtId="0" fontId="1" fillId="3" borderId="0" xfId="0" applyFont="1" applyFill="1" applyAlignment="1">
      <alignment horizontal="left" vertical="top" wrapText="1"/>
    </xf>
    <xf numFmtId="9" fontId="0" fillId="0" borderId="0" xfId="3" applyFont="1"/>
    <xf numFmtId="164" fontId="0" fillId="0" borderId="0" xfId="0" applyNumberFormat="1"/>
    <xf numFmtId="165" fontId="0" fillId="0" borderId="0" xfId="0" applyNumberFormat="1"/>
    <xf numFmtId="166" fontId="0" fillId="0" borderId="0" xfId="2" applyNumberFormat="1" applyFont="1"/>
    <xf numFmtId="167" fontId="0" fillId="0" borderId="0" xfId="3" applyNumberFormat="1" applyFont="1"/>
    <xf numFmtId="166" fontId="0" fillId="0" borderId="0" xfId="0" applyNumberFormat="1"/>
    <xf numFmtId="10" fontId="0" fillId="0" borderId="0" xfId="3" applyNumberFormat="1" applyFont="1"/>
    <xf numFmtId="168" fontId="0" fillId="0" borderId="0" xfId="3" applyNumberFormat="1" applyFont="1"/>
    <xf numFmtId="44" fontId="0" fillId="0" borderId="0" xfId="4" applyFont="1"/>
    <xf numFmtId="169" fontId="0" fillId="0" borderId="0" xfId="4" applyNumberFormat="1" applyFont="1"/>
  </cellXfs>
  <cellStyles count="5">
    <cellStyle name="Comma" xfId="2" builtinId="3"/>
    <cellStyle name="Currency" xfId="4" builtinId="4"/>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ROI Under 3 Risk Assumptions</a:t>
            </a:r>
          </a:p>
        </c:rich>
      </c:tx>
      <c:layout>
        <c:manualLayout>
          <c:xMode val="edge"/>
          <c:yMode val="edge"/>
          <c:x val="0.26412610512078238"/>
          <c:y val="2.2144361308295842E-2"/>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dLbls>
            <c:dLbl>
              <c:idx val="0"/>
              <c:layout>
                <c:manualLayout>
                  <c:x val="0"/>
                  <c:y val="-3.210807843238816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6AE-7C4D-BF4C-ECF27CD661AB}"/>
                </c:ext>
              </c:extLst>
            </c:dLbl>
            <c:dLbl>
              <c:idx val="1"/>
              <c:layout>
                <c:manualLayout>
                  <c:x val="2.0861795858949182E-3"/>
                  <c:y val="-3.210807843238961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AE-7C4D-BF4C-ECF27CD661AB}"/>
                </c:ext>
              </c:extLst>
            </c:dLbl>
            <c:dLbl>
              <c:idx val="2"/>
              <c:layout>
                <c:manualLayout>
                  <c:x val="0"/>
                  <c:y val="9.297891727275128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6AE-7C4D-BF4C-ECF27CD661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Result!$B$2:$D$2</c:f>
              <c:strCache>
                <c:ptCount val="3"/>
                <c:pt idx="0">
                  <c:v>Optimistic</c:v>
                </c:pt>
                <c:pt idx="1">
                  <c:v>Neutral</c:v>
                </c:pt>
                <c:pt idx="2">
                  <c:v>Pessimistic</c:v>
                </c:pt>
              </c:strCache>
            </c:strRef>
          </c:cat>
          <c:val>
            <c:numRef>
              <c:f>Result!$B$3:$D$3</c:f>
              <c:numCache>
                <c:formatCode>_("$"* #,##0_);_("$"* \(#,##0\);_("$"* "-"??_);_(@_)</c:formatCode>
                <c:ptCount val="3"/>
                <c:pt idx="0">
                  <c:v>60369108.048705265</c:v>
                </c:pt>
                <c:pt idx="1">
                  <c:v>29761509.320222527</c:v>
                </c:pt>
                <c:pt idx="2">
                  <c:v>2214670.4645880191</c:v>
                </c:pt>
              </c:numCache>
            </c:numRef>
          </c:val>
          <c:extLst>
            <c:ext xmlns:c16="http://schemas.microsoft.com/office/drawing/2014/chart" uri="{C3380CC4-5D6E-409C-BE32-E72D297353CC}">
              <c16:uniqueId val="{00000000-BBDE-AE40-A0CA-2C53F682AAC4}"/>
            </c:ext>
          </c:extLst>
        </c:ser>
        <c:dLbls>
          <c:dLblPos val="inEnd"/>
          <c:showLegendKey val="0"/>
          <c:showVal val="1"/>
          <c:showCatName val="0"/>
          <c:showSerName val="0"/>
          <c:showPercent val="0"/>
          <c:showBubbleSize val="0"/>
        </c:dLbls>
        <c:gapWidth val="355"/>
        <c:overlap val="-70"/>
        <c:axId val="1866847248"/>
        <c:axId val="304584224"/>
      </c:barChart>
      <c:catAx>
        <c:axId val="186684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4584224"/>
        <c:crosses val="autoZero"/>
        <c:auto val="1"/>
        <c:lblAlgn val="ctr"/>
        <c:lblOffset val="100"/>
        <c:noMultiLvlLbl val="0"/>
      </c:catAx>
      <c:valAx>
        <c:axId val="304584224"/>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84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304192</xdr:colOff>
      <xdr:row>6</xdr:row>
      <xdr:rowOff>181195</xdr:rowOff>
    </xdr:from>
    <xdr:to>
      <xdr:col>9</xdr:col>
      <xdr:colOff>446853</xdr:colOff>
      <xdr:row>34</xdr:row>
      <xdr:rowOff>23519</xdr:rowOff>
    </xdr:to>
    <xdr:graphicFrame macro="">
      <xdr:nvGraphicFramePr>
        <xdr:cNvPr id="2" name="Chart 1">
          <a:extLst>
            <a:ext uri="{FF2B5EF4-FFF2-40B4-BE49-F238E27FC236}">
              <a16:creationId xmlns:a16="http://schemas.microsoft.com/office/drawing/2014/main" id="{8940A1CE-DAC8-9585-D541-87D85E436C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tatista.com/outlook/cmo/apparel/united-states" TargetMode="External"/><Relationship Id="rId7" Type="http://schemas.openxmlformats.org/officeDocument/2006/relationships/hyperlink" Target="https://www.getwiser.ai/blog/statistics-personalized-product-recommendations/" TargetMode="External"/><Relationship Id="rId2" Type="http://schemas.openxmlformats.org/officeDocument/2006/relationships/hyperlink" Target="https://www.statista.com/outlook/cmo/apparel/united-states" TargetMode="External"/><Relationship Id="rId1" Type="http://schemas.openxmlformats.org/officeDocument/2006/relationships/hyperlink" Target="https://investor.dillards.com/press-releases/press-release-details/2022/Dillards-Inc.-Reports-Fourth-Quarter-and-Fiscal-Year-Results/default.aspx" TargetMode="External"/><Relationship Id="rId6" Type="http://schemas.openxmlformats.org/officeDocument/2006/relationships/hyperlink" Target="https://www.invoca.com/blog/retail-marketing-statistics" TargetMode="External"/><Relationship Id="rId5" Type="http://schemas.openxmlformats.org/officeDocument/2006/relationships/hyperlink" Target="https://www.macrotrends.net/countries/USA/united-states/inflation-rate-cpi" TargetMode="External"/><Relationship Id="rId4" Type="http://schemas.openxmlformats.org/officeDocument/2006/relationships/hyperlink" Target="https://www.macrotrends.net/countries/USA/united-states/inflation-rate-cpi"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statista.com/outlook/cmo/apparel/united-states" TargetMode="External"/><Relationship Id="rId7" Type="http://schemas.openxmlformats.org/officeDocument/2006/relationships/hyperlink" Target="https://www.getwiser.ai/blog/statistics-personalized-product-recommendations/" TargetMode="External"/><Relationship Id="rId2" Type="http://schemas.openxmlformats.org/officeDocument/2006/relationships/hyperlink" Target="https://www.statista.com/outlook/cmo/apparel/united-states" TargetMode="External"/><Relationship Id="rId1" Type="http://schemas.openxmlformats.org/officeDocument/2006/relationships/hyperlink" Target="https://investor.dillards.com/press-releases/press-release-details/2022/Dillards-Inc.-Reports-Fourth-Quarter-and-Fiscal-Year-Results/default.aspx" TargetMode="External"/><Relationship Id="rId6" Type="http://schemas.openxmlformats.org/officeDocument/2006/relationships/hyperlink" Target="https://www.invoca.com/blog/retail-marketing-statistics" TargetMode="External"/><Relationship Id="rId5" Type="http://schemas.openxmlformats.org/officeDocument/2006/relationships/hyperlink" Target="https://www.macrotrends.net/countries/USA/united-states/inflation-rate-cpi" TargetMode="External"/><Relationship Id="rId4" Type="http://schemas.openxmlformats.org/officeDocument/2006/relationships/hyperlink" Target="https://www.macrotrends.net/countries/USA/united-states/inflation-rate-cpi"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statista.com/outlook/cmo/apparel/united-states" TargetMode="External"/><Relationship Id="rId7" Type="http://schemas.openxmlformats.org/officeDocument/2006/relationships/hyperlink" Target="https://www.getwiser.ai/blog/statistics-personalized-product-recommendations/" TargetMode="External"/><Relationship Id="rId2" Type="http://schemas.openxmlformats.org/officeDocument/2006/relationships/hyperlink" Target="https://www.statista.com/outlook/cmo/apparel/united-states" TargetMode="External"/><Relationship Id="rId1" Type="http://schemas.openxmlformats.org/officeDocument/2006/relationships/hyperlink" Target="https://investor.dillards.com/press-releases/press-release-details/2022/Dillards-Inc.-Reports-Fourth-Quarter-and-Fiscal-Year-Results/default.aspx" TargetMode="External"/><Relationship Id="rId6" Type="http://schemas.openxmlformats.org/officeDocument/2006/relationships/hyperlink" Target="https://www.invoca.com/blog/retail-marketing-statistics" TargetMode="External"/><Relationship Id="rId5" Type="http://schemas.openxmlformats.org/officeDocument/2006/relationships/hyperlink" Target="https://www.macrotrends.net/countries/USA/united-states/inflation-rate-cpi" TargetMode="External"/><Relationship Id="rId4" Type="http://schemas.openxmlformats.org/officeDocument/2006/relationships/hyperlink" Target="https://www.macrotrends.net/countries/USA/united-states/inflation-rate-cpi"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B9138-ED94-8E4A-8334-D09E799BE9B8}">
  <dimension ref="A2:L48"/>
  <sheetViews>
    <sheetView workbookViewId="0">
      <selection activeCell="B13" sqref="B13"/>
    </sheetView>
  </sheetViews>
  <sheetFormatPr baseColWidth="10" defaultRowHeight="16" x14ac:dyDescent="0.2"/>
  <cols>
    <col min="1" max="1" width="23.5" customWidth="1"/>
    <col min="2" max="2" width="20.33203125" customWidth="1"/>
    <col min="3" max="3" width="28.5" customWidth="1"/>
    <col min="4" max="4" width="33" customWidth="1"/>
    <col min="5" max="5" width="21.5" customWidth="1"/>
    <col min="6" max="6" width="25.1640625" customWidth="1"/>
    <col min="7" max="7" width="19.1640625" customWidth="1"/>
    <col min="8" max="9" width="22.1640625" customWidth="1"/>
    <col min="10" max="10" width="16" customWidth="1"/>
    <col min="11" max="11" width="15.6640625" customWidth="1"/>
  </cols>
  <sheetData>
    <row r="2" spans="1:12" s="3" customFormat="1" ht="34" customHeight="1" x14ac:dyDescent="0.2">
      <c r="A2" s="3" t="s">
        <v>19</v>
      </c>
    </row>
    <row r="4" spans="1:12" s="5" customFormat="1" ht="34" customHeight="1" x14ac:dyDescent="0.2">
      <c r="A4" s="5" t="s">
        <v>10</v>
      </c>
    </row>
    <row r="5" spans="1:12" s="7" customFormat="1" ht="34" x14ac:dyDescent="0.2">
      <c r="B5" s="7" t="s">
        <v>20</v>
      </c>
      <c r="C5" s="7" t="s">
        <v>40</v>
      </c>
      <c r="D5" s="7" t="s">
        <v>24</v>
      </c>
      <c r="E5" s="7" t="s">
        <v>23</v>
      </c>
      <c r="F5" s="7" t="s">
        <v>1</v>
      </c>
      <c r="G5" s="7" t="s">
        <v>28</v>
      </c>
      <c r="H5" s="7" t="s">
        <v>31</v>
      </c>
      <c r="I5" s="7" t="s">
        <v>30</v>
      </c>
      <c r="J5" s="7" t="s">
        <v>32</v>
      </c>
      <c r="K5" s="7" t="s">
        <v>37</v>
      </c>
      <c r="L5" s="7" t="s">
        <v>38</v>
      </c>
    </row>
    <row r="6" spans="1:12" x14ac:dyDescent="0.2">
      <c r="A6" t="s">
        <v>15</v>
      </c>
      <c r="B6">
        <v>0.55000000000000004</v>
      </c>
      <c r="C6" s="6">
        <f>B6*120916816</f>
        <v>66504248.800000004</v>
      </c>
      <c r="D6">
        <v>0.08</v>
      </c>
      <c r="E6">
        <f>C6*(1+D6)^(2022-2004)</f>
        <v>265752274.98344621</v>
      </c>
      <c r="F6" s="12">
        <v>0.03</v>
      </c>
      <c r="G6">
        <v>2.1999999999999999E-2</v>
      </c>
      <c r="H6">
        <v>25</v>
      </c>
      <c r="I6">
        <f>H6*(1+G6)^(2022-2004)</f>
        <v>36.987598357627412</v>
      </c>
      <c r="J6">
        <f>E6*F6*I6</f>
        <v>294886152.29140389</v>
      </c>
      <c r="K6" s="11">
        <f>J7-J6</f>
        <v>58977230.458280742</v>
      </c>
      <c r="L6" s="8">
        <f>K6/J6</f>
        <v>0.19999999999999987</v>
      </c>
    </row>
    <row r="7" spans="1:12" x14ac:dyDescent="0.2">
      <c r="A7" t="s">
        <v>43</v>
      </c>
      <c r="B7">
        <v>0.55000000000000004</v>
      </c>
      <c r="C7" s="6">
        <f>B7*120916816</f>
        <v>66504248.800000004</v>
      </c>
      <c r="D7">
        <v>0.08</v>
      </c>
      <c r="E7">
        <f>C7*(1+D7)^(2022-2004)</f>
        <v>265752274.98344621</v>
      </c>
      <c r="F7" s="12">
        <f>F6*1.2</f>
        <v>3.5999999999999997E-2</v>
      </c>
      <c r="G7">
        <v>2.1999999999999999E-2</v>
      </c>
      <c r="H7">
        <v>25</v>
      </c>
      <c r="I7">
        <f>H7*(1+G7)^(2022-2004)</f>
        <v>36.987598357627412</v>
      </c>
      <c r="J7">
        <f>E7*F7*I7</f>
        <v>353863382.74968463</v>
      </c>
    </row>
    <row r="8" spans="1:12" x14ac:dyDescent="0.2">
      <c r="A8" t="s">
        <v>11</v>
      </c>
      <c r="B8" t="s">
        <v>12</v>
      </c>
      <c r="C8" t="s">
        <v>22</v>
      </c>
      <c r="D8" t="s">
        <v>12</v>
      </c>
      <c r="E8" t="s">
        <v>45</v>
      </c>
      <c r="F8" t="s">
        <v>47</v>
      </c>
      <c r="G8" t="s">
        <v>26</v>
      </c>
      <c r="H8" t="s">
        <v>29</v>
      </c>
      <c r="I8" t="s">
        <v>29</v>
      </c>
      <c r="J8" t="s">
        <v>39</v>
      </c>
    </row>
    <row r="9" spans="1:12" x14ac:dyDescent="0.2">
      <c r="A9" t="s">
        <v>2</v>
      </c>
      <c r="B9" s="1" t="s">
        <v>14</v>
      </c>
      <c r="C9" s="1"/>
      <c r="D9" s="1" t="s">
        <v>25</v>
      </c>
      <c r="F9" s="1" t="s">
        <v>46</v>
      </c>
      <c r="G9" s="1" t="s">
        <v>27</v>
      </c>
    </row>
    <row r="10" spans="1:12" x14ac:dyDescent="0.2">
      <c r="B10" s="1"/>
      <c r="C10" s="1"/>
      <c r="D10" s="1"/>
      <c r="G10" s="1"/>
    </row>
    <row r="11" spans="1:12" x14ac:dyDescent="0.2">
      <c r="A11" t="s">
        <v>35</v>
      </c>
      <c r="B11" t="s">
        <v>36</v>
      </c>
    </row>
    <row r="12" spans="1:12" x14ac:dyDescent="0.2">
      <c r="A12" t="s">
        <v>34</v>
      </c>
      <c r="B12" t="s">
        <v>80</v>
      </c>
    </row>
    <row r="13" spans="1:12" x14ac:dyDescent="0.2">
      <c r="A13" t="s">
        <v>44</v>
      </c>
      <c r="B13" t="s">
        <v>52</v>
      </c>
    </row>
    <row r="15" spans="1:12" s="5" customFormat="1" ht="34" customHeight="1" x14ac:dyDescent="0.2">
      <c r="A15" s="5" t="s">
        <v>4</v>
      </c>
    </row>
    <row r="16" spans="1:12" s="4" customFormat="1" ht="34" x14ac:dyDescent="0.2">
      <c r="B16" s="4" t="s">
        <v>21</v>
      </c>
      <c r="C16" s="7" t="s">
        <v>40</v>
      </c>
      <c r="D16" s="4" t="s">
        <v>42</v>
      </c>
      <c r="E16" s="7" t="s">
        <v>23</v>
      </c>
      <c r="F16" s="4" t="s">
        <v>1</v>
      </c>
      <c r="G16" s="7" t="s">
        <v>28</v>
      </c>
      <c r="H16" s="7" t="s">
        <v>31</v>
      </c>
      <c r="I16" s="7" t="s">
        <v>30</v>
      </c>
      <c r="J16" s="4" t="s">
        <v>32</v>
      </c>
      <c r="K16" s="4" t="s">
        <v>37</v>
      </c>
      <c r="L16" s="4" t="s">
        <v>38</v>
      </c>
    </row>
    <row r="17" spans="1:12" x14ac:dyDescent="0.2">
      <c r="A17" t="s">
        <v>15</v>
      </c>
      <c r="B17">
        <v>0.45</v>
      </c>
      <c r="C17" s="6">
        <f>B17*120916816</f>
        <v>54412567.200000003</v>
      </c>
      <c r="D17" s="2">
        <v>0.1</v>
      </c>
      <c r="E17">
        <f>C17*(1+D17)^(2022-2004)</f>
        <v>302529374.44683987</v>
      </c>
      <c r="F17" s="10">
        <v>1E-3</v>
      </c>
      <c r="G17" s="9">
        <v>2.1999999999999999E-2</v>
      </c>
      <c r="H17" s="2">
        <v>25</v>
      </c>
      <c r="I17">
        <f>H17*(1+G17)^(2022-2004)</f>
        <v>36.987598357627412</v>
      </c>
      <c r="J17" s="2">
        <f>E17*F17*I17</f>
        <v>11189834.993423982</v>
      </c>
      <c r="K17" s="11">
        <f>J18-J17</f>
        <v>2237966.9986847974</v>
      </c>
      <c r="L17" s="8">
        <f>K17/J17</f>
        <v>0.20000000000000009</v>
      </c>
    </row>
    <row r="18" spans="1:12" x14ac:dyDescent="0.2">
      <c r="A18" t="s">
        <v>43</v>
      </c>
      <c r="B18">
        <v>0.45</v>
      </c>
      <c r="C18" s="6">
        <f>B18*120916816</f>
        <v>54412567.200000003</v>
      </c>
      <c r="D18" s="2">
        <v>0.1</v>
      </c>
      <c r="E18">
        <f>C18*(1+D18)^(2022-2004)</f>
        <v>302529374.44683987</v>
      </c>
      <c r="F18" s="10">
        <f>F17*1.2</f>
        <v>1.1999999999999999E-3</v>
      </c>
      <c r="G18" s="9">
        <v>2.1999999999999999E-2</v>
      </c>
      <c r="H18" s="2">
        <v>25</v>
      </c>
      <c r="I18">
        <f>H18*(1+G18)^(2022-2004)</f>
        <v>36.987598357627412</v>
      </c>
      <c r="J18" s="2">
        <f>E18*F18*I18</f>
        <v>13427801.992108779</v>
      </c>
      <c r="K18" s="2"/>
      <c r="L18" s="2"/>
    </row>
    <row r="19" spans="1:12" x14ac:dyDescent="0.2">
      <c r="A19" t="s">
        <v>11</v>
      </c>
      <c r="B19" t="s">
        <v>12</v>
      </c>
      <c r="C19" s="2" t="s">
        <v>41</v>
      </c>
      <c r="D19" s="2" t="s">
        <v>12</v>
      </c>
      <c r="E19" t="s">
        <v>45</v>
      </c>
      <c r="F19" t="s">
        <v>47</v>
      </c>
      <c r="G19" t="s">
        <v>26</v>
      </c>
      <c r="H19" s="2" t="s">
        <v>41</v>
      </c>
      <c r="I19" s="2" t="s">
        <v>41</v>
      </c>
      <c r="J19" t="s">
        <v>39</v>
      </c>
      <c r="K19" s="2"/>
      <c r="L19" s="2"/>
    </row>
    <row r="20" spans="1:12" x14ac:dyDescent="0.2">
      <c r="A20" t="s">
        <v>2</v>
      </c>
      <c r="B20" s="1" t="s">
        <v>14</v>
      </c>
      <c r="D20" s="1" t="s">
        <v>25</v>
      </c>
      <c r="F20" s="1" t="s">
        <v>48</v>
      </c>
      <c r="G20" s="1" t="s">
        <v>27</v>
      </c>
    </row>
    <row r="21" spans="1:12" x14ac:dyDescent="0.2">
      <c r="D21" s="1"/>
    </row>
    <row r="22" spans="1:12" x14ac:dyDescent="0.2">
      <c r="A22" t="s">
        <v>33</v>
      </c>
      <c r="B22" t="s">
        <v>49</v>
      </c>
    </row>
    <row r="23" spans="1:12" x14ac:dyDescent="0.2">
      <c r="A23" t="s">
        <v>34</v>
      </c>
      <c r="B23" t="s">
        <v>50</v>
      </c>
      <c r="F23" s="1"/>
    </row>
    <row r="24" spans="1:12" x14ac:dyDescent="0.2">
      <c r="A24" t="s">
        <v>44</v>
      </c>
      <c r="B24" t="s">
        <v>51</v>
      </c>
    </row>
    <row r="25" spans="1:12" x14ac:dyDescent="0.2">
      <c r="J25" s="1" t="s">
        <v>3</v>
      </c>
    </row>
    <row r="28" spans="1:12" s="3" customFormat="1" ht="34" customHeight="1" x14ac:dyDescent="0.2">
      <c r="A28" s="3" t="s">
        <v>0</v>
      </c>
    </row>
    <row r="29" spans="1:12" s="5" customFormat="1" ht="34" customHeight="1" x14ac:dyDescent="0.2">
      <c r="A29" s="5" t="s">
        <v>16</v>
      </c>
    </row>
    <row r="30" spans="1:12" s="4" customFormat="1" ht="17" x14ac:dyDescent="0.2">
      <c r="B30" s="4" t="s">
        <v>6</v>
      </c>
      <c r="C30" s="4" t="s">
        <v>53</v>
      </c>
      <c r="D30" s="4" t="s">
        <v>56</v>
      </c>
      <c r="E30" s="4" t="s">
        <v>7</v>
      </c>
      <c r="F30" s="4" t="s">
        <v>18</v>
      </c>
    </row>
    <row r="31" spans="1:12" x14ac:dyDescent="0.2">
      <c r="A31" t="s">
        <v>5</v>
      </c>
      <c r="B31" s="6">
        <v>120000</v>
      </c>
      <c r="C31">
        <v>4</v>
      </c>
      <c r="D31">
        <v>0.5</v>
      </c>
      <c r="E31" s="13">
        <f>C31*D31*B31</f>
        <v>240000</v>
      </c>
      <c r="F31" t="s">
        <v>54</v>
      </c>
    </row>
    <row r="32" spans="1:12" x14ac:dyDescent="0.2">
      <c r="A32" t="s">
        <v>55</v>
      </c>
      <c r="B32" s="11">
        <v>130000</v>
      </c>
      <c r="C32">
        <v>4</v>
      </c>
      <c r="D32">
        <v>0.5</v>
      </c>
      <c r="E32" s="13">
        <f>C32*D32*B32</f>
        <v>260000</v>
      </c>
      <c r="F32" t="s">
        <v>77</v>
      </c>
    </row>
    <row r="33" spans="1:6" x14ac:dyDescent="0.2">
      <c r="A33" t="s">
        <v>78</v>
      </c>
      <c r="B33" s="11">
        <v>150000</v>
      </c>
      <c r="C33">
        <v>4</v>
      </c>
      <c r="D33">
        <v>0.5</v>
      </c>
      <c r="E33" s="13">
        <f>D33*C33*B33</f>
        <v>300000</v>
      </c>
    </row>
    <row r="34" spans="1:6" x14ac:dyDescent="0.2">
      <c r="A34" t="s">
        <v>17</v>
      </c>
      <c r="B34" s="6">
        <v>60000</v>
      </c>
      <c r="C34">
        <v>10</v>
      </c>
      <c r="D34">
        <f>1/365*(7*4)</f>
        <v>7.6712328767123292E-2</v>
      </c>
      <c r="E34" s="13">
        <f>C34*D34*B34</f>
        <v>46027.397260273974</v>
      </c>
      <c r="F34" t="s">
        <v>76</v>
      </c>
    </row>
    <row r="35" spans="1:6" x14ac:dyDescent="0.2">
      <c r="A35" t="s">
        <v>8</v>
      </c>
      <c r="B35" s="13">
        <f>SUM(E31:E34)</f>
        <v>846027.39726027392</v>
      </c>
    </row>
    <row r="37" spans="1:6" s="5" customFormat="1" ht="34" customHeight="1" x14ac:dyDescent="0.2">
      <c r="A37" s="5" t="s">
        <v>9</v>
      </c>
    </row>
    <row r="38" spans="1:6" s="4" customFormat="1" ht="17" x14ac:dyDescent="0.2">
      <c r="B38" s="4" t="s">
        <v>58</v>
      </c>
      <c r="C38" s="4" t="s">
        <v>59</v>
      </c>
      <c r="D38" s="4" t="s">
        <v>60</v>
      </c>
      <c r="E38" s="4" t="s">
        <v>61</v>
      </c>
      <c r="F38" s="4" t="s">
        <v>18</v>
      </c>
    </row>
    <row r="39" spans="1:6" x14ac:dyDescent="0.2">
      <c r="A39" t="s">
        <v>57</v>
      </c>
      <c r="B39">
        <v>1.0999999999999999E-2</v>
      </c>
      <c r="C39">
        <f>5*4*3</f>
        <v>60</v>
      </c>
      <c r="D39">
        <v>2</v>
      </c>
      <c r="E39">
        <f>D39+C39+B39</f>
        <v>62.011000000000003</v>
      </c>
      <c r="F39" t="s">
        <v>63</v>
      </c>
    </row>
    <row r="40" spans="1:6" x14ac:dyDescent="0.2">
      <c r="A40" t="s">
        <v>62</v>
      </c>
      <c r="B40">
        <f>E39</f>
        <v>62.011000000000003</v>
      </c>
    </row>
    <row r="42" spans="1:6" s="5" customFormat="1" ht="34" customHeight="1" x14ac:dyDescent="0.2">
      <c r="A42" s="5" t="s">
        <v>13</v>
      </c>
    </row>
    <row r="43" spans="1:6" s="4" customFormat="1" ht="17" x14ac:dyDescent="0.2">
      <c r="A43" s="4" t="s">
        <v>65</v>
      </c>
      <c r="B43" s="4" t="s">
        <v>64</v>
      </c>
    </row>
    <row r="44" spans="1:6" x14ac:dyDescent="0.2">
      <c r="A44">
        <v>0</v>
      </c>
      <c r="B44" t="s">
        <v>66</v>
      </c>
    </row>
    <row r="46" spans="1:6" s="5" customFormat="1" ht="34" customHeight="1" x14ac:dyDescent="0.2">
      <c r="A46" s="5" t="s">
        <v>67</v>
      </c>
    </row>
    <row r="47" spans="1:6" x14ac:dyDescent="0.2">
      <c r="A47" t="s">
        <v>74</v>
      </c>
      <c r="B47" s="13">
        <f>K6+K17-B35-B40-A44</f>
        <v>60369108.048705265</v>
      </c>
    </row>
    <row r="48" spans="1:6" x14ac:dyDescent="0.2">
      <c r="A48" t="s">
        <v>75</v>
      </c>
      <c r="B48" s="8">
        <f>(K6+K17)/(B35+B40)</f>
        <v>72.350743147625508</v>
      </c>
    </row>
  </sheetData>
  <hyperlinks>
    <hyperlink ref="J25" r:id="rId1" xr:uid="{5462958A-1215-6F42-BB32-2318330042FD}"/>
    <hyperlink ref="B9" r:id="rId2" xr:uid="{1F73B316-F407-7744-83AD-C1FFBB588B42}"/>
    <hyperlink ref="B20" r:id="rId3" xr:uid="{800F6F80-A675-B549-A103-DCCA9C1ECB17}"/>
    <hyperlink ref="G9" r:id="rId4" xr:uid="{3C7A7253-893B-014D-B693-1A5C89000C77}"/>
    <hyperlink ref="G20" r:id="rId5" xr:uid="{907E0D2D-25DB-754C-8523-1854128AE400}"/>
    <hyperlink ref="F9" r:id="rId6" xr:uid="{B8A4DECC-5225-E24F-B9CA-23EB1266601F}"/>
    <hyperlink ref="F20" r:id="rId7" xr:uid="{2D85F23F-D5F6-3A4D-A516-73C3ECB0945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CC73F-97DE-FA4A-8A31-503FF64C9823}">
  <dimension ref="A2:L47"/>
  <sheetViews>
    <sheetView zoomScale="116" workbookViewId="0">
      <selection activeCell="B13" sqref="B13"/>
    </sheetView>
  </sheetViews>
  <sheetFormatPr baseColWidth="10" defaultRowHeight="16" x14ac:dyDescent="0.2"/>
  <cols>
    <col min="1" max="1" width="23.5" customWidth="1"/>
    <col min="2" max="2" width="20.33203125" customWidth="1"/>
    <col min="3" max="3" width="28.5" customWidth="1"/>
    <col min="4" max="4" width="33" customWidth="1"/>
    <col min="5" max="5" width="21.5" customWidth="1"/>
    <col min="6" max="6" width="25.1640625" customWidth="1"/>
    <col min="7" max="7" width="19.1640625" customWidth="1"/>
    <col min="8" max="9" width="22.1640625" customWidth="1"/>
    <col min="10" max="10" width="16" customWidth="1"/>
    <col min="11" max="11" width="15.6640625" customWidth="1"/>
  </cols>
  <sheetData>
    <row r="2" spans="1:12" s="3" customFormat="1" ht="34" customHeight="1" x14ac:dyDescent="0.2">
      <c r="A2" s="3" t="s">
        <v>19</v>
      </c>
    </row>
    <row r="4" spans="1:12" s="5" customFormat="1" ht="34" customHeight="1" x14ac:dyDescent="0.2">
      <c r="A4" s="5" t="s">
        <v>10</v>
      </c>
    </row>
    <row r="5" spans="1:12" s="7" customFormat="1" ht="34" x14ac:dyDescent="0.2">
      <c r="B5" s="7" t="s">
        <v>20</v>
      </c>
      <c r="C5" s="7" t="s">
        <v>40</v>
      </c>
      <c r="D5" s="7" t="s">
        <v>24</v>
      </c>
      <c r="E5" s="7" t="s">
        <v>23</v>
      </c>
      <c r="F5" s="7" t="s">
        <v>1</v>
      </c>
      <c r="G5" s="7" t="s">
        <v>28</v>
      </c>
      <c r="H5" s="7" t="s">
        <v>31</v>
      </c>
      <c r="I5" s="7" t="s">
        <v>30</v>
      </c>
      <c r="J5" s="7" t="s">
        <v>32</v>
      </c>
      <c r="K5" s="7" t="s">
        <v>37</v>
      </c>
      <c r="L5" s="7" t="s">
        <v>38</v>
      </c>
    </row>
    <row r="6" spans="1:12" x14ac:dyDescent="0.2">
      <c r="A6" t="s">
        <v>15</v>
      </c>
      <c r="B6">
        <v>0.55000000000000004</v>
      </c>
      <c r="C6" s="6">
        <f>B6*120916816</f>
        <v>66504248.800000004</v>
      </c>
      <c r="D6">
        <v>0.08</v>
      </c>
      <c r="E6">
        <f>C6*(1+D6)^(2022-2004)</f>
        <v>265752274.98344621</v>
      </c>
      <c r="F6" s="12">
        <v>0.03</v>
      </c>
      <c r="G6">
        <v>2.1999999999999999E-2</v>
      </c>
      <c r="H6">
        <v>25</v>
      </c>
      <c r="I6">
        <f>H6*(1+G6)^(2022-2004)</f>
        <v>36.987598357627412</v>
      </c>
      <c r="J6">
        <f>E6*F6*I6</f>
        <v>294886152.29140389</v>
      </c>
      <c r="K6" s="11">
        <f>J7-J6</f>
        <v>29488615.229140401</v>
      </c>
      <c r="L6" s="8">
        <f>K6/J6</f>
        <v>0.10000000000000005</v>
      </c>
    </row>
    <row r="7" spans="1:12" x14ac:dyDescent="0.2">
      <c r="A7" t="s">
        <v>43</v>
      </c>
      <c r="B7">
        <v>0.55000000000000004</v>
      </c>
      <c r="C7" s="6">
        <f>B7*120916816</f>
        <v>66504248.800000004</v>
      </c>
      <c r="D7">
        <v>0.08</v>
      </c>
      <c r="E7">
        <f>C7*(1+D7)^(2022-2004)</f>
        <v>265752274.98344621</v>
      </c>
      <c r="F7" s="12">
        <f>F6*1.1</f>
        <v>3.3000000000000002E-2</v>
      </c>
      <c r="G7">
        <v>2.1999999999999999E-2</v>
      </c>
      <c r="H7">
        <v>25</v>
      </c>
      <c r="I7">
        <f>H7*(1+G7)^(2022-2004)</f>
        <v>36.987598357627412</v>
      </c>
      <c r="J7">
        <f>E7*F7*I7</f>
        <v>324374767.52054429</v>
      </c>
    </row>
    <row r="8" spans="1:12" x14ac:dyDescent="0.2">
      <c r="A8" t="s">
        <v>11</v>
      </c>
      <c r="B8" t="s">
        <v>12</v>
      </c>
      <c r="C8" t="s">
        <v>22</v>
      </c>
      <c r="D8" t="s">
        <v>12</v>
      </c>
      <c r="E8" t="s">
        <v>45</v>
      </c>
      <c r="F8" t="s">
        <v>47</v>
      </c>
      <c r="G8" t="s">
        <v>26</v>
      </c>
      <c r="H8" t="s">
        <v>29</v>
      </c>
      <c r="I8" t="s">
        <v>29</v>
      </c>
      <c r="J8" t="s">
        <v>39</v>
      </c>
    </row>
    <row r="9" spans="1:12" x14ac:dyDescent="0.2">
      <c r="A9" t="s">
        <v>2</v>
      </c>
      <c r="B9" s="1" t="s">
        <v>14</v>
      </c>
      <c r="C9" s="1"/>
      <c r="D9" s="1" t="s">
        <v>25</v>
      </c>
      <c r="F9" s="1" t="s">
        <v>46</v>
      </c>
      <c r="G9" s="1" t="s">
        <v>27</v>
      </c>
    </row>
    <row r="10" spans="1:12" x14ac:dyDescent="0.2">
      <c r="B10" s="1"/>
      <c r="C10" s="1"/>
      <c r="D10" s="1"/>
      <c r="G10" s="1"/>
    </row>
    <row r="11" spans="1:12" x14ac:dyDescent="0.2">
      <c r="A11" t="s">
        <v>35</v>
      </c>
      <c r="B11" t="s">
        <v>36</v>
      </c>
    </row>
    <row r="12" spans="1:12" x14ac:dyDescent="0.2">
      <c r="A12" t="s">
        <v>34</v>
      </c>
      <c r="B12" t="s">
        <v>81</v>
      </c>
    </row>
    <row r="13" spans="1:12" x14ac:dyDescent="0.2">
      <c r="A13" t="s">
        <v>44</v>
      </c>
      <c r="B13" t="s">
        <v>52</v>
      </c>
    </row>
    <row r="15" spans="1:12" s="5" customFormat="1" ht="34" customHeight="1" x14ac:dyDescent="0.2">
      <c r="A15" s="5" t="s">
        <v>4</v>
      </c>
    </row>
    <row r="16" spans="1:12" s="4" customFormat="1" ht="34" x14ac:dyDescent="0.2">
      <c r="B16" s="4" t="s">
        <v>21</v>
      </c>
      <c r="C16" s="7" t="s">
        <v>40</v>
      </c>
      <c r="D16" s="4" t="s">
        <v>42</v>
      </c>
      <c r="E16" s="7" t="s">
        <v>23</v>
      </c>
      <c r="F16" s="4" t="s">
        <v>1</v>
      </c>
      <c r="G16" s="7" t="s">
        <v>28</v>
      </c>
      <c r="H16" s="7" t="s">
        <v>31</v>
      </c>
      <c r="I16" s="7" t="s">
        <v>30</v>
      </c>
      <c r="J16" s="4" t="s">
        <v>32</v>
      </c>
      <c r="K16" s="4" t="s">
        <v>37</v>
      </c>
      <c r="L16" s="4" t="s">
        <v>38</v>
      </c>
    </row>
    <row r="17" spans="1:12" x14ac:dyDescent="0.2">
      <c r="A17" t="s">
        <v>15</v>
      </c>
      <c r="B17">
        <v>0.45</v>
      </c>
      <c r="C17" s="6">
        <f>B17*120916816</f>
        <v>54412567.200000003</v>
      </c>
      <c r="D17" s="2">
        <v>0.1</v>
      </c>
      <c r="E17">
        <f>C17*(1+D17)^(2022-2004)</f>
        <v>302529374.44683987</v>
      </c>
      <c r="F17" s="10">
        <v>1E-3</v>
      </c>
      <c r="G17" s="9">
        <v>2.1999999999999999E-2</v>
      </c>
      <c r="H17" s="2">
        <v>25</v>
      </c>
      <c r="I17">
        <f>H17*(1+G17)^(2022-2004)</f>
        <v>36.987598357627412</v>
      </c>
      <c r="J17" s="2">
        <f>E17*F17*I17</f>
        <v>11189834.993423982</v>
      </c>
      <c r="K17" s="11">
        <f>J18-J17</f>
        <v>1118983.4993424006</v>
      </c>
      <c r="L17" s="8">
        <f>K17/J17</f>
        <v>0.10000000000000021</v>
      </c>
    </row>
    <row r="18" spans="1:12" x14ac:dyDescent="0.2">
      <c r="A18" t="s">
        <v>43</v>
      </c>
      <c r="B18">
        <v>0.45</v>
      </c>
      <c r="C18" s="6">
        <f>B18*120916816</f>
        <v>54412567.200000003</v>
      </c>
      <c r="D18" s="2">
        <v>0.1</v>
      </c>
      <c r="E18">
        <f>C18*(1+D18)^(2022-2004)</f>
        <v>302529374.44683987</v>
      </c>
      <c r="F18" s="10">
        <f>F17*1.1</f>
        <v>1.1000000000000001E-3</v>
      </c>
      <c r="G18" s="9">
        <v>2.1999999999999999E-2</v>
      </c>
      <c r="H18" s="2">
        <v>25</v>
      </c>
      <c r="I18">
        <f>H18*(1+G18)^(2022-2004)</f>
        <v>36.987598357627412</v>
      </c>
      <c r="J18" s="2">
        <f>E18*F18*I18</f>
        <v>12308818.492766382</v>
      </c>
      <c r="K18" s="2"/>
      <c r="L18" s="2"/>
    </row>
    <row r="19" spans="1:12" x14ac:dyDescent="0.2">
      <c r="A19" t="s">
        <v>11</v>
      </c>
      <c r="B19" t="s">
        <v>12</v>
      </c>
      <c r="C19" s="2" t="s">
        <v>41</v>
      </c>
      <c r="D19" s="2" t="s">
        <v>12</v>
      </c>
      <c r="E19" t="s">
        <v>45</v>
      </c>
      <c r="F19" t="s">
        <v>47</v>
      </c>
      <c r="G19" t="s">
        <v>26</v>
      </c>
      <c r="H19" s="2" t="s">
        <v>41</v>
      </c>
      <c r="I19" s="2" t="s">
        <v>41</v>
      </c>
      <c r="J19" t="s">
        <v>39</v>
      </c>
      <c r="K19" s="2"/>
      <c r="L19" s="2"/>
    </row>
    <row r="20" spans="1:12" x14ac:dyDescent="0.2">
      <c r="A20" t="s">
        <v>2</v>
      </c>
      <c r="B20" s="1" t="s">
        <v>14</v>
      </c>
      <c r="D20" s="1" t="s">
        <v>25</v>
      </c>
      <c r="F20" s="1" t="s">
        <v>48</v>
      </c>
      <c r="G20" s="1" t="s">
        <v>27</v>
      </c>
    </row>
    <row r="21" spans="1:12" x14ac:dyDescent="0.2">
      <c r="D21" s="1"/>
    </row>
    <row r="22" spans="1:12" x14ac:dyDescent="0.2">
      <c r="A22" t="s">
        <v>33</v>
      </c>
      <c r="B22" t="s">
        <v>49</v>
      </c>
    </row>
    <row r="23" spans="1:12" x14ac:dyDescent="0.2">
      <c r="A23" t="s">
        <v>34</v>
      </c>
      <c r="B23" t="s">
        <v>50</v>
      </c>
      <c r="F23" s="1"/>
    </row>
    <row r="24" spans="1:12" x14ac:dyDescent="0.2">
      <c r="A24" t="s">
        <v>44</v>
      </c>
      <c r="B24" t="s">
        <v>69</v>
      </c>
    </row>
    <row r="25" spans="1:12" x14ac:dyDescent="0.2">
      <c r="J25" s="1" t="s">
        <v>3</v>
      </c>
    </row>
    <row r="28" spans="1:12" s="3" customFormat="1" ht="34" customHeight="1" x14ac:dyDescent="0.2">
      <c r="A28" s="3" t="s">
        <v>0</v>
      </c>
    </row>
    <row r="29" spans="1:12" s="5" customFormat="1" ht="34" customHeight="1" x14ac:dyDescent="0.2">
      <c r="A29" s="5" t="s">
        <v>16</v>
      </c>
    </row>
    <row r="30" spans="1:12" s="4" customFormat="1" ht="17" x14ac:dyDescent="0.2">
      <c r="B30" s="4" t="s">
        <v>6</v>
      </c>
      <c r="C30" s="4" t="s">
        <v>53</v>
      </c>
      <c r="D30" s="4" t="s">
        <v>56</v>
      </c>
      <c r="E30" s="4" t="s">
        <v>7</v>
      </c>
      <c r="F30" s="4" t="s">
        <v>18</v>
      </c>
    </row>
    <row r="31" spans="1:12" x14ac:dyDescent="0.2">
      <c r="A31" t="s">
        <v>5</v>
      </c>
      <c r="B31" s="6">
        <v>120000</v>
      </c>
      <c r="C31">
        <v>4</v>
      </c>
      <c r="D31">
        <v>0.5</v>
      </c>
      <c r="E31" s="13">
        <f>C31*D31*B31</f>
        <v>240000</v>
      </c>
      <c r="F31" t="s">
        <v>54</v>
      </c>
    </row>
    <row r="32" spans="1:12" x14ac:dyDescent="0.2">
      <c r="A32" t="s">
        <v>55</v>
      </c>
      <c r="B32" s="11">
        <v>130000</v>
      </c>
      <c r="C32">
        <v>4</v>
      </c>
      <c r="D32">
        <v>0.5</v>
      </c>
      <c r="E32" s="13">
        <f>C32*D32*B32</f>
        <v>260000</v>
      </c>
      <c r="F32" t="s">
        <v>77</v>
      </c>
    </row>
    <row r="33" spans="1:6" x14ac:dyDescent="0.2">
      <c r="A33" t="s">
        <v>78</v>
      </c>
      <c r="B33" s="11">
        <v>150000</v>
      </c>
      <c r="C33">
        <v>4</v>
      </c>
      <c r="D33">
        <v>0.5</v>
      </c>
      <c r="E33" s="13">
        <f>D33*C33*B33</f>
        <v>300000</v>
      </c>
    </row>
    <row r="34" spans="1:6" x14ac:dyDescent="0.2">
      <c r="A34" t="s">
        <v>17</v>
      </c>
      <c r="B34" s="6">
        <v>60000</v>
      </c>
      <c r="C34">
        <v>10</v>
      </c>
      <c r="D34">
        <f>1/365*(7*4)</f>
        <v>7.6712328767123292E-2</v>
      </c>
      <c r="E34" s="13">
        <f>C34*D34*B34</f>
        <v>46027.397260273974</v>
      </c>
      <c r="F34" t="s">
        <v>76</v>
      </c>
    </row>
    <row r="35" spans="1:6" x14ac:dyDescent="0.2">
      <c r="A35" t="s">
        <v>8</v>
      </c>
      <c r="B35" s="13">
        <f>SUM(E31:E34)</f>
        <v>846027.39726027392</v>
      </c>
    </row>
    <row r="36" spans="1:6" s="5" customFormat="1" ht="34" customHeight="1" x14ac:dyDescent="0.2">
      <c r="A36" s="5" t="s">
        <v>9</v>
      </c>
    </row>
    <row r="37" spans="1:6" s="4" customFormat="1" ht="17" x14ac:dyDescent="0.2">
      <c r="B37" s="4" t="s">
        <v>58</v>
      </c>
      <c r="C37" s="4" t="s">
        <v>59</v>
      </c>
      <c r="D37" s="4" t="s">
        <v>60</v>
      </c>
      <c r="E37" s="4" t="s">
        <v>61</v>
      </c>
      <c r="F37" s="4" t="s">
        <v>18</v>
      </c>
    </row>
    <row r="38" spans="1:6" x14ac:dyDescent="0.2">
      <c r="A38" t="s">
        <v>57</v>
      </c>
      <c r="B38">
        <v>1.0999999999999999E-2</v>
      </c>
      <c r="C38">
        <f>5*4*3</f>
        <v>60</v>
      </c>
      <c r="D38">
        <v>2</v>
      </c>
      <c r="E38">
        <f>D38+C38+B38</f>
        <v>62.011000000000003</v>
      </c>
      <c r="F38" t="s">
        <v>63</v>
      </c>
    </row>
    <row r="39" spans="1:6" x14ac:dyDescent="0.2">
      <c r="A39" t="s">
        <v>62</v>
      </c>
      <c r="B39">
        <f>E38</f>
        <v>62.011000000000003</v>
      </c>
    </row>
    <row r="41" spans="1:6" s="5" customFormat="1" ht="34" customHeight="1" x14ac:dyDescent="0.2">
      <c r="A41" s="5" t="s">
        <v>13</v>
      </c>
    </row>
    <row r="42" spans="1:6" s="4" customFormat="1" ht="17" x14ac:dyDescent="0.2">
      <c r="A42" s="4" t="s">
        <v>65</v>
      </c>
      <c r="B42" s="4" t="s">
        <v>64</v>
      </c>
    </row>
    <row r="43" spans="1:6" x14ac:dyDescent="0.2">
      <c r="A43">
        <v>0</v>
      </c>
      <c r="B43" t="s">
        <v>66</v>
      </c>
    </row>
    <row r="45" spans="1:6" s="5" customFormat="1" ht="34" customHeight="1" x14ac:dyDescent="0.2">
      <c r="A45" s="5" t="s">
        <v>67</v>
      </c>
    </row>
    <row r="46" spans="1:6" x14ac:dyDescent="0.2">
      <c r="A46" t="s">
        <v>74</v>
      </c>
      <c r="B46" s="13">
        <f>K6+K17-B35-B39-A43</f>
        <v>29761509.320222527</v>
      </c>
    </row>
    <row r="47" spans="1:6" x14ac:dyDescent="0.2">
      <c r="A47" t="s">
        <v>75</v>
      </c>
      <c r="B47" s="8">
        <f>(K6+K17)/(B35+B39)</f>
        <v>36.175371573812789</v>
      </c>
    </row>
  </sheetData>
  <hyperlinks>
    <hyperlink ref="J25" r:id="rId1" xr:uid="{9B643FCF-24E6-3042-AA5E-407D3F5DF764}"/>
    <hyperlink ref="B9" r:id="rId2" xr:uid="{E2877AB3-FDEB-F042-9013-62CD06EE55A7}"/>
    <hyperlink ref="B20" r:id="rId3" xr:uid="{5F08910C-7862-D04E-9A30-23CEEBADDD81}"/>
    <hyperlink ref="G9" r:id="rId4" xr:uid="{54886090-6EAC-B34E-B2CC-1FF7B03312C5}"/>
    <hyperlink ref="G20" r:id="rId5" xr:uid="{D63110D6-343B-C748-9A71-F5E19CB2495C}"/>
    <hyperlink ref="F9" r:id="rId6" xr:uid="{CBB9D538-ED3F-F445-8EED-2B298625B1DC}"/>
    <hyperlink ref="F20" r:id="rId7" xr:uid="{46EA09F1-12F7-0F4E-A0FE-E778A28DA66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D9599-0035-6244-A5D1-D9363D277D5C}">
  <dimension ref="A2:L47"/>
  <sheetViews>
    <sheetView tabSelected="1" topLeftCell="A3" zoomScale="94" workbookViewId="0">
      <selection activeCell="M10" sqref="M10"/>
    </sheetView>
  </sheetViews>
  <sheetFormatPr baseColWidth="10" defaultRowHeight="16" x14ac:dyDescent="0.2"/>
  <cols>
    <col min="1" max="1" width="23.5" customWidth="1"/>
    <col min="2" max="2" width="20.33203125" customWidth="1"/>
    <col min="3" max="3" width="28.5" customWidth="1"/>
    <col min="4" max="4" width="33" customWidth="1"/>
    <col min="5" max="5" width="21.5" customWidth="1"/>
    <col min="6" max="6" width="25.1640625" customWidth="1"/>
    <col min="7" max="7" width="19.1640625" customWidth="1"/>
    <col min="8" max="9" width="22.1640625" customWidth="1"/>
    <col min="10" max="10" width="16" customWidth="1"/>
    <col min="11" max="11" width="15.6640625" customWidth="1"/>
  </cols>
  <sheetData>
    <row r="2" spans="1:12" s="3" customFormat="1" ht="34" customHeight="1" x14ac:dyDescent="0.2">
      <c r="A2" s="3" t="s">
        <v>19</v>
      </c>
    </row>
    <row r="4" spans="1:12" s="5" customFormat="1" ht="34" customHeight="1" x14ac:dyDescent="0.2">
      <c r="A4" s="5" t="s">
        <v>10</v>
      </c>
    </row>
    <row r="5" spans="1:12" s="7" customFormat="1" ht="34" x14ac:dyDescent="0.2">
      <c r="B5" s="7" t="s">
        <v>20</v>
      </c>
      <c r="C5" s="7" t="s">
        <v>40</v>
      </c>
      <c r="D5" s="7" t="s">
        <v>24</v>
      </c>
      <c r="E5" s="7" t="s">
        <v>23</v>
      </c>
      <c r="F5" s="7" t="s">
        <v>1</v>
      </c>
      <c r="G5" s="7" t="s">
        <v>28</v>
      </c>
      <c r="H5" s="7" t="s">
        <v>31</v>
      </c>
      <c r="I5" s="7" t="s">
        <v>30</v>
      </c>
      <c r="J5" s="7" t="s">
        <v>32</v>
      </c>
      <c r="K5" s="7" t="s">
        <v>37</v>
      </c>
      <c r="L5" s="7" t="s">
        <v>38</v>
      </c>
    </row>
    <row r="6" spans="1:12" x14ac:dyDescent="0.2">
      <c r="A6" t="s">
        <v>15</v>
      </c>
      <c r="B6">
        <v>0.55000000000000004</v>
      </c>
      <c r="C6" s="6">
        <f>B6*120916816</f>
        <v>66504248.800000004</v>
      </c>
      <c r="D6">
        <v>0.08</v>
      </c>
      <c r="E6">
        <f>C6*(1+D6)^(2022-2004)</f>
        <v>265752274.98344621</v>
      </c>
      <c r="F6" s="14">
        <v>0.03</v>
      </c>
      <c r="G6">
        <v>2.1999999999999999E-2</v>
      </c>
      <c r="H6">
        <v>25</v>
      </c>
      <c r="I6">
        <f>H6*(1+G6)^(2022-2004)</f>
        <v>36.987598357627412</v>
      </c>
      <c r="J6">
        <f>E6*F6*I6</f>
        <v>294886152.29140389</v>
      </c>
      <c r="K6" s="11">
        <f>J7-J6</f>
        <v>2948861.522914052</v>
      </c>
      <c r="L6" s="8">
        <f>K6/J6</f>
        <v>1.0000000000000045E-2</v>
      </c>
    </row>
    <row r="7" spans="1:12" x14ac:dyDescent="0.2">
      <c r="A7" t="s">
        <v>43</v>
      </c>
      <c r="B7">
        <v>0.55000000000000004</v>
      </c>
      <c r="C7" s="6">
        <f>B7*120916816</f>
        <v>66504248.800000004</v>
      </c>
      <c r="D7">
        <v>0.08</v>
      </c>
      <c r="E7">
        <f>C7*(1+D7)^(2022-2004)</f>
        <v>265752274.98344621</v>
      </c>
      <c r="F7" s="14">
        <f>F6*1.01</f>
        <v>3.0300000000000001E-2</v>
      </c>
      <c r="G7">
        <v>2.1999999999999999E-2</v>
      </c>
      <c r="H7">
        <v>25</v>
      </c>
      <c r="I7">
        <f>H7*(1+G7)^(2022-2004)</f>
        <v>36.987598357627412</v>
      </c>
      <c r="J7">
        <f>E7*F7*I7</f>
        <v>297835013.81431794</v>
      </c>
    </row>
    <row r="8" spans="1:12" x14ac:dyDescent="0.2">
      <c r="A8" t="s">
        <v>11</v>
      </c>
      <c r="B8" t="s">
        <v>12</v>
      </c>
      <c r="C8" t="s">
        <v>22</v>
      </c>
      <c r="D8" t="s">
        <v>12</v>
      </c>
      <c r="E8" t="s">
        <v>45</v>
      </c>
      <c r="F8" t="s">
        <v>47</v>
      </c>
      <c r="G8" t="s">
        <v>26</v>
      </c>
      <c r="H8" t="s">
        <v>29</v>
      </c>
      <c r="I8" t="s">
        <v>29</v>
      </c>
      <c r="J8" t="s">
        <v>39</v>
      </c>
    </row>
    <row r="9" spans="1:12" x14ac:dyDescent="0.2">
      <c r="A9" t="s">
        <v>2</v>
      </c>
      <c r="B9" s="1" t="s">
        <v>14</v>
      </c>
      <c r="C9" s="1"/>
      <c r="D9" s="1" t="s">
        <v>25</v>
      </c>
      <c r="F9" s="1" t="s">
        <v>46</v>
      </c>
      <c r="G9" s="1" t="s">
        <v>27</v>
      </c>
    </row>
    <row r="10" spans="1:12" x14ac:dyDescent="0.2">
      <c r="B10" s="1"/>
      <c r="C10" s="1"/>
      <c r="D10" s="1"/>
      <c r="G10" s="1"/>
    </row>
    <row r="11" spans="1:12" x14ac:dyDescent="0.2">
      <c r="A11" t="s">
        <v>35</v>
      </c>
      <c r="B11" t="s">
        <v>36</v>
      </c>
    </row>
    <row r="12" spans="1:12" x14ac:dyDescent="0.2">
      <c r="A12" t="s">
        <v>34</v>
      </c>
      <c r="B12" t="s">
        <v>79</v>
      </c>
    </row>
    <row r="13" spans="1:12" x14ac:dyDescent="0.2">
      <c r="A13" t="s">
        <v>44</v>
      </c>
      <c r="B13" t="s">
        <v>52</v>
      </c>
    </row>
    <row r="15" spans="1:12" s="5" customFormat="1" ht="34" customHeight="1" x14ac:dyDescent="0.2">
      <c r="A15" s="5" t="s">
        <v>4</v>
      </c>
    </row>
    <row r="16" spans="1:12" s="4" customFormat="1" ht="34" x14ac:dyDescent="0.2">
      <c r="B16" s="4" t="s">
        <v>21</v>
      </c>
      <c r="C16" s="7" t="s">
        <v>40</v>
      </c>
      <c r="D16" s="4" t="s">
        <v>42</v>
      </c>
      <c r="E16" s="7" t="s">
        <v>23</v>
      </c>
      <c r="F16" s="4" t="s">
        <v>1</v>
      </c>
      <c r="G16" s="7" t="s">
        <v>28</v>
      </c>
      <c r="H16" s="7" t="s">
        <v>31</v>
      </c>
      <c r="I16" s="7" t="s">
        <v>30</v>
      </c>
      <c r="J16" s="4" t="s">
        <v>32</v>
      </c>
      <c r="K16" s="4" t="s">
        <v>37</v>
      </c>
      <c r="L16" s="4" t="s">
        <v>38</v>
      </c>
    </row>
    <row r="17" spans="1:12" x14ac:dyDescent="0.2">
      <c r="A17" t="s">
        <v>15</v>
      </c>
      <c r="B17">
        <v>0.45</v>
      </c>
      <c r="C17" s="6">
        <f>B17*120916816</f>
        <v>54412567.200000003</v>
      </c>
      <c r="D17" s="2">
        <v>0.1</v>
      </c>
      <c r="E17">
        <f>C17*(1+D17)^(2022-2004)</f>
        <v>302529374.44683987</v>
      </c>
      <c r="F17" s="14">
        <v>1E-3</v>
      </c>
      <c r="G17" s="9">
        <v>2.1999999999999999E-2</v>
      </c>
      <c r="H17" s="2">
        <v>25</v>
      </c>
      <c r="I17">
        <f>H17*(1+G17)^(2022-2004)</f>
        <v>36.987598357627412</v>
      </c>
      <c r="J17" s="2">
        <f>E17*F17*I17</f>
        <v>11189834.993423982</v>
      </c>
      <c r="K17" s="11">
        <f>J18-J17</f>
        <v>111898.3499342408</v>
      </c>
      <c r="L17" s="8">
        <f>K17/J17</f>
        <v>1.0000000000000089E-2</v>
      </c>
    </row>
    <row r="18" spans="1:12" x14ac:dyDescent="0.2">
      <c r="A18" t="s">
        <v>43</v>
      </c>
      <c r="B18">
        <v>0.45</v>
      </c>
      <c r="C18" s="6">
        <f>B18*120916816</f>
        <v>54412567.200000003</v>
      </c>
      <c r="D18" s="2">
        <v>0.1</v>
      </c>
      <c r="E18">
        <f>C18*(1+D18)^(2022-2004)</f>
        <v>302529374.44683987</v>
      </c>
      <c r="F18" s="15">
        <f>F17*1.01</f>
        <v>1.01E-3</v>
      </c>
      <c r="G18" s="9">
        <v>2.1999999999999999E-2</v>
      </c>
      <c r="H18" s="2">
        <v>25</v>
      </c>
      <c r="I18">
        <f>H18*(1+G18)^(2022-2004)</f>
        <v>36.987598357627412</v>
      </c>
      <c r="J18" s="2">
        <f>E18*F18*I18</f>
        <v>11301733.343358222</v>
      </c>
      <c r="K18" s="2"/>
      <c r="L18" s="2"/>
    </row>
    <row r="19" spans="1:12" x14ac:dyDescent="0.2">
      <c r="A19" t="s">
        <v>11</v>
      </c>
      <c r="B19" t="s">
        <v>12</v>
      </c>
      <c r="C19" s="2" t="s">
        <v>41</v>
      </c>
      <c r="D19" s="2" t="s">
        <v>12</v>
      </c>
      <c r="E19" t="s">
        <v>45</v>
      </c>
      <c r="F19" t="s">
        <v>47</v>
      </c>
      <c r="G19" t="s">
        <v>26</v>
      </c>
      <c r="H19" s="2" t="s">
        <v>41</v>
      </c>
      <c r="I19" s="2" t="s">
        <v>41</v>
      </c>
      <c r="J19" t="s">
        <v>39</v>
      </c>
      <c r="K19" s="2"/>
      <c r="L19" s="2"/>
    </row>
    <row r="20" spans="1:12" x14ac:dyDescent="0.2">
      <c r="A20" t="s">
        <v>2</v>
      </c>
      <c r="B20" s="1" t="s">
        <v>14</v>
      </c>
      <c r="D20" s="1" t="s">
        <v>25</v>
      </c>
      <c r="F20" s="1" t="s">
        <v>48</v>
      </c>
      <c r="G20" s="1" t="s">
        <v>27</v>
      </c>
    </row>
    <row r="21" spans="1:12" x14ac:dyDescent="0.2">
      <c r="D21" s="1"/>
    </row>
    <row r="22" spans="1:12" x14ac:dyDescent="0.2">
      <c r="A22" t="s">
        <v>33</v>
      </c>
      <c r="B22" t="s">
        <v>49</v>
      </c>
    </row>
    <row r="23" spans="1:12" x14ac:dyDescent="0.2">
      <c r="A23" t="s">
        <v>34</v>
      </c>
      <c r="B23" t="s">
        <v>50</v>
      </c>
      <c r="F23" s="1"/>
    </row>
    <row r="24" spans="1:12" x14ac:dyDescent="0.2">
      <c r="A24" t="s">
        <v>44</v>
      </c>
      <c r="B24" t="s">
        <v>68</v>
      </c>
    </row>
    <row r="25" spans="1:12" x14ac:dyDescent="0.2">
      <c r="J25" s="1" t="s">
        <v>3</v>
      </c>
    </row>
    <row r="28" spans="1:12" s="3" customFormat="1" ht="34" customHeight="1" x14ac:dyDescent="0.2">
      <c r="A28" s="3" t="s">
        <v>0</v>
      </c>
    </row>
    <row r="29" spans="1:12" s="5" customFormat="1" ht="34" customHeight="1" x14ac:dyDescent="0.2">
      <c r="A29" s="5" t="s">
        <v>16</v>
      </c>
    </row>
    <row r="30" spans="1:12" s="4" customFormat="1" ht="17" x14ac:dyDescent="0.2">
      <c r="B30" s="4" t="s">
        <v>6</v>
      </c>
      <c r="C30" s="4" t="s">
        <v>53</v>
      </c>
      <c r="D30" s="4" t="s">
        <v>56</v>
      </c>
      <c r="E30" s="4" t="s">
        <v>7</v>
      </c>
      <c r="F30" s="4" t="s">
        <v>18</v>
      </c>
    </row>
    <row r="31" spans="1:12" x14ac:dyDescent="0.2">
      <c r="A31" t="s">
        <v>5</v>
      </c>
      <c r="B31" s="6">
        <v>120000</v>
      </c>
      <c r="C31">
        <v>4</v>
      </c>
      <c r="D31">
        <v>0.5</v>
      </c>
      <c r="E31" s="13">
        <f>C31*D31*B31</f>
        <v>240000</v>
      </c>
      <c r="F31" t="s">
        <v>54</v>
      </c>
    </row>
    <row r="32" spans="1:12" x14ac:dyDescent="0.2">
      <c r="A32" t="s">
        <v>55</v>
      </c>
      <c r="B32" s="11">
        <v>130000</v>
      </c>
      <c r="C32">
        <v>4</v>
      </c>
      <c r="D32">
        <v>0.5</v>
      </c>
      <c r="E32" s="13">
        <f>C32*D32*B32</f>
        <v>260000</v>
      </c>
      <c r="F32" t="s">
        <v>77</v>
      </c>
    </row>
    <row r="33" spans="1:6" x14ac:dyDescent="0.2">
      <c r="A33" t="s">
        <v>78</v>
      </c>
      <c r="B33" s="11">
        <v>150000</v>
      </c>
      <c r="C33">
        <v>4</v>
      </c>
      <c r="D33">
        <v>0.5</v>
      </c>
      <c r="E33" s="13">
        <f>D33*C33*B33</f>
        <v>300000</v>
      </c>
    </row>
    <row r="34" spans="1:6" x14ac:dyDescent="0.2">
      <c r="A34" t="s">
        <v>17</v>
      </c>
      <c r="B34" s="6">
        <v>60000</v>
      </c>
      <c r="C34">
        <v>10</v>
      </c>
      <c r="D34">
        <f>1/365*(7*4)</f>
        <v>7.6712328767123292E-2</v>
      </c>
      <c r="E34" s="13">
        <f>C34*D34*B34</f>
        <v>46027.397260273974</v>
      </c>
      <c r="F34" t="s">
        <v>76</v>
      </c>
    </row>
    <row r="35" spans="1:6" x14ac:dyDescent="0.2">
      <c r="A35" t="s">
        <v>8</v>
      </c>
      <c r="B35" s="13">
        <f>SUM(E31:E34)</f>
        <v>846027.39726027392</v>
      </c>
    </row>
    <row r="36" spans="1:6" s="5" customFormat="1" ht="34" customHeight="1" x14ac:dyDescent="0.2">
      <c r="A36" s="5" t="s">
        <v>9</v>
      </c>
    </row>
    <row r="37" spans="1:6" s="4" customFormat="1" ht="17" x14ac:dyDescent="0.2">
      <c r="B37" s="4" t="s">
        <v>58</v>
      </c>
      <c r="C37" s="4" t="s">
        <v>59</v>
      </c>
      <c r="D37" s="4" t="s">
        <v>60</v>
      </c>
      <c r="E37" s="4" t="s">
        <v>61</v>
      </c>
      <c r="F37" s="4" t="s">
        <v>18</v>
      </c>
    </row>
    <row r="38" spans="1:6" x14ac:dyDescent="0.2">
      <c r="A38" t="s">
        <v>57</v>
      </c>
      <c r="B38">
        <v>1.0999999999999999E-2</v>
      </c>
      <c r="C38">
        <f>5*4*3</f>
        <v>60</v>
      </c>
      <c r="D38">
        <v>2</v>
      </c>
      <c r="E38">
        <f>D38+C38+B38</f>
        <v>62.011000000000003</v>
      </c>
      <c r="F38" t="s">
        <v>63</v>
      </c>
    </row>
    <row r="39" spans="1:6" x14ac:dyDescent="0.2">
      <c r="A39" t="s">
        <v>62</v>
      </c>
      <c r="B39">
        <f>E38</f>
        <v>62.011000000000003</v>
      </c>
    </row>
    <row r="41" spans="1:6" s="5" customFormat="1" ht="34" customHeight="1" x14ac:dyDescent="0.2">
      <c r="A41" s="5" t="s">
        <v>13</v>
      </c>
    </row>
    <row r="42" spans="1:6" s="4" customFormat="1" ht="17" x14ac:dyDescent="0.2">
      <c r="A42" s="4" t="s">
        <v>65</v>
      </c>
      <c r="B42" s="4" t="s">
        <v>64</v>
      </c>
    </row>
    <row r="43" spans="1:6" x14ac:dyDescent="0.2">
      <c r="A43">
        <v>0</v>
      </c>
      <c r="B43" t="s">
        <v>66</v>
      </c>
    </row>
    <row r="45" spans="1:6" s="5" customFormat="1" ht="34" customHeight="1" x14ac:dyDescent="0.2">
      <c r="A45" s="5" t="s">
        <v>67</v>
      </c>
    </row>
    <row r="46" spans="1:6" x14ac:dyDescent="0.2">
      <c r="A46" t="s">
        <v>74</v>
      </c>
      <c r="B46" s="13">
        <f>K6+K17-B35-B39-A43</f>
        <v>2214670.4645880191</v>
      </c>
    </row>
    <row r="47" spans="1:6" x14ac:dyDescent="0.2">
      <c r="A47" t="s">
        <v>75</v>
      </c>
      <c r="B47" s="8">
        <f>(K6+K17)/(B35+B39)</f>
        <v>3.6175371573812942</v>
      </c>
    </row>
  </sheetData>
  <hyperlinks>
    <hyperlink ref="J25" r:id="rId1" xr:uid="{7700EE15-C46B-714B-A8A6-A28CE816A26D}"/>
    <hyperlink ref="B9" r:id="rId2" xr:uid="{F13C5ADD-1624-4A49-95EC-ED4E6E4CCBA0}"/>
    <hyperlink ref="B20" r:id="rId3" xr:uid="{9FCC5AA6-6302-374A-9D14-F31C04CA0FFD}"/>
    <hyperlink ref="G9" r:id="rId4" xr:uid="{27089757-BDB2-2F41-9A28-7BB8E5F9EE1F}"/>
    <hyperlink ref="G20" r:id="rId5" xr:uid="{00597852-5C1C-EB4C-A6B5-F0EB2CF4D245}"/>
    <hyperlink ref="F9" r:id="rId6" xr:uid="{FA2524E6-E73C-0740-BE32-6443A92E0987}"/>
    <hyperlink ref="F20" r:id="rId7" xr:uid="{BBC5979F-2589-9842-AFFB-2FA49130CD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EE568-7464-0D4F-B2B8-F9971F04FD7F}">
  <dimension ref="A2:D4"/>
  <sheetViews>
    <sheetView zoomScale="108" workbookViewId="0">
      <selection activeCell="M33" sqref="M33"/>
    </sheetView>
  </sheetViews>
  <sheetFormatPr baseColWidth="10" defaultRowHeight="16" x14ac:dyDescent="0.2"/>
  <cols>
    <col min="1" max="1" width="7.6640625" customWidth="1"/>
    <col min="2" max="4" width="18.5" customWidth="1"/>
  </cols>
  <sheetData>
    <row r="2" spans="1:4" x14ac:dyDescent="0.2">
      <c r="B2" t="s">
        <v>70</v>
      </c>
      <c r="C2" t="s">
        <v>71</v>
      </c>
      <c r="D2" t="s">
        <v>72</v>
      </c>
    </row>
    <row r="3" spans="1:4" x14ac:dyDescent="0.2">
      <c r="A3" t="s">
        <v>73</v>
      </c>
      <c r="B3" s="17">
        <f>Optimistic!B47</f>
        <v>60369108.048705265</v>
      </c>
      <c r="C3" s="17">
        <f>Neutral!B46</f>
        <v>29761509.320222527</v>
      </c>
      <c r="D3" s="17">
        <f>Pessimistic!B46</f>
        <v>2214670.4645880191</v>
      </c>
    </row>
    <row r="4" spans="1:4" x14ac:dyDescent="0.2">
      <c r="B4" s="16"/>
      <c r="C4" s="16"/>
      <c r="D4" s="1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Optimistic</vt:lpstr>
      <vt:lpstr>Neutral</vt:lpstr>
      <vt:lpstr>Pessimistic</vt:lpstr>
      <vt:lpstr>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2022-12-04T03:18:09Z</dcterms:created>
  <dcterms:modified xsi:type="dcterms:W3CDTF">2022-12-07T22:14:17Z</dcterms:modified>
</cp:coreProperties>
</file>