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avi\Team Dropbox\Javi Rodriguez\Workspace\2-PROYECTOS\Bitbucket\03-Battery Pack\bat_hw\BOMs\"/>
    </mc:Choice>
  </mc:AlternateContent>
  <xr:revisionPtr revIDLastSave="0" documentId="13_ncr:1_{514E1241-608B-4EC0-AE59-22ECF350E2D3}" xr6:coauthVersionLast="46" xr6:coauthVersionMax="46" xr10:uidLastSave="{00000000-0000-0000-0000-000000000000}"/>
  <bookViews>
    <workbookView xWindow="-120" yWindow="-120" windowWidth="29040" windowHeight="16440" xr2:uid="{04A0D7FF-22EA-4DF3-8E22-520640006655}"/>
  </bookViews>
  <sheets>
    <sheet name="PANELs" sheetId="8" r:id="rId1"/>
    <sheet name="CPU BOM" sheetId="4" r:id="rId2"/>
    <sheet name="DCDC_BOM" sheetId="1" r:id="rId3"/>
    <sheet name="DISPLAY BOM" sheetId="6" r:id="rId4"/>
    <sheet name="INPUT BOM" sheetId="5" r:id="rId5"/>
    <sheet name="PUSHBUTTON" sheetId="7" r:id="rId6"/>
    <sheet name="History" sheetId="2" r:id="rId7"/>
    <sheet name="CONTACT" sheetId="3" r:id="rId8"/>
  </sheets>
  <definedNames>
    <definedName name="_xlnm._FilterDatabase" localSheetId="2" hidden="1">DCDC_BOM!$E$1:$E$998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6" l="1"/>
  <c r="H15" i="6"/>
  <c r="I15" i="6"/>
  <c r="H14" i="6"/>
  <c r="I14" i="6"/>
  <c r="B12" i="6"/>
  <c r="H13" i="6"/>
  <c r="I13" i="6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7" i="5"/>
  <c r="I8" i="6"/>
  <c r="I9" i="6"/>
  <c r="I10" i="6"/>
  <c r="I11" i="6"/>
  <c r="I7" i="6"/>
  <c r="I12" i="4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7" i="1"/>
  <c r="I7" i="4"/>
  <c r="I8" i="4"/>
  <c r="I9" i="4"/>
  <c r="I10" i="4"/>
  <c r="I11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H12" i="6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6" i="8"/>
  <c r="H7" i="7"/>
  <c r="H8" i="7"/>
  <c r="H9" i="7"/>
  <c r="H10" i="7"/>
  <c r="H11" i="7"/>
  <c r="H12" i="7"/>
  <c r="H51" i="8"/>
  <c r="I51" i="8"/>
  <c r="J51" i="8"/>
  <c r="K51" i="8"/>
  <c r="L51" i="8"/>
  <c r="M51" i="8"/>
  <c r="N51" i="8"/>
  <c r="O51" i="8"/>
  <c r="P51" i="8"/>
  <c r="R51" i="8"/>
  <c r="S51" i="8"/>
  <c r="T51" i="8"/>
  <c r="U51" i="8"/>
  <c r="V51" i="8"/>
  <c r="H52" i="8"/>
  <c r="I52" i="8"/>
  <c r="J52" i="8"/>
  <c r="K52" i="8"/>
  <c r="L52" i="8"/>
  <c r="M52" i="8"/>
  <c r="N52" i="8"/>
  <c r="O52" i="8"/>
  <c r="P52" i="8"/>
  <c r="R52" i="8"/>
  <c r="S52" i="8"/>
  <c r="T52" i="8"/>
  <c r="U52" i="8"/>
  <c r="V52" i="8"/>
  <c r="H53" i="8"/>
  <c r="I53" i="8"/>
  <c r="J53" i="8"/>
  <c r="K53" i="8"/>
  <c r="L53" i="8"/>
  <c r="M53" i="8"/>
  <c r="N53" i="8"/>
  <c r="O53" i="8"/>
  <c r="P53" i="8"/>
  <c r="R53" i="8"/>
  <c r="S53" i="8"/>
  <c r="T53" i="8"/>
  <c r="U53" i="8"/>
  <c r="V53" i="8"/>
  <c r="H54" i="8"/>
  <c r="I54" i="8"/>
  <c r="J54" i="8"/>
  <c r="K54" i="8"/>
  <c r="L54" i="8"/>
  <c r="M54" i="8"/>
  <c r="N54" i="8"/>
  <c r="O54" i="8"/>
  <c r="P54" i="8"/>
  <c r="R54" i="8"/>
  <c r="S54" i="8"/>
  <c r="T54" i="8"/>
  <c r="U54" i="8"/>
  <c r="V54" i="8"/>
  <c r="H55" i="8"/>
  <c r="I55" i="8"/>
  <c r="J55" i="8"/>
  <c r="K55" i="8"/>
  <c r="L55" i="8"/>
  <c r="M55" i="8"/>
  <c r="N55" i="8"/>
  <c r="O55" i="8"/>
  <c r="P55" i="8"/>
  <c r="R55" i="8"/>
  <c r="S55" i="8"/>
  <c r="T55" i="8"/>
  <c r="U55" i="8"/>
  <c r="V55" i="8"/>
  <c r="H56" i="8"/>
  <c r="I56" i="8"/>
  <c r="J56" i="8"/>
  <c r="K56" i="8"/>
  <c r="L56" i="8"/>
  <c r="M56" i="8"/>
  <c r="N56" i="8"/>
  <c r="O56" i="8"/>
  <c r="P56" i="8"/>
  <c r="R56" i="8"/>
  <c r="S56" i="8"/>
  <c r="T56" i="8"/>
  <c r="U56" i="8"/>
  <c r="V56" i="8"/>
  <c r="H57" i="8"/>
  <c r="I57" i="8"/>
  <c r="J57" i="8"/>
  <c r="K57" i="8"/>
  <c r="L57" i="8"/>
  <c r="M57" i="8"/>
  <c r="N57" i="8"/>
  <c r="O57" i="8"/>
  <c r="P57" i="8"/>
  <c r="R57" i="8"/>
  <c r="S57" i="8"/>
  <c r="T57" i="8"/>
  <c r="U57" i="8"/>
  <c r="V57" i="8"/>
  <c r="H58" i="8"/>
  <c r="I58" i="8"/>
  <c r="J58" i="8"/>
  <c r="K58" i="8"/>
  <c r="L58" i="8"/>
  <c r="M58" i="8"/>
  <c r="N58" i="8"/>
  <c r="O58" i="8"/>
  <c r="P58" i="8"/>
  <c r="R58" i="8"/>
  <c r="S58" i="8"/>
  <c r="T58" i="8"/>
  <c r="U58" i="8"/>
  <c r="V58" i="8"/>
  <c r="H59" i="8"/>
  <c r="I59" i="8"/>
  <c r="J59" i="8"/>
  <c r="K59" i="8"/>
  <c r="L59" i="8"/>
  <c r="M59" i="8"/>
  <c r="N59" i="8"/>
  <c r="O59" i="8"/>
  <c r="P59" i="8"/>
  <c r="R59" i="8"/>
  <c r="S59" i="8"/>
  <c r="T59" i="8"/>
  <c r="U59" i="8"/>
  <c r="V59" i="8"/>
  <c r="H60" i="8"/>
  <c r="I60" i="8"/>
  <c r="J60" i="8"/>
  <c r="K60" i="8"/>
  <c r="L60" i="8"/>
  <c r="M60" i="8"/>
  <c r="N60" i="8"/>
  <c r="O60" i="8"/>
  <c r="P60" i="8"/>
  <c r="R60" i="8"/>
  <c r="S60" i="8"/>
  <c r="T60" i="8"/>
  <c r="U60" i="8"/>
  <c r="V60" i="8"/>
  <c r="H61" i="8"/>
  <c r="I61" i="8"/>
  <c r="J61" i="8"/>
  <c r="K61" i="8"/>
  <c r="L61" i="8"/>
  <c r="M61" i="8"/>
  <c r="N61" i="8"/>
  <c r="O61" i="8"/>
  <c r="P61" i="8"/>
  <c r="R61" i="8"/>
  <c r="S61" i="8"/>
  <c r="T61" i="8"/>
  <c r="U61" i="8"/>
  <c r="V61" i="8"/>
  <c r="H62" i="8"/>
  <c r="I62" i="8"/>
  <c r="J62" i="8"/>
  <c r="K62" i="8"/>
  <c r="L62" i="8"/>
  <c r="M62" i="8"/>
  <c r="N62" i="8"/>
  <c r="O62" i="8"/>
  <c r="P62" i="8"/>
  <c r="R62" i="8"/>
  <c r="S62" i="8"/>
  <c r="T62" i="8"/>
  <c r="U62" i="8"/>
  <c r="V62" i="8"/>
  <c r="H63" i="8"/>
  <c r="I63" i="8"/>
  <c r="J63" i="8"/>
  <c r="K63" i="8"/>
  <c r="L63" i="8"/>
  <c r="M63" i="8"/>
  <c r="N63" i="8"/>
  <c r="O63" i="8"/>
  <c r="P63" i="8"/>
  <c r="R63" i="8"/>
  <c r="S63" i="8"/>
  <c r="T63" i="8"/>
  <c r="U63" i="8"/>
  <c r="V63" i="8"/>
  <c r="H64" i="8"/>
  <c r="I64" i="8"/>
  <c r="J64" i="8"/>
  <c r="K64" i="8"/>
  <c r="L64" i="8"/>
  <c r="M64" i="8"/>
  <c r="N64" i="8"/>
  <c r="O64" i="8"/>
  <c r="P64" i="8"/>
  <c r="R64" i="8"/>
  <c r="S64" i="8"/>
  <c r="T64" i="8"/>
  <c r="U64" i="8"/>
  <c r="V64" i="8"/>
  <c r="H65" i="8"/>
  <c r="I65" i="8"/>
  <c r="J65" i="8"/>
  <c r="K65" i="8"/>
  <c r="L65" i="8"/>
  <c r="M65" i="8"/>
  <c r="N65" i="8"/>
  <c r="O65" i="8"/>
  <c r="P65" i="8"/>
  <c r="R65" i="8"/>
  <c r="S65" i="8"/>
  <c r="T65" i="8"/>
  <c r="U65" i="8"/>
  <c r="V65" i="8"/>
  <c r="H66" i="8"/>
  <c r="I66" i="8"/>
  <c r="J66" i="8"/>
  <c r="K66" i="8"/>
  <c r="L66" i="8"/>
  <c r="M66" i="8"/>
  <c r="N66" i="8"/>
  <c r="O66" i="8"/>
  <c r="P66" i="8"/>
  <c r="R66" i="8"/>
  <c r="S66" i="8"/>
  <c r="T66" i="8"/>
  <c r="U66" i="8"/>
  <c r="V66" i="8"/>
  <c r="H67" i="8"/>
  <c r="I67" i="8"/>
  <c r="J67" i="8"/>
  <c r="K67" i="8"/>
  <c r="L67" i="8"/>
  <c r="M67" i="8"/>
  <c r="N67" i="8"/>
  <c r="O67" i="8"/>
  <c r="P67" i="8"/>
  <c r="R67" i="8"/>
  <c r="S67" i="8"/>
  <c r="T67" i="8"/>
  <c r="U67" i="8"/>
  <c r="V67" i="8"/>
  <c r="H68" i="8"/>
  <c r="I68" i="8"/>
  <c r="J68" i="8"/>
  <c r="K68" i="8"/>
  <c r="L68" i="8"/>
  <c r="M68" i="8"/>
  <c r="N68" i="8"/>
  <c r="O68" i="8"/>
  <c r="P68" i="8"/>
  <c r="R68" i="8"/>
  <c r="S68" i="8"/>
  <c r="T68" i="8"/>
  <c r="U68" i="8"/>
  <c r="V68" i="8"/>
  <c r="H69" i="8"/>
  <c r="I69" i="8"/>
  <c r="J69" i="8"/>
  <c r="K69" i="8"/>
  <c r="L69" i="8"/>
  <c r="M69" i="8"/>
  <c r="N69" i="8"/>
  <c r="O69" i="8"/>
  <c r="P69" i="8"/>
  <c r="R69" i="8"/>
  <c r="S69" i="8"/>
  <c r="T69" i="8"/>
  <c r="U69" i="8"/>
  <c r="V69" i="8"/>
  <c r="H70" i="8"/>
  <c r="I70" i="8"/>
  <c r="J70" i="8"/>
  <c r="K70" i="8"/>
  <c r="L70" i="8"/>
  <c r="M70" i="8"/>
  <c r="N70" i="8"/>
  <c r="O70" i="8"/>
  <c r="P70" i="8"/>
  <c r="R70" i="8"/>
  <c r="S70" i="8"/>
  <c r="T70" i="8"/>
  <c r="U70" i="8"/>
  <c r="V70" i="8"/>
  <c r="H71" i="8"/>
  <c r="I71" i="8"/>
  <c r="J71" i="8"/>
  <c r="K71" i="8"/>
  <c r="L71" i="8"/>
  <c r="M71" i="8"/>
  <c r="N71" i="8"/>
  <c r="O71" i="8"/>
  <c r="P71" i="8"/>
  <c r="R71" i="8"/>
  <c r="S71" i="8"/>
  <c r="T71" i="8"/>
  <c r="U71" i="8"/>
  <c r="V71" i="8"/>
  <c r="H72" i="8"/>
  <c r="I72" i="8"/>
  <c r="J72" i="8"/>
  <c r="K72" i="8"/>
  <c r="L72" i="8"/>
  <c r="M72" i="8"/>
  <c r="N72" i="8"/>
  <c r="O72" i="8"/>
  <c r="P72" i="8"/>
  <c r="R72" i="8"/>
  <c r="S72" i="8"/>
  <c r="T72" i="8"/>
  <c r="U72" i="8"/>
  <c r="V72" i="8"/>
  <c r="H73" i="8"/>
  <c r="I73" i="8"/>
  <c r="J73" i="8"/>
  <c r="K73" i="8"/>
  <c r="L73" i="8"/>
  <c r="M73" i="8"/>
  <c r="N73" i="8"/>
  <c r="O73" i="8"/>
  <c r="P73" i="8"/>
  <c r="R73" i="8"/>
  <c r="S73" i="8"/>
  <c r="T73" i="8"/>
  <c r="U73" i="8"/>
  <c r="V73" i="8"/>
  <c r="H74" i="8"/>
  <c r="I74" i="8"/>
  <c r="J74" i="8"/>
  <c r="K74" i="8"/>
  <c r="L74" i="8"/>
  <c r="M74" i="8"/>
  <c r="N74" i="8"/>
  <c r="O74" i="8"/>
  <c r="P74" i="8"/>
  <c r="R74" i="8"/>
  <c r="S74" i="8"/>
  <c r="T74" i="8"/>
  <c r="U74" i="8"/>
  <c r="V74" i="8"/>
  <c r="H75" i="8"/>
  <c r="I75" i="8"/>
  <c r="J75" i="8"/>
  <c r="K75" i="8"/>
  <c r="L75" i="8"/>
  <c r="M75" i="8"/>
  <c r="N75" i="8"/>
  <c r="O75" i="8"/>
  <c r="P75" i="8"/>
  <c r="R75" i="8"/>
  <c r="S75" i="8"/>
  <c r="T75" i="8"/>
  <c r="U75" i="8"/>
  <c r="V75" i="8"/>
  <c r="H76" i="8"/>
  <c r="I76" i="8"/>
  <c r="J76" i="8"/>
  <c r="K76" i="8"/>
  <c r="L76" i="8"/>
  <c r="M76" i="8"/>
  <c r="N76" i="8"/>
  <c r="O76" i="8"/>
  <c r="P76" i="8"/>
  <c r="R76" i="8"/>
  <c r="S76" i="8"/>
  <c r="T76" i="8"/>
  <c r="U76" i="8"/>
  <c r="V76" i="8"/>
  <c r="H77" i="8"/>
  <c r="I77" i="8"/>
  <c r="J77" i="8"/>
  <c r="K77" i="8"/>
  <c r="L77" i="8"/>
  <c r="M77" i="8"/>
  <c r="N77" i="8"/>
  <c r="O77" i="8"/>
  <c r="P77" i="8"/>
  <c r="R77" i="8"/>
  <c r="S77" i="8"/>
  <c r="T77" i="8"/>
  <c r="U77" i="8"/>
  <c r="V77" i="8"/>
  <c r="H78" i="8"/>
  <c r="I78" i="8"/>
  <c r="J78" i="8"/>
  <c r="K78" i="8"/>
  <c r="L78" i="8"/>
  <c r="M78" i="8"/>
  <c r="N78" i="8"/>
  <c r="O78" i="8"/>
  <c r="P78" i="8"/>
  <c r="R78" i="8"/>
  <c r="S78" i="8"/>
  <c r="T78" i="8"/>
  <c r="U78" i="8"/>
  <c r="V78" i="8"/>
  <c r="H79" i="8"/>
  <c r="I79" i="8"/>
  <c r="J79" i="8"/>
  <c r="K79" i="8"/>
  <c r="L79" i="8"/>
  <c r="M79" i="8"/>
  <c r="N79" i="8"/>
  <c r="O79" i="8"/>
  <c r="P79" i="8"/>
  <c r="R79" i="8"/>
  <c r="S79" i="8"/>
  <c r="T79" i="8"/>
  <c r="U79" i="8"/>
  <c r="V79" i="8"/>
  <c r="H80" i="8"/>
  <c r="I80" i="8"/>
  <c r="J80" i="8"/>
  <c r="K80" i="8"/>
  <c r="L80" i="8"/>
  <c r="M80" i="8"/>
  <c r="N80" i="8"/>
  <c r="O80" i="8"/>
  <c r="P80" i="8"/>
  <c r="R80" i="8"/>
  <c r="S80" i="8"/>
  <c r="T80" i="8"/>
  <c r="U80" i="8"/>
  <c r="V80" i="8"/>
  <c r="H81" i="8"/>
  <c r="I81" i="8"/>
  <c r="J81" i="8"/>
  <c r="K81" i="8"/>
  <c r="L81" i="8"/>
  <c r="M81" i="8"/>
  <c r="N81" i="8"/>
  <c r="O81" i="8"/>
  <c r="P81" i="8"/>
  <c r="R81" i="8"/>
  <c r="S81" i="8"/>
  <c r="T81" i="8"/>
  <c r="U81" i="8"/>
  <c r="V81" i="8"/>
  <c r="H82" i="8"/>
  <c r="I82" i="8"/>
  <c r="J82" i="8"/>
  <c r="K82" i="8"/>
  <c r="L82" i="8"/>
  <c r="M82" i="8"/>
  <c r="N82" i="8"/>
  <c r="O82" i="8"/>
  <c r="P82" i="8"/>
  <c r="R82" i="8"/>
  <c r="S82" i="8"/>
  <c r="T82" i="8"/>
  <c r="U82" i="8"/>
  <c r="V82" i="8"/>
  <c r="H83" i="8"/>
  <c r="I83" i="8"/>
  <c r="J83" i="8"/>
  <c r="K83" i="8"/>
  <c r="L83" i="8"/>
  <c r="M83" i="8"/>
  <c r="N83" i="8"/>
  <c r="O83" i="8"/>
  <c r="P83" i="8"/>
  <c r="R83" i="8"/>
  <c r="S83" i="8"/>
  <c r="T83" i="8"/>
  <c r="U83" i="8"/>
  <c r="V83" i="8"/>
  <c r="H84" i="8"/>
  <c r="I84" i="8"/>
  <c r="J84" i="8"/>
  <c r="K84" i="8"/>
  <c r="L84" i="8"/>
  <c r="M84" i="8"/>
  <c r="N84" i="8"/>
  <c r="O84" i="8"/>
  <c r="P84" i="8"/>
  <c r="R84" i="8"/>
  <c r="S84" i="8"/>
  <c r="T84" i="8"/>
  <c r="U84" i="8"/>
  <c r="V84" i="8"/>
  <c r="H85" i="8"/>
  <c r="I85" i="8"/>
  <c r="J85" i="8"/>
  <c r="K85" i="8"/>
  <c r="L85" i="8"/>
  <c r="M85" i="8"/>
  <c r="N85" i="8"/>
  <c r="O85" i="8"/>
  <c r="P85" i="8"/>
  <c r="R85" i="8"/>
  <c r="S85" i="8"/>
  <c r="T85" i="8"/>
  <c r="U85" i="8"/>
  <c r="V85" i="8"/>
  <c r="H86" i="8"/>
  <c r="I86" i="8"/>
  <c r="J86" i="8"/>
  <c r="K86" i="8"/>
  <c r="L86" i="8"/>
  <c r="M86" i="8"/>
  <c r="N86" i="8"/>
  <c r="O86" i="8"/>
  <c r="P86" i="8"/>
  <c r="R86" i="8"/>
  <c r="S86" i="8"/>
  <c r="T86" i="8"/>
  <c r="U86" i="8"/>
  <c r="V86" i="8"/>
  <c r="H87" i="8"/>
  <c r="I87" i="8"/>
  <c r="J87" i="8"/>
  <c r="K87" i="8"/>
  <c r="L87" i="8"/>
  <c r="M87" i="8"/>
  <c r="N87" i="8"/>
  <c r="O87" i="8"/>
  <c r="P87" i="8"/>
  <c r="R87" i="8"/>
  <c r="S87" i="8"/>
  <c r="T87" i="8"/>
  <c r="U87" i="8"/>
  <c r="V87" i="8"/>
  <c r="H88" i="8"/>
  <c r="I88" i="8"/>
  <c r="J88" i="8"/>
  <c r="K88" i="8"/>
  <c r="L88" i="8"/>
  <c r="M88" i="8"/>
  <c r="N88" i="8"/>
  <c r="O88" i="8"/>
  <c r="P88" i="8"/>
  <c r="R88" i="8"/>
  <c r="S88" i="8"/>
  <c r="T88" i="8"/>
  <c r="U88" i="8"/>
  <c r="V88" i="8"/>
  <c r="H89" i="8"/>
  <c r="I89" i="8"/>
  <c r="J89" i="8"/>
  <c r="K89" i="8"/>
  <c r="L89" i="8"/>
  <c r="M89" i="8"/>
  <c r="N89" i="8"/>
  <c r="O89" i="8"/>
  <c r="P89" i="8"/>
  <c r="R89" i="8"/>
  <c r="S89" i="8"/>
  <c r="T89" i="8"/>
  <c r="U89" i="8"/>
  <c r="V89" i="8"/>
  <c r="H90" i="8"/>
  <c r="I90" i="8"/>
  <c r="J90" i="8"/>
  <c r="K90" i="8"/>
  <c r="L90" i="8"/>
  <c r="M90" i="8"/>
  <c r="N90" i="8"/>
  <c r="O90" i="8"/>
  <c r="P90" i="8"/>
  <c r="R90" i="8"/>
  <c r="S90" i="8"/>
  <c r="T90" i="8"/>
  <c r="U90" i="8"/>
  <c r="V90" i="8"/>
  <c r="H91" i="8"/>
  <c r="I91" i="8"/>
  <c r="J91" i="8"/>
  <c r="K91" i="8"/>
  <c r="L91" i="8"/>
  <c r="M91" i="8"/>
  <c r="N91" i="8"/>
  <c r="O91" i="8"/>
  <c r="P91" i="8"/>
  <c r="R91" i="8"/>
  <c r="S91" i="8"/>
  <c r="T91" i="8"/>
  <c r="U91" i="8"/>
  <c r="V91" i="8"/>
  <c r="H92" i="8"/>
  <c r="I92" i="8"/>
  <c r="J92" i="8"/>
  <c r="K92" i="8"/>
  <c r="L92" i="8"/>
  <c r="M92" i="8"/>
  <c r="N92" i="8"/>
  <c r="O92" i="8"/>
  <c r="P92" i="8"/>
  <c r="R92" i="8"/>
  <c r="S92" i="8"/>
  <c r="T92" i="8"/>
  <c r="U92" i="8"/>
  <c r="V92" i="8"/>
  <c r="H93" i="8"/>
  <c r="I93" i="8"/>
  <c r="J93" i="8"/>
  <c r="K93" i="8"/>
  <c r="L93" i="8"/>
  <c r="M93" i="8"/>
  <c r="N93" i="8"/>
  <c r="O93" i="8"/>
  <c r="P93" i="8"/>
  <c r="R93" i="8"/>
  <c r="S93" i="8"/>
  <c r="T93" i="8"/>
  <c r="U93" i="8"/>
  <c r="V93" i="8"/>
  <c r="H94" i="8"/>
  <c r="I94" i="8"/>
  <c r="J94" i="8"/>
  <c r="K94" i="8"/>
  <c r="L94" i="8"/>
  <c r="M94" i="8"/>
  <c r="N94" i="8"/>
  <c r="O94" i="8"/>
  <c r="P94" i="8"/>
  <c r="R94" i="8"/>
  <c r="S94" i="8"/>
  <c r="T94" i="8"/>
  <c r="U94" i="8"/>
  <c r="V94" i="8"/>
  <c r="H95" i="8"/>
  <c r="I95" i="8"/>
  <c r="J95" i="8"/>
  <c r="K95" i="8"/>
  <c r="L95" i="8"/>
  <c r="M95" i="8"/>
  <c r="N95" i="8"/>
  <c r="O95" i="8"/>
  <c r="P95" i="8"/>
  <c r="R95" i="8"/>
  <c r="S95" i="8"/>
  <c r="T95" i="8"/>
  <c r="U95" i="8"/>
  <c r="V95" i="8"/>
  <c r="H96" i="8"/>
  <c r="I96" i="8"/>
  <c r="J96" i="8"/>
  <c r="K96" i="8"/>
  <c r="L96" i="8"/>
  <c r="M96" i="8"/>
  <c r="N96" i="8"/>
  <c r="O96" i="8"/>
  <c r="P96" i="8"/>
  <c r="R96" i="8"/>
  <c r="S96" i="8"/>
  <c r="T96" i="8"/>
  <c r="U96" i="8"/>
  <c r="V96" i="8"/>
  <c r="H97" i="8"/>
  <c r="I97" i="8"/>
  <c r="J97" i="8"/>
  <c r="K97" i="8"/>
  <c r="L97" i="8"/>
  <c r="M97" i="8"/>
  <c r="N97" i="8"/>
  <c r="O97" i="8"/>
  <c r="P97" i="8"/>
  <c r="R97" i="8"/>
  <c r="S97" i="8"/>
  <c r="T97" i="8"/>
  <c r="U97" i="8"/>
  <c r="V97" i="8"/>
  <c r="H98" i="8"/>
  <c r="I98" i="8"/>
  <c r="J98" i="8"/>
  <c r="K98" i="8"/>
  <c r="L98" i="8"/>
  <c r="M98" i="8"/>
  <c r="N98" i="8"/>
  <c r="O98" i="8"/>
  <c r="P98" i="8"/>
  <c r="R98" i="8"/>
  <c r="S98" i="8"/>
  <c r="T98" i="8"/>
  <c r="U98" i="8"/>
  <c r="V98" i="8"/>
  <c r="H99" i="8"/>
  <c r="I99" i="8"/>
  <c r="J99" i="8"/>
  <c r="K99" i="8"/>
  <c r="L99" i="8"/>
  <c r="M99" i="8"/>
  <c r="N99" i="8"/>
  <c r="O99" i="8"/>
  <c r="P99" i="8"/>
  <c r="R99" i="8"/>
  <c r="S99" i="8"/>
  <c r="T99" i="8"/>
  <c r="U99" i="8"/>
  <c r="V99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6" i="8"/>
  <c r="H36" i="8"/>
  <c r="I36" i="8"/>
  <c r="K36" i="8"/>
  <c r="L36" i="8"/>
  <c r="N36" i="8"/>
  <c r="O36" i="8"/>
  <c r="R36" i="8"/>
  <c r="S36" i="8"/>
  <c r="U36" i="8"/>
  <c r="V3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6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7" i="8"/>
  <c r="U6" i="8"/>
  <c r="R7" i="8"/>
  <c r="S7" i="8"/>
  <c r="R8" i="8"/>
  <c r="S8" i="8"/>
  <c r="R9" i="8"/>
  <c r="S9" i="8"/>
  <c r="R10" i="8"/>
  <c r="X10" i="8" s="1"/>
  <c r="S10" i="8"/>
  <c r="R11" i="8"/>
  <c r="S11" i="8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X18" i="8" s="1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X26" i="8" s="1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X34" i="8" s="1"/>
  <c r="S34" i="8"/>
  <c r="R35" i="8"/>
  <c r="S35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X43" i="8" s="1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S6" i="8"/>
  <c r="R6" i="8"/>
  <c r="X6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O7" i="8"/>
  <c r="O8" i="8"/>
  <c r="O9" i="8"/>
  <c r="O10" i="8"/>
  <c r="O11" i="8"/>
  <c r="O12" i="8"/>
  <c r="O6" i="8"/>
  <c r="N7" i="8"/>
  <c r="N8" i="8"/>
  <c r="N9" i="8"/>
  <c r="N10" i="8"/>
  <c r="N11" i="8"/>
  <c r="N12" i="8"/>
  <c r="N6" i="8"/>
  <c r="L7" i="8"/>
  <c r="L8" i="8"/>
  <c r="L9" i="8"/>
  <c r="L10" i="8"/>
  <c r="L11" i="8"/>
  <c r="L12" i="8"/>
  <c r="L6" i="8"/>
  <c r="K7" i="8"/>
  <c r="K8" i="8"/>
  <c r="K9" i="8"/>
  <c r="K10" i="8"/>
  <c r="K11" i="8"/>
  <c r="K12" i="8"/>
  <c r="K6" i="8"/>
  <c r="I7" i="8"/>
  <c r="I8" i="8"/>
  <c r="I9" i="8"/>
  <c r="I10" i="8"/>
  <c r="I11" i="8"/>
  <c r="I12" i="8"/>
  <c r="I6" i="8"/>
  <c r="H6" i="8"/>
  <c r="H13" i="7"/>
  <c r="H22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3" i="4"/>
  <c r="H24" i="4"/>
  <c r="H25" i="4"/>
  <c r="H26" i="4"/>
  <c r="H27" i="4"/>
  <c r="H28" i="4"/>
  <c r="H29" i="4"/>
  <c r="H7" i="4"/>
  <c r="H8" i="6"/>
  <c r="H9" i="6"/>
  <c r="H10" i="6"/>
  <c r="H11" i="6"/>
  <c r="H7" i="6"/>
  <c r="H23" i="5"/>
  <c r="H22" i="5"/>
  <c r="H21" i="5"/>
  <c r="H20" i="5"/>
  <c r="H19" i="5"/>
  <c r="H9" i="5"/>
  <c r="H8" i="5"/>
  <c r="H7" i="5"/>
  <c r="X47" i="8" l="1"/>
  <c r="X39" i="8"/>
  <c r="X30" i="8"/>
  <c r="X22" i="8"/>
  <c r="Q43" i="8"/>
  <c r="Q34" i="8"/>
  <c r="Q26" i="8"/>
  <c r="Q18" i="8"/>
  <c r="X50" i="8"/>
  <c r="X46" i="8"/>
  <c r="H16" i="6"/>
  <c r="X63" i="8"/>
  <c r="X45" i="8"/>
  <c r="X37" i="8"/>
  <c r="X42" i="8"/>
  <c r="Q44" i="8"/>
  <c r="Q35" i="8"/>
  <c r="Q27" i="8"/>
  <c r="Q19" i="8"/>
  <c r="X96" i="8"/>
  <c r="X92" i="8"/>
  <c r="X68" i="8"/>
  <c r="X80" i="8"/>
  <c r="X88" i="8"/>
  <c r="X84" i="8"/>
  <c r="X48" i="8"/>
  <c r="X40" i="8"/>
  <c r="X31" i="8"/>
  <c r="X23" i="8"/>
  <c r="X15" i="8"/>
  <c r="X7" i="8"/>
  <c r="X36" i="8"/>
  <c r="X76" i="8"/>
  <c r="X72" i="8"/>
  <c r="Q21" i="8"/>
  <c r="Q13" i="8"/>
  <c r="X98" i="8"/>
  <c r="X94" i="8"/>
  <c r="X90" i="8"/>
  <c r="X86" i="8"/>
  <c r="X82" i="8"/>
  <c r="X78" i="8"/>
  <c r="X74" i="8"/>
  <c r="X70" i="8"/>
  <c r="X66" i="8"/>
  <c r="X62" i="8"/>
  <c r="X58" i="8"/>
  <c r="X54" i="8"/>
  <c r="Q46" i="8"/>
  <c r="Q29" i="8"/>
  <c r="Q38" i="8"/>
  <c r="Q47" i="8"/>
  <c r="Q30" i="8"/>
  <c r="Q22" i="8"/>
  <c r="Q14" i="8"/>
  <c r="Q39" i="8"/>
  <c r="X38" i="8"/>
  <c r="X33" i="8"/>
  <c r="X29" i="8"/>
  <c r="X25" i="8"/>
  <c r="X21" i="8"/>
  <c r="Q23" i="8"/>
  <c r="X44" i="8"/>
  <c r="X17" i="8"/>
  <c r="X13" i="8"/>
  <c r="X9" i="8"/>
  <c r="X77" i="8"/>
  <c r="Q81" i="8"/>
  <c r="Q77" i="8"/>
  <c r="Q73" i="8"/>
  <c r="Q69" i="8"/>
  <c r="Q50" i="8"/>
  <c r="Q42" i="8"/>
  <c r="Q33" i="8"/>
  <c r="Q25" i="8"/>
  <c r="Q17" i="8"/>
  <c r="Q49" i="8"/>
  <c r="Q41" i="8"/>
  <c r="Q32" i="8"/>
  <c r="Q24" i="8"/>
  <c r="Q16" i="8"/>
  <c r="X99" i="8"/>
  <c r="X95" i="8"/>
  <c r="X91" i="8"/>
  <c r="X87" i="8"/>
  <c r="X83" i="8"/>
  <c r="X79" i="8"/>
  <c r="X75" i="8"/>
  <c r="X71" i="8"/>
  <c r="X67" i="8"/>
  <c r="Q99" i="8"/>
  <c r="Q91" i="8"/>
  <c r="Q83" i="8"/>
  <c r="Q75" i="8"/>
  <c r="Q67" i="8"/>
  <c r="Q59" i="8"/>
  <c r="Q51" i="8"/>
  <c r="X60" i="8"/>
  <c r="X52" i="8"/>
  <c r="X28" i="8"/>
  <c r="X20" i="8"/>
  <c r="X12" i="8"/>
  <c r="Q31" i="8"/>
  <c r="Q15" i="8"/>
  <c r="Q7" i="8"/>
  <c r="X93" i="8"/>
  <c r="X85" i="8"/>
  <c r="X69" i="8"/>
  <c r="X61" i="8"/>
  <c r="X53" i="8"/>
  <c r="Q65" i="8"/>
  <c r="Q61" i="8"/>
  <c r="Q57" i="8"/>
  <c r="Q53" i="8"/>
  <c r="Q10" i="8"/>
  <c r="Q45" i="8"/>
  <c r="Q37" i="8"/>
  <c r="Q28" i="8"/>
  <c r="Q20" i="8"/>
  <c r="Q12" i="8"/>
  <c r="X14" i="8"/>
  <c r="Q36" i="8"/>
  <c r="Q98" i="8"/>
  <c r="Q90" i="8"/>
  <c r="Q82" i="8"/>
  <c r="Q74" i="8"/>
  <c r="Q66" i="8"/>
  <c r="Q58" i="8"/>
  <c r="Q6" i="8"/>
  <c r="Q11" i="8"/>
  <c r="X59" i="8"/>
  <c r="X55" i="8"/>
  <c r="X51" i="8"/>
  <c r="Q9" i="8"/>
  <c r="X64" i="8"/>
  <c r="X56" i="8"/>
  <c r="Q8" i="8"/>
  <c r="X49" i="8"/>
  <c r="X41" i="8"/>
  <c r="X32" i="8"/>
  <c r="X24" i="8"/>
  <c r="X16" i="8"/>
  <c r="X8" i="8"/>
  <c r="Q96" i="8"/>
  <c r="Q95" i="8"/>
  <c r="Q92" i="8"/>
  <c r="Q88" i="8"/>
  <c r="Q87" i="8"/>
  <c r="Q84" i="8"/>
  <c r="Q80" i="8"/>
  <c r="Q79" i="8"/>
  <c r="Q76" i="8"/>
  <c r="Q72" i="8"/>
  <c r="Q71" i="8"/>
  <c r="Q68" i="8"/>
  <c r="Q64" i="8"/>
  <c r="Q63" i="8"/>
  <c r="Q60" i="8"/>
  <c r="Q56" i="8"/>
  <c r="Q55" i="8"/>
  <c r="Q52" i="8"/>
  <c r="Q40" i="8"/>
  <c r="X97" i="8"/>
  <c r="Q94" i="8"/>
  <c r="X89" i="8"/>
  <c r="Q86" i="8"/>
  <c r="X81" i="8"/>
  <c r="Q78" i="8"/>
  <c r="X73" i="8"/>
  <c r="Q70" i="8"/>
  <c r="X65" i="8"/>
  <c r="Q62" i="8"/>
  <c r="X57" i="8"/>
  <c r="Q54" i="8"/>
  <c r="Q48" i="8"/>
  <c r="X35" i="8"/>
  <c r="X27" i="8"/>
  <c r="X19" i="8"/>
  <c r="X11" i="8"/>
  <c r="Q97" i="8"/>
  <c r="Q93" i="8"/>
  <c r="Q89" i="8"/>
  <c r="Q85" i="8"/>
  <c r="B62" i="8"/>
  <c r="B82" i="8"/>
  <c r="B77" i="8"/>
  <c r="B72" i="8"/>
  <c r="B59" i="8"/>
  <c r="B83" i="8"/>
  <c r="B78" i="8"/>
  <c r="B73" i="8"/>
  <c r="B68" i="8"/>
  <c r="B98" i="8"/>
  <c r="B93" i="8"/>
  <c r="B88" i="8"/>
  <c r="B99" i="8"/>
  <c r="B94" i="8"/>
  <c r="B89" i="8"/>
  <c r="B74" i="8"/>
  <c r="B69" i="8"/>
  <c r="B52" i="8"/>
  <c r="B67" i="8"/>
  <c r="B64" i="8"/>
  <c r="B90" i="8"/>
  <c r="B85" i="8"/>
  <c r="B80" i="8"/>
  <c r="H24" i="5"/>
  <c r="B91" i="8"/>
  <c r="B86" i="8"/>
  <c r="B81" i="8"/>
  <c r="B75" i="8"/>
  <c r="B70" i="8"/>
  <c r="B65" i="8"/>
  <c r="B60" i="8"/>
  <c r="B96" i="8"/>
  <c r="B76" i="8"/>
  <c r="B51" i="8"/>
  <c r="B97" i="8"/>
  <c r="B92" i="8"/>
  <c r="B66" i="8"/>
  <c r="B61" i="8"/>
  <c r="B57" i="8"/>
  <c r="B53" i="8"/>
  <c r="B58" i="8"/>
  <c r="B95" i="8"/>
  <c r="B87" i="8"/>
  <c r="B79" i="8"/>
  <c r="B71" i="8"/>
  <c r="B63" i="8"/>
  <c r="B55" i="8"/>
  <c r="B84" i="8"/>
  <c r="B54" i="8"/>
  <c r="B56" i="8"/>
  <c r="B36" i="8"/>
  <c r="B35" i="8"/>
  <c r="B43" i="8"/>
  <c r="B34" i="8"/>
  <c r="B26" i="8"/>
  <c r="B18" i="8"/>
  <c r="B25" i="8"/>
  <c r="B17" i="8"/>
  <c r="B27" i="8"/>
  <c r="B40" i="8"/>
  <c r="B23" i="8"/>
  <c r="B19" i="8"/>
  <c r="B38" i="8"/>
  <c r="B21" i="8"/>
  <c r="B28" i="8"/>
  <c r="B20" i="8"/>
  <c r="B44" i="8"/>
  <c r="B46" i="8"/>
  <c r="B50" i="8"/>
  <c r="B49" i="8"/>
  <c r="B41" i="8"/>
  <c r="B32" i="8"/>
  <c r="B24" i="8"/>
  <c r="B16" i="8"/>
  <c r="B37" i="8"/>
  <c r="B45" i="8"/>
  <c r="B15" i="8"/>
  <c r="B13" i="8"/>
  <c r="B48" i="8"/>
  <c r="B31" i="8"/>
  <c r="B29" i="8"/>
  <c r="B42" i="8"/>
  <c r="B47" i="8"/>
  <c r="B39" i="8"/>
  <c r="B30" i="8"/>
  <c r="B22" i="8"/>
  <c r="B14" i="8"/>
  <c r="B33" i="8"/>
  <c r="B8" i="8"/>
  <c r="B7" i="8"/>
  <c r="B12" i="8"/>
  <c r="B11" i="8"/>
  <c r="B10" i="8"/>
  <c r="B9" i="8"/>
  <c r="B6" i="8"/>
  <c r="H8" i="1"/>
  <c r="H9" i="1"/>
  <c r="H10" i="1"/>
  <c r="H11" i="1"/>
  <c r="H12" i="1"/>
  <c r="H13" i="1"/>
  <c r="H15" i="1"/>
  <c r="H16" i="1"/>
  <c r="H17" i="1"/>
  <c r="H32" i="1"/>
  <c r="H35" i="1"/>
  <c r="H36" i="1"/>
  <c r="H37" i="1"/>
  <c r="H7" i="1"/>
  <c r="Q3" i="8" l="1"/>
  <c r="X3" i="8"/>
  <c r="H38" i="1"/>
  <c r="H30" i="4"/>
  <c r="AB2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tc={1DF4110F-B81A-4B0C-82DC-5147202788F5}</author>
  </authors>
  <commentList>
    <comment ref="E15" authorId="0" shapeId="0" xr:uid="{1DF4110F-B81A-4B0C-82DC-5147202788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ojo, el seleccionado es 1206
Respuesta:
    comprueba si en 1210 es más barato y si es más habitual. tenemos que elegir el tamaño que mejor se ajuste a precio y disponibilidad
Respuesta:
    La seleccion se queda el de 1206 por cantidad y precio, pero se mantiene el footprint de 1210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tc={106C86C7-2BF1-8047-A1DF-9662695C6B17}</author>
  </authors>
  <commentList>
    <comment ref="F10" authorId="0" shapeId="0" xr:uid="{106C86C7-2BF1-8047-A1DF-9662695C6B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ojo, el seleccionado es 1206
Respuesta:
    comprueba si en 1210 es más barato y si es más habitual. tenemos que elegir el tamaño que mejor se ajuste a precio y disponibilidad
Respuesta:
    La seleccion se queda el de 1206 por cantidad y precio, pero se mantiene el footprint de 1210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REOZEN</author>
  </authors>
  <commentList>
    <comment ref="D7" authorId="0" shapeId="0" xr:uid="{610BC0B5-A2FD-42FC-A525-CE393051EB0E}">
      <text>
        <r>
          <rPr>
            <b/>
            <sz val="10"/>
            <color rgb="FF000000"/>
            <rFont val="Tahoma"/>
            <family val="2"/>
          </rPr>
          <t>DAVID REOZEN: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este led va en la placa de pushbutton</t>
        </r>
      </text>
    </comment>
  </commentList>
</comments>
</file>

<file path=xl/sharedStrings.xml><?xml version="1.0" encoding="utf-8"?>
<sst xmlns="http://schemas.openxmlformats.org/spreadsheetml/2006/main" count="754" uniqueCount="292">
  <si>
    <t>BOM Version</t>
  </si>
  <si>
    <t>Position</t>
  </si>
  <si>
    <t>Qty</t>
  </si>
  <si>
    <t>Part</t>
  </si>
  <si>
    <t>Value</t>
  </si>
  <si>
    <t>Device</t>
  </si>
  <si>
    <t>Package</t>
  </si>
  <si>
    <t>Assembly</t>
  </si>
  <si>
    <t>L1</t>
  </si>
  <si>
    <t>INDUCTOR</t>
  </si>
  <si>
    <t>INDM7366X500</t>
  </si>
  <si>
    <t>C22</t>
  </si>
  <si>
    <t>C10, C20</t>
  </si>
  <si>
    <t>INTEGRATED CIRCUIT</t>
  </si>
  <si>
    <t>D2</t>
  </si>
  <si>
    <t>B520C-13-F</t>
  </si>
  <si>
    <t>DIODE</t>
  </si>
  <si>
    <t>DIOM7959X250N</t>
  </si>
  <si>
    <t>U3</t>
  </si>
  <si>
    <t>CAPACITOR</t>
  </si>
  <si>
    <t>2N7002PW</t>
  </si>
  <si>
    <t>TRANSISTOR</t>
  </si>
  <si>
    <t>SOT323</t>
  </si>
  <si>
    <t>CONNECTOR</t>
  </si>
  <si>
    <t>R41</t>
  </si>
  <si>
    <t>RESISTOR</t>
  </si>
  <si>
    <t>10k</t>
  </si>
  <si>
    <t>R9</t>
  </si>
  <si>
    <t>39k</t>
  </si>
  <si>
    <t>470k</t>
  </si>
  <si>
    <t>1k</t>
  </si>
  <si>
    <t>R7</t>
  </si>
  <si>
    <t>330k</t>
  </si>
  <si>
    <t>R6</t>
  </si>
  <si>
    <t>82k</t>
  </si>
  <si>
    <t>U7</t>
  </si>
  <si>
    <t>TPIC2810D</t>
  </si>
  <si>
    <t>U1</t>
  </si>
  <si>
    <t>TPS55330RTET</t>
  </si>
  <si>
    <t>RTE16_1P66X1P66_TEX</t>
  </si>
  <si>
    <t>SMD 1210</t>
  </si>
  <si>
    <t>C16, C17, C18, C19</t>
  </si>
  <si>
    <t>HISTORY</t>
  </si>
  <si>
    <t>BOM version</t>
  </si>
  <si>
    <t>PCB version</t>
  </si>
  <si>
    <t>PBA version</t>
  </si>
  <si>
    <t>Description</t>
  </si>
  <si>
    <t>Date</t>
  </si>
  <si>
    <t>Author</t>
  </si>
  <si>
    <t>Creation</t>
  </si>
  <si>
    <t>JRC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</si>
  <si>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</si>
  <si>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</si>
  <si>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</si>
  <si>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</si>
  <si>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</si>
  <si>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</si>
  <si>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</si>
  <si>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</si>
  <si>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</si>
  <si>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R3</t>
  </si>
  <si>
    <t>10mR</t>
  </si>
  <si>
    <t>RSENSE</t>
  </si>
  <si>
    <t>15k</t>
  </si>
  <si>
    <t>R11, R13, R14</t>
  </si>
  <si>
    <t>160k</t>
  </si>
  <si>
    <t>R12</t>
  </si>
  <si>
    <t>2.2nF</t>
  </si>
  <si>
    <t>C21</t>
  </si>
  <si>
    <t>2.2uH - 74437346022</t>
  </si>
  <si>
    <t>20k</t>
  </si>
  <si>
    <t>R2</t>
  </si>
  <si>
    <t>270PF</t>
  </si>
  <si>
    <t>Q2, Q5</t>
  </si>
  <si>
    <t>R5, R17</t>
  </si>
  <si>
    <t>R8</t>
  </si>
  <si>
    <t>R1</t>
  </si>
  <si>
    <t>R4, R15, R16</t>
  </si>
  <si>
    <t>C11, C12, C15</t>
  </si>
  <si>
    <t>56k2</t>
  </si>
  <si>
    <t>5k1</t>
  </si>
  <si>
    <t>680k</t>
  </si>
  <si>
    <t>78k7</t>
  </si>
  <si>
    <t>R10</t>
  </si>
  <si>
    <t>FIDUCIAL"</t>
  </si>
  <si>
    <t>FIDUCIAL_1MM</t>
  </si>
  <si>
    <t>U$34, U$35</t>
  </si>
  <si>
    <t>FLEX8</t>
  </si>
  <si>
    <t>K3</t>
  </si>
  <si>
    <t>MCP6071T-E/OT</t>
  </si>
  <si>
    <t>NVTFS9D6P04M8LTAG</t>
  </si>
  <si>
    <t>Q1</t>
  </si>
  <si>
    <t>TESTPAD_TPSQTP15SQ</t>
  </si>
  <si>
    <t>TESTPAD_TP15SQ</t>
  </si>
  <si>
    <t>TP1, TP2, TP3, TP4</t>
  </si>
  <si>
    <t>SO16</t>
  </si>
  <si>
    <t>SMD 0603</t>
  </si>
  <si>
    <t>SMD 0402</t>
  </si>
  <si>
    <t>SOT-23-5</t>
  </si>
  <si>
    <t>BATT_DCDC_BOOM</t>
  </si>
  <si>
    <t>Link</t>
  </si>
  <si>
    <t>https://www.digikey.es/product-detail/en/samsung-electro-mechanics/CL10B104KA8NNNC/1276-1006-1-ND/3889092</t>
  </si>
  <si>
    <t>0.1UF 25V X7R</t>
  </si>
  <si>
    <t>https://www.digikey.es/product-detail/en/samsung-electro-mechanics/CL10B474KA8NFNC/1276-2082-1-ND/3890168</t>
  </si>
  <si>
    <t>0.47UF 25V X7R</t>
  </si>
  <si>
    <t>C1,C2, C24</t>
  </si>
  <si>
    <t>https://www.digikey.es/product-detail/en/C3216X5R1E476M160AC/445-8047-1-ND/2792164/?itemSeq=358252465</t>
  </si>
  <si>
    <t>47UF 25V X5R </t>
  </si>
  <si>
    <t>https://www.digikey.es/product-detail/en/GRM32EC81C476KE15L/490-10531-2-ND/5027615/?itemSeq=358253695</t>
  </si>
  <si>
    <t>47UF 16V X6S</t>
  </si>
  <si>
    <t>https://www.digikey.es/product-detail/en/CC0603KRX7R9BB271/311-1185-1-ND/372898/?itemSeq=358257069</t>
  </si>
  <si>
    <t>https://www.digikey.es/product-detail/en/CL10B222KB8NNNC/1276-1110-6-ND/3891624/?itemSeq=358255759</t>
  </si>
  <si>
    <t>https://www.digikey.es/product-detail/en/B520C-13-F/B520C-FDICT-ND/806565/?itemSeq=358257331</t>
  </si>
  <si>
    <t>https://www.digikey.es/product-detail/en/on-semiconductor/NVTFS9D6P04M8LTAG/488-NVTFS9D6P04M8LTAGCT-ND/11593208</t>
  </si>
  <si>
    <t>https://www.digikey.es/product-detail/en/2N7002PW%2c115/1727-4793-2-ND/2296328/?itemSeq=358257941</t>
  </si>
  <si>
    <t>https://www.digikey.es/product-detail/en/MCP6071T-E%2fOT/MCP6071T-E%2fOTDKR-ND/2618488/?itemSeq=358258033</t>
  </si>
  <si>
    <t>https://www.digikey.es/product-detail/en/texas-instruments/TPS55330RTET/296-36219-2-ND/4212800</t>
  </si>
  <si>
    <t>https://www.digikey.es/product-detail/en/texas-instruments/TPIC2810DR/296-46367-2-ND/1670586</t>
  </si>
  <si>
    <t>Unit Price</t>
  </si>
  <si>
    <t>Extended Price</t>
  </si>
  <si>
    <t>-</t>
  </si>
  <si>
    <t>Total</t>
  </si>
  <si>
    <t>BZ1</t>
  </si>
  <si>
    <t xml:space="preserve">C3, C5, C7, C9, C11, C13, C15, C18, C19 </t>
  </si>
  <si>
    <t xml:space="preserve">C16, C17 </t>
  </si>
  <si>
    <t xml:space="preserve">C1, C14, C6, C8, C10, C12   </t>
  </si>
  <si>
    <t xml:space="preserve">C2, C4  </t>
  </si>
  <si>
    <t>120k</t>
  </si>
  <si>
    <t xml:space="preserve">R6, R7, R8, R10 </t>
  </si>
  <si>
    <t xml:space="preserve">R9 </t>
  </si>
  <si>
    <t xml:space="preserve">R12, R15 </t>
  </si>
  <si>
    <t>R3, R4</t>
  </si>
  <si>
    <t>100R</t>
  </si>
  <si>
    <t>R5</t>
  </si>
  <si>
    <t>100k</t>
  </si>
  <si>
    <t>R1, R2</t>
  </si>
  <si>
    <t>2k2</t>
  </si>
  <si>
    <t>R45</t>
  </si>
  <si>
    <t>R16</t>
  </si>
  <si>
    <t>36k</t>
  </si>
  <si>
    <t>R13</t>
  </si>
  <si>
    <t>62k</t>
  </si>
  <si>
    <t>R11</t>
  </si>
  <si>
    <t xml:space="preserve">ATSAMD21G18_QFN                </t>
  </si>
  <si>
    <t>U5,U6</t>
  </si>
  <si>
    <t>L7</t>
  </si>
  <si>
    <t>U8</t>
  </si>
  <si>
    <t>U2,U3</t>
  </si>
  <si>
    <t>U4</t>
  </si>
  <si>
    <t xml:space="preserve">TS3USB221A                     </t>
  </si>
  <si>
    <t xml:space="preserve">TPS78230DDCR                   </t>
  </si>
  <si>
    <t xml:space="preserve">SN74LVC1G19DBVR                </t>
  </si>
  <si>
    <t xml:space="preserve">MMZ2012Y202BT000               </t>
  </si>
  <si>
    <t xml:space="preserve">MCP6071T-E/OT  </t>
  </si>
  <si>
    <t xml:space="preserve">MAX9062EUK+T </t>
  </si>
  <si>
    <t xml:space="preserve">X2 </t>
  </si>
  <si>
    <t xml:space="preserve">XTAL-3.2X1.5 </t>
  </si>
  <si>
    <t>KMCS0909E4000-R1</t>
  </si>
  <si>
    <t>BATT_INPUT_BOOM</t>
  </si>
  <si>
    <t>C1</t>
  </si>
  <si>
    <t>SMD-0603</t>
  </si>
  <si>
    <t>https://www.digikey.es/product-detail/en/samsung-electro-mechanics/CL10A105KA8NNNC/1276-1102-1-ND/3889188</t>
  </si>
  <si>
    <t>C2,C5</t>
  </si>
  <si>
    <t>C3,C23</t>
  </si>
  <si>
    <t>SMD-0805</t>
  </si>
  <si>
    <t>https://www.digikey.es/product-detail/en/samsung-electro-mechanics/CL21A106KOQNNNG/1276-6455-1-ND/5958083</t>
  </si>
  <si>
    <t>D1</t>
  </si>
  <si>
    <t>DIODE LED</t>
  </si>
  <si>
    <t>2-SMD, No Lead</t>
  </si>
  <si>
    <t>https://www.digikey.es/product-detail/en/kingbright/APA3010ZGC-GX/754-1575-1-ND/2757964</t>
  </si>
  <si>
    <t>RAWBATT+,RAWBATT-</t>
  </si>
  <si>
    <t>PAD-CONECTOR</t>
  </si>
  <si>
    <t>SMD2,54-5,08</t>
  </si>
  <si>
    <t>R6,R7,R11,R12,R17</t>
  </si>
  <si>
    <t>SMD-0402</t>
  </si>
  <si>
    <t>R4</t>
  </si>
  <si>
    <t>R20</t>
  </si>
  <si>
    <t>R8,R9</t>
  </si>
  <si>
    <t>J1</t>
  </si>
  <si>
    <t>70AAJ-4-M0</t>
  </si>
  <si>
    <t>CONECTOR</t>
  </si>
  <si>
    <t>https://www.digikey.es/product-detail/en/bourns-inc/70AAJ-4-M0G/70AAJ-4-M0GTR-ND/761020</t>
  </si>
  <si>
    <t>U5</t>
  </si>
  <si>
    <t>BQ24075</t>
  </si>
  <si>
    <t>PVQFN-N16</t>
  </si>
  <si>
    <t>https://www.digikey.es/product-detail/en/texas-instruments/BQ24075TRGTR/296-25609-1-ND/2202275</t>
  </si>
  <si>
    <t>QD,QC</t>
  </si>
  <si>
    <t>CSD16406Q3</t>
  </si>
  <si>
    <t>https://www.digikey.es/product-detail/en/texas-instruments/CSD16406Q3/296-24251-1-ND/2038321</t>
  </si>
  <si>
    <t>J4</t>
  </si>
  <si>
    <t>DX07S016JA1R1500</t>
  </si>
  <si>
    <t xml:space="preserve">JAE_DX07S016JA1R1500 </t>
  </si>
  <si>
    <t>https://www.digikey.es/product-detail/en/jae-electronics/DX07S016JA1R1500/670-DX07S016JA1R1500CT-ND/11586676</t>
  </si>
  <si>
    <t>U9</t>
  </si>
  <si>
    <t>BQ29700DSER</t>
  </si>
  <si>
    <t>https://www.digikey.es/product-detail/en/texas-instruments/BQ29700DSER/296-43985-1-ND/5973209</t>
  </si>
  <si>
    <t>OSCILLATOR</t>
  </si>
  <si>
    <t xml:space="preserve">PKMCS0909 </t>
  </si>
  <si>
    <t xml:space="preserve">21-0057F_MXM  </t>
  </si>
  <si>
    <t>XTAL3215</t>
  </si>
  <si>
    <t>TQFN48_7MM</t>
  </si>
  <si>
    <t>BUZZER</t>
  </si>
  <si>
    <t>BATT_DISPLAY_BOOM</t>
  </si>
  <si>
    <t>BATT_CPU_BOOM</t>
  </si>
  <si>
    <t>C2, C3, C5</t>
  </si>
  <si>
    <t xml:space="preserve">C1, C4 </t>
  </si>
  <si>
    <t xml:space="preserve">R1, R2, R4, R6, R7, R8 </t>
  </si>
  <si>
    <t xml:space="preserve"> U1 </t>
  </si>
  <si>
    <t xml:space="preserve">S1, S2 </t>
  </si>
  <si>
    <t>KXT311LHS</t>
  </si>
  <si>
    <t>SWITCH</t>
  </si>
  <si>
    <t>https://www.digikey.es/product-detail/en/murata-electronics/PKMCS0909E4000-R1/490-9647-1-ND/4878401</t>
  </si>
  <si>
    <t>SMD 0805</t>
  </si>
  <si>
    <t>https://www.digikey.es/product-detail/en/samsung-electro-mechanics/CL21B225KAFNFNE/1276-2953-1-ND/3891039</t>
  </si>
  <si>
    <t>https://www.digikey.es/product-detail/en/samsung-electro-mechanics/CL10C220JB81PNC/1276-2226-1-ND/3890312</t>
  </si>
  <si>
    <t>https://www.digikey.es/product-detail/en/microchip-technology/ATSAMD21G18A-MFT/ATSAMD21G18A-MFTCT-ND/5119077</t>
  </si>
  <si>
    <t>https://www.digikey.es/product-detail/en/maxim-integrated/MAX9062EUK-T/MAX9062EUK-TCT-ND/2234693</t>
  </si>
  <si>
    <t>https://www.digikey.es/product-detail/en/microchip-technology/MCP6071T-E-OT/MCP6071T-E-OTCT-ND/2618481</t>
  </si>
  <si>
    <t>https://www.digikey.es/product-detail/en/tdk-corporation/MMZ2012Y202BT000/445-1561-1-ND/571891</t>
  </si>
  <si>
    <t>https://www.digikey.es/product-detail/en/texas-instruments/SN74LVC1G19DBVR/296-16982-1-ND/654766</t>
  </si>
  <si>
    <t>https://www.digikey.es/product-detail/en/texas-instruments/TPS78230DDCR/296-24372-1-ND/2051750</t>
  </si>
  <si>
    <t>https://www.digikey.es/product-detail/en/texas-instruments/TS3USB221AQRSERQ1/296-27719-1-ND/2356140</t>
  </si>
  <si>
    <t>https://www.digikey.es/product-detail/en/c-k/KXT-311-LHS/CKN10777CT-ND/6599755</t>
  </si>
  <si>
    <t>https://www.mouser.es/ProductDetail/ECS/ECS-327-125-12RR-TR?qs=9r4v7xj2Lnlp2XtvX%2FZgxw%3D%3D</t>
  </si>
  <si>
    <t>SOT23-6</t>
  </si>
  <si>
    <t>SOT23-5</t>
  </si>
  <si>
    <t>10-UFQFN</t>
  </si>
  <si>
    <t>https://www.mouser.es/ProductDetail/Wurth-Elektronik/74437346022?qs=%2Fha2pyFadujVolTX%252B03gGnsqZWylp7wjQAac%252BMjkYmF1Lj4S%252BIF2ag%3D%3D</t>
  </si>
  <si>
    <t>8-PowerWDFN</t>
  </si>
  <si>
    <t>APA3010ZGC-GX</t>
  </si>
  <si>
    <t>NO</t>
  </si>
  <si>
    <t>8-PowerTDFN</t>
  </si>
  <si>
    <t>6-WFDFN</t>
  </si>
  <si>
    <t>https://www.digikey.es/product-detail/en/lumissil-microsystems/IS31FL3731-QFLS2-TR/706-1219-1-ND/4286442</t>
  </si>
  <si>
    <t>IS31FL3731-QFLS2-TR</t>
  </si>
  <si>
    <t>28-WFQFN Exposed Pad</t>
  </si>
  <si>
    <t>5 abr</t>
  </si>
  <si>
    <t>DGB</t>
  </si>
  <si>
    <t>Corrections</t>
  </si>
  <si>
    <t>BATT_PUSHBUTTON_BOOM</t>
  </si>
  <si>
    <t>BATT_BOM</t>
  </si>
  <si>
    <t>CPU</t>
  </si>
  <si>
    <t>DCDC</t>
  </si>
  <si>
    <t>DISPLAY</t>
  </si>
  <si>
    <t>INPUT</t>
  </si>
  <si>
    <t>PUSHBUTTON</t>
  </si>
  <si>
    <t>CHASIS</t>
  </si>
  <si>
    <t>BATTERY</t>
  </si>
  <si>
    <t>Total Qty</t>
  </si>
  <si>
    <t xml:space="preserve">1UF 25V X5R </t>
  </si>
  <si>
    <t xml:space="preserve">10UF 16V X5R </t>
  </si>
  <si>
    <t xml:space="preserve">2.2UF 25V X7R </t>
  </si>
  <si>
    <t xml:space="preserve">22PF 50V C0G/NP0 </t>
  </si>
  <si>
    <t xml:space="preserve">5k6 </t>
  </si>
  <si>
    <t>2k4</t>
  </si>
  <si>
    <t>8k2</t>
  </si>
  <si>
    <t>1k1</t>
  </si>
  <si>
    <t>R39, R40,R43,R38</t>
  </si>
  <si>
    <t>Pos</t>
  </si>
  <si>
    <t>Part Price</t>
  </si>
  <si>
    <t>Qty2</t>
  </si>
  <si>
    <t>Part3</t>
  </si>
  <si>
    <t>Pos4</t>
  </si>
  <si>
    <t>Qty5</t>
  </si>
  <si>
    <t>Part6</t>
  </si>
  <si>
    <t>Pos7</t>
  </si>
  <si>
    <t>Qty9</t>
  </si>
  <si>
    <t>Part10</t>
  </si>
  <si>
    <t>Pos11</t>
  </si>
  <si>
    <t>Qty12</t>
  </si>
  <si>
    <t>Part13</t>
  </si>
  <si>
    <t>Pos14</t>
  </si>
  <si>
    <t>Part Price2</t>
  </si>
  <si>
    <t>LED WHITE CLEAR</t>
  </si>
  <si>
    <t>Production Price  (€/Panel):</t>
  </si>
  <si>
    <t>Total Cost (€/Chasis):</t>
  </si>
  <si>
    <t>Chasis/Panel:</t>
  </si>
  <si>
    <t>Total Cost (€/Battery):</t>
  </si>
  <si>
    <t>Batteries/Panel:</t>
  </si>
  <si>
    <t>Links</t>
  </si>
  <si>
    <t>C1-3, C1-4, C1-5, C1-6, C1-7, C1-8,C2-3, C2-4, C2-5, C2-6, C2-7, C2-8, C2-9, C2-10, C2-11, C2-12, C2-13, C2-14, C3-3, C3-4, C3-5, C3-6, C3-7, C3-8, C3-9, C3-10, C3-11, C3-12, C3-13, C3-14, C4-3, C4-4, C4-5, C4-6, C4-7, C4-8, C4-9, C4-10, C4-11, C4-12, C4-13, C4-14, C5-3, C5-4, C5-5, C5-6, C5-7, C5-8, C5-9, C5-10, C5-11, C5-12, C5-13, C5-14, C6-3, C6-4, C6-5, C6-6, C6-7, C6-8, C6-9, C6-10, C6-11, C6-12, C6-13, C6-14, C7-3, C7-4, C7-5, C7-6, C7-7, C7-8, C7-9, C7-10, C7-11, C7-12, C7-13, C7-14,C8-3, C8-4, C8-5, C8-6, C8-7, C8-8, C8-9, C8-10, C8-11, C8-12, C8-13, C8-14</t>
  </si>
  <si>
    <t>CHIPLED_0402_NOOUTLINE</t>
  </si>
  <si>
    <t>https://www.tme.eu/es/details/rf-wu0402ds-dd-b/leds-smd-blancos/refond/</t>
  </si>
  <si>
    <t>C5-15,C4-15,C3-15,</t>
  </si>
  <si>
    <t>C1-2,C2-2,C3-2,C4-2,C5-2,C6-2,</t>
  </si>
  <si>
    <t>C8-2,C8-15,C7-15,C6-15,C2-15,C7-2</t>
  </si>
  <si>
    <t>https://eu.mouser.com/ProductDetail/Wurth-Elektronik/150040YS73240?qs=8Aam6%252B7C6HFi%252BY4Pboxj6w%3D%3D</t>
  </si>
  <si>
    <t>https://eu.mouser.com/ProductDetail/Wurth-Elektronik/150040RS73240?qs=8Aam6%252B7C6HGMiInmnlrBiw%3D%3D</t>
  </si>
  <si>
    <t>https://eu.mouser.com/ProductDetail/Wurth-Elektronik/150040VS73240?qs=8Aam6%252B7C6HEhyesRm%252BQyFQ%3D%3D</t>
  </si>
  <si>
    <t>LED YELLOW CLEAR</t>
  </si>
  <si>
    <t>LED RED CLEAR</t>
  </si>
  <si>
    <t>LED GREEN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</si>
</sst>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8" formatCode="_-* #,##0.00000\ &quot;€&quot;_-;\-* #,##0.00000\ &quot;€&quot;_-;_-* &quot;-&quot;??\ &quot;€&quot;_-;_-@_-"/>
  </numFmts>
  <fonts count="31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sz val="10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u/>
      <sz val="12"/>
      <color rgb="FF0563C1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333333"/>
      <name val="Arial"/>
      <family val="2"/>
    </font>
    <font>
      <sz val="9"/>
      <color rgb="FF444444"/>
      <name val="Arial"/>
      <family val="2"/>
    </font>
    <font>
      <sz val="8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Arial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0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CFE2F3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rgb="FFFFFF00"/>
      </patternFill>
    </fill>
    <fill>
      <patternFill patternType="solid">
        <fgColor rgb="FFFFC000"/>
        <bgColor rgb="FFCFE2F3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44" fontId="25" fillId="0" borderId="0" applyFont="0" applyFill="0" applyBorder="0" applyAlignment="0" applyProtection="0"/>
  </cellStyleXfs>
  <cellXfs count="15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1" xfId="0" applyFont="1" applyBorder="1"/>
    <xf numFmtId="0" fontId="10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wrapText="1"/>
    </xf>
    <xf numFmtId="0" fontId="0" fillId="0" borderId="0" xfId="0"/>
    <xf numFmtId="49" fontId="0" fillId="0" borderId="0" xfId="0" applyNumberFormat="1"/>
    <xf numFmtId="0" fontId="1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17" fillId="0" borderId="0" xfId="1"/>
    <xf numFmtId="0" fontId="18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5" fillId="5" borderId="6" xfId="0" applyFont="1" applyFill="1" applyBorder="1" applyAlignment="1">
      <alignment horizontal="center" vertical="center"/>
    </xf>
    <xf numFmtId="0" fontId="17" fillId="0" borderId="0" xfId="1" applyFill="1"/>
    <xf numFmtId="0" fontId="0" fillId="0" borderId="0" xfId="0" applyAlignment="1">
      <alignment horizontal="center"/>
    </xf>
    <xf numFmtId="0" fontId="5" fillId="5" borderId="6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0" borderId="0" xfId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7" fillId="0" borderId="0" xfId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1" fillId="6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6" fillId="7" borderId="0" xfId="0" applyFont="1" applyFill="1"/>
    <xf numFmtId="0" fontId="4" fillId="8" borderId="0" xfId="0" applyFont="1" applyFill="1" applyAlignment="1">
      <alignment horizontal="center"/>
    </xf>
    <xf numFmtId="0" fontId="0" fillId="8" borderId="0" xfId="0" applyFill="1"/>
    <xf numFmtId="0" fontId="6" fillId="8" borderId="0" xfId="0" applyFont="1" applyFill="1" applyAlignment="1">
      <alignment horizontal="left"/>
    </xf>
    <xf numFmtId="0" fontId="0" fillId="8" borderId="0" xfId="0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49" fontId="7" fillId="8" borderId="0" xfId="0" applyNumberFormat="1" applyFont="1" applyFill="1" applyAlignment="1">
      <alignment horizontal="left" vertical="center"/>
    </xf>
    <xf numFmtId="49" fontId="7" fillId="7" borderId="0" xfId="0" applyNumberFormat="1" applyFont="1" applyFill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1" fillId="0" borderId="5" xfId="0" applyFont="1" applyBorder="1"/>
    <xf numFmtId="0" fontId="7" fillId="0" borderId="0" xfId="0" applyNumberFormat="1" applyFont="1" applyAlignment="1">
      <alignment horizontal="center" vertical="center" wrapText="1"/>
    </xf>
    <xf numFmtId="0" fontId="7" fillId="0" borderId="0" xfId="0" applyNumberFormat="1" applyFont="1" applyAlignment="1"/>
    <xf numFmtId="0" fontId="5" fillId="5" borderId="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26" fillId="11" borderId="14" xfId="0" applyFont="1" applyFill="1" applyBorder="1" applyAlignment="1">
      <alignment horizontal="center" vertical="center" wrapText="1"/>
    </xf>
    <xf numFmtId="0" fontId="26" fillId="11" borderId="9" xfId="0" applyFont="1" applyFill="1" applyBorder="1" applyAlignment="1">
      <alignment horizontal="center" vertical="center" wrapText="1"/>
    </xf>
    <xf numFmtId="0" fontId="26" fillId="11" borderId="10" xfId="0" applyFont="1" applyFill="1" applyBorder="1" applyAlignment="1">
      <alignment horizontal="center" vertical="center" wrapText="1"/>
    </xf>
    <xf numFmtId="0" fontId="26" fillId="11" borderId="11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26" fillId="11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26" fillId="11" borderId="17" xfId="0" applyFont="1" applyFill="1" applyBorder="1" applyAlignment="1">
      <alignment horizontal="center" vertical="center" wrapText="1"/>
    </xf>
    <xf numFmtId="0" fontId="26" fillId="11" borderId="12" xfId="0" applyFont="1" applyFill="1" applyBorder="1" applyAlignment="1">
      <alignment horizontal="center" vertical="center" wrapText="1"/>
    </xf>
    <xf numFmtId="0" fontId="26" fillId="11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26" fillId="11" borderId="33" xfId="0" applyFont="1" applyFill="1" applyBorder="1" applyAlignment="1">
      <alignment horizontal="center" vertical="center" wrapText="1"/>
    </xf>
    <xf numFmtId="0" fontId="5" fillId="5" borderId="41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43" xfId="0" applyFont="1" applyFill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 wrapText="1"/>
    </xf>
    <xf numFmtId="0" fontId="5" fillId="5" borderId="45" xfId="0" applyFont="1" applyFill="1" applyBorder="1" applyAlignment="1">
      <alignment horizontal="center" vertical="center" wrapText="1"/>
    </xf>
    <xf numFmtId="0" fontId="5" fillId="5" borderId="49" xfId="0" applyFont="1" applyFill="1" applyBorder="1" applyAlignment="1">
      <alignment horizontal="center" vertical="center" wrapText="1"/>
    </xf>
    <xf numFmtId="0" fontId="2" fillId="10" borderId="46" xfId="0" applyFont="1" applyFill="1" applyBorder="1" applyAlignment="1">
      <alignment horizontal="right" vertical="center" wrapText="1"/>
    </xf>
    <xf numFmtId="0" fontId="2" fillId="10" borderId="47" xfId="0" applyFont="1" applyFill="1" applyBorder="1" applyAlignment="1">
      <alignment horizontal="right" vertical="center" wrapText="1"/>
    </xf>
    <xf numFmtId="0" fontId="2" fillId="10" borderId="50" xfId="0" applyFont="1" applyFill="1" applyBorder="1" applyAlignment="1">
      <alignment horizontal="right" vertical="center" wrapText="1"/>
    </xf>
    <xf numFmtId="0" fontId="2" fillId="10" borderId="24" xfId="0" applyFont="1" applyFill="1" applyBorder="1" applyAlignment="1">
      <alignment horizontal="right" vertical="center" wrapText="1"/>
    </xf>
    <xf numFmtId="0" fontId="2" fillId="10" borderId="47" xfId="0" applyFont="1" applyFill="1" applyBorder="1" applyAlignment="1">
      <alignment vertical="center" wrapText="1"/>
    </xf>
    <xf numFmtId="0" fontId="2" fillId="10" borderId="27" xfId="0" applyFont="1" applyFill="1" applyBorder="1" applyAlignment="1">
      <alignment horizontal="right" vertical="center" wrapText="1"/>
    </xf>
    <xf numFmtId="0" fontId="2" fillId="10" borderId="0" xfId="0" applyFont="1" applyFill="1" applyBorder="1" applyAlignment="1">
      <alignment horizontal="right" vertical="center" wrapText="1"/>
    </xf>
    <xf numFmtId="0" fontId="2" fillId="10" borderId="0" xfId="0" applyFont="1" applyFill="1" applyBorder="1" applyAlignment="1">
      <alignment vertical="center" wrapText="1"/>
    </xf>
    <xf numFmtId="0" fontId="26" fillId="11" borderId="51" xfId="0" applyFont="1" applyFill="1" applyBorder="1" applyAlignment="1">
      <alignment horizontal="center" vertical="center" wrapText="1"/>
    </xf>
    <xf numFmtId="0" fontId="5" fillId="5" borderId="52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8" fillId="10" borderId="46" xfId="0" applyFont="1" applyFill="1" applyBorder="1" applyAlignment="1">
      <alignment horizontal="center" vertical="center" wrapText="1"/>
    </xf>
    <xf numFmtId="0" fontId="28" fillId="10" borderId="32" xfId="0" applyFont="1" applyFill="1" applyBorder="1" applyAlignment="1">
      <alignment horizontal="center" vertical="center" wrapText="1"/>
    </xf>
    <xf numFmtId="0" fontId="28" fillId="10" borderId="29" xfId="0" applyFont="1" applyFill="1" applyBorder="1" applyAlignment="1">
      <alignment horizontal="center" vertical="center" wrapText="1"/>
    </xf>
    <xf numFmtId="0" fontId="28" fillId="10" borderId="31" xfId="0" applyFont="1" applyFill="1" applyBorder="1" applyAlignment="1">
      <alignment horizontal="center" vertical="center" wrapText="1"/>
    </xf>
    <xf numFmtId="0" fontId="28" fillId="10" borderId="47" xfId="0" applyFont="1" applyFill="1" applyBorder="1" applyAlignment="1">
      <alignment horizontal="right" vertical="center" wrapText="1"/>
    </xf>
    <xf numFmtId="0" fontId="28" fillId="10" borderId="47" xfId="0" applyFont="1" applyFill="1" applyBorder="1" applyAlignment="1">
      <alignment horizontal="center" vertical="center" wrapText="1"/>
    </xf>
    <xf numFmtId="0" fontId="28" fillId="10" borderId="0" xfId="0" applyFont="1" applyFill="1" applyBorder="1" applyAlignment="1">
      <alignment horizontal="center" vertical="center"/>
    </xf>
    <xf numFmtId="0" fontId="28" fillId="10" borderId="0" xfId="0" applyFont="1" applyFill="1" applyBorder="1" applyAlignment="1">
      <alignment horizontal="right" vertical="center" wrapText="1"/>
    </xf>
    <xf numFmtId="0" fontId="1" fillId="10" borderId="32" xfId="0" applyFont="1" applyFill="1" applyBorder="1" applyAlignment="1">
      <alignment horizontal="left" vertical="center" wrapText="1"/>
    </xf>
    <xf numFmtId="168" fontId="28" fillId="10" borderId="28" xfId="0" applyNumberFormat="1" applyFont="1" applyFill="1" applyBorder="1" applyAlignment="1">
      <alignment horizontal="left" vertical="center" wrapText="1"/>
    </xf>
    <xf numFmtId="0" fontId="1" fillId="10" borderId="47" xfId="0" applyFont="1" applyFill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44" fontId="29" fillId="0" borderId="27" xfId="0" applyNumberFormat="1" applyFont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8" fontId="0" fillId="0" borderId="0" xfId="2" applyNumberFormat="1" applyFont="1" applyBorder="1" applyAlignment="1">
      <alignment horizontal="center" vertical="center"/>
    </xf>
    <xf numFmtId="0" fontId="4" fillId="9" borderId="39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168" fontId="0" fillId="0" borderId="28" xfId="2" applyNumberFormat="1" applyFont="1" applyBorder="1" applyAlignment="1">
      <alignment horizontal="center" vertical="center"/>
    </xf>
    <xf numFmtId="0" fontId="4" fillId="9" borderId="34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68" fontId="4" fillId="0" borderId="7" xfId="2" applyNumberFormat="1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0" fontId="4" fillId="9" borderId="38" xfId="0" applyFont="1" applyFill="1" applyBorder="1" applyAlignment="1">
      <alignment horizontal="center" vertical="center"/>
    </xf>
    <xf numFmtId="0" fontId="4" fillId="9" borderId="53" xfId="0" applyFont="1" applyFill="1" applyBorder="1" applyAlignment="1">
      <alignment horizontal="center" vertical="center"/>
    </xf>
    <xf numFmtId="168" fontId="0" fillId="0" borderId="30" xfId="2" applyNumberFormat="1" applyFont="1" applyBorder="1" applyAlignment="1">
      <alignment horizontal="center" vertical="center"/>
    </xf>
    <xf numFmtId="168" fontId="4" fillId="0" borderId="0" xfId="2" applyNumberFormat="1" applyFont="1" applyBorder="1" applyAlignment="1">
      <alignment horizontal="center" vertical="center"/>
    </xf>
    <xf numFmtId="0" fontId="0" fillId="8" borderId="0" xfId="0" applyFill="1" applyAlignment="1">
      <alignment horizontal="center"/>
    </xf>
    <xf numFmtId="49" fontId="0" fillId="0" borderId="0" xfId="0" applyNumberFormat="1" applyFont="1" applyBorder="1" applyAlignment="1">
      <alignment horizontal="left" vertical="center"/>
    </xf>
    <xf numFmtId="168" fontId="7" fillId="0" borderId="0" xfId="2" applyNumberFormat="1" applyFont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 wrapText="1"/>
    </xf>
    <xf numFmtId="0" fontId="17" fillId="0" borderId="0" xfId="1" applyBorder="1" applyAlignment="1">
      <alignment vertical="center"/>
    </xf>
    <xf numFmtId="0" fontId="17" fillId="0" borderId="0" xfId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8" fontId="30" fillId="0" borderId="0" xfId="2" applyNumberFormat="1" applyFont="1" applyAlignment="1"/>
  </cellXfs>
  <cellStyles count="3">
    <cellStyle name="Hipervínculo" xfId="1" builtinId="8"/>
    <cellStyle name="Moneda" xfId="2" builtinId="4"/>
    <cellStyle name="Normal" xfId="0" builtinId="0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8" formatCode="_-* #,##0.00000\ &quot;€&quot;_-;\-* #,##0.00000\ &quot;€&quot;_-;_-* &quot;-&quot;??\ &quot;€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8" formatCode="_-* #,##0.00000\ &quot;€&quot;_-;\-* #,##0.00000\ &quot;€&quot;_-;_-* &quot;-&quot;??\ &quot;€&quot;_-;_-@_-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Rodriguez" id="{A5973D83-460E-4530-9356-2E2E51DBBE39}" userId="480fb1485f9504f8" providerId="Windows Live"/>
  <person displayName="DAVID REOZEN" id="{086153FD-7880-4B48-937A-F30F3818EA17}" userId="f4cb664426aae20e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3531D7-F5F2-46DC-9D88-6DA21F974E00}" name="Tabla8" displayName="Tabla8" ref="A5:X99" totalsRowShown="0" headerRowDxfId="40" dataDxfId="39" tableBorderDxfId="64">
  <autoFilter ref="A5:X99" xr:uid="{830B367F-8355-4DB7-A21E-F99270D31C80}"/>
  <sortState xmlns:xlrd2="http://schemas.microsoft.com/office/spreadsheetml/2017/richdata2" ref="A6:X99">
    <sortCondition ref="A5:A99"/>
  </sortState>
  <tableColumns count="24">
    <tableColumn id="1" xr3:uid="{DB0427FD-76DA-49BE-BE14-AFF003001EB5}" name="Position" dataDxfId="63"/>
    <tableColumn id="2" xr3:uid="{EB4B3DB4-AE8B-409B-88D5-B625E36A1A1A}" name="Total Qty" dataDxfId="62">
      <calculatedColumnFormula>SUM(H6,K6,N6,R6,U6)</calculatedColumnFormula>
    </tableColumn>
    <tableColumn id="3" xr3:uid="{CAB92212-2F8A-4423-858C-0C808BD199B0}" name="Value" dataDxfId="61"/>
    <tableColumn id="4" xr3:uid="{3A7E0D6D-7051-4239-ACA2-60E7DEBB0B2B}" name="Device" dataDxfId="60"/>
    <tableColumn id="5" xr3:uid="{AAB89DBD-9BAE-4693-B39E-69499C618E82}" name="Package" dataDxfId="59"/>
    <tableColumn id="6" xr3:uid="{48561B2F-641B-49A1-BA0D-D36578F9DE2E}" name="Unit Price" dataDxfId="58"/>
    <tableColumn id="24" xr3:uid="{F3DE6840-D10F-4D68-B003-B02D2831C0A0}" name="Links" dataDxfId="38"/>
    <tableColumn id="7" xr3:uid="{2EE4EEDD-4C8E-46A2-BE31-40A899983827}" name="Qty" dataDxfId="57">
      <calculatedColumnFormula>_xlfn.XLOOKUP(C6,Tabla13[Value],Tabla13[Qty],0)</calculatedColumnFormula>
    </tableColumn>
    <tableColumn id="8" xr3:uid="{66AB0180-3461-4698-8A6D-799C6D4B4BA8}" name="Part" dataDxfId="56">
      <calculatedColumnFormula>_xlfn.XLOOKUP(C6,Tabla13[Value],Tabla13[Part],"-")</calculatedColumnFormula>
    </tableColumn>
    <tableColumn id="9" xr3:uid="{83CBA93A-FF3C-46AC-B22C-58E646EB2FD7}" name="Pos" dataDxfId="55">
      <calculatedColumnFormula>_xlfn.XLOOKUP(C6,Tabla13[Value],Tabla13[Position],"-")</calculatedColumnFormula>
    </tableColumn>
    <tableColumn id="10" xr3:uid="{D91B0820-1E11-4700-9AB3-3E8FFD7C4C6E}" name="Qty2" dataDxfId="54">
      <calculatedColumnFormula>_xlfn.XLOOKUP(C6,Tabla1[Value],Tabla1[Qty],0)</calculatedColumnFormula>
    </tableColumn>
    <tableColumn id="11" xr3:uid="{45E616AA-E395-47DA-85DD-F4A3BFDDD90A}" name="Part3" dataDxfId="53">
      <calculatedColumnFormula>_xlfn.XLOOKUP(C6,Tabla1[Value],Tabla1[Part],"-")</calculatedColumnFormula>
    </tableColumn>
    <tableColumn id="12" xr3:uid="{F0FDC896-0B63-4C09-9E8F-0218B02CF2A7}" name="Pos4" dataDxfId="52">
      <calculatedColumnFormula>_xlfn.XLOOKUP(C6,Tabla1[Value],Tabla1[Position],"-")</calculatedColumnFormula>
    </tableColumn>
    <tableColumn id="13" xr3:uid="{A04AAE00-89D9-4F5C-8F78-09C194EAEC94}" name="Qty5" dataDxfId="51">
      <calculatedColumnFormula>_xlfn.XLOOKUP(C6,Tabla15[Value],Tabla15[Qty],0)</calculatedColumnFormula>
    </tableColumn>
    <tableColumn id="14" xr3:uid="{8D2DA20F-135D-4C48-8FCC-81FB8AF3AC0B}" name="Part6" dataDxfId="50">
      <calculatedColumnFormula>_xlfn.XLOOKUP(C6,Tabla15[Value],Tabla15[Part],"-")</calculatedColumnFormula>
    </tableColumn>
    <tableColumn id="15" xr3:uid="{2F347DF3-3618-459F-B97C-98D3BE688693}" name="Pos7" dataDxfId="49">
      <calculatedColumnFormula>_xlfn.XLOOKUP(C6,Tabla15[Value],Tabla15[Position],"-")</calculatedColumnFormula>
    </tableColumn>
    <tableColumn id="16" xr3:uid="{1B994A44-C987-45A2-99F2-C7C12F845145}" name="Part Price" dataDxfId="48" dataCellStyle="Moneda">
      <calculatedColumnFormula>SUM(H6,K6,N6)*F6</calculatedColumnFormula>
    </tableColumn>
    <tableColumn id="17" xr3:uid="{C99448D0-C053-46A3-9CD7-4ACAEDCCD315}" name="Qty9" dataDxfId="47">
      <calculatedColumnFormula>_xlfn.XLOOKUP(C6,Tabla14[Value],Tabla14[Qty],0)</calculatedColumnFormula>
    </tableColumn>
    <tableColumn id="18" xr3:uid="{46584F2B-94DF-4E0F-87F4-48F7371CD4A1}" name="Part10" dataDxfId="46">
      <calculatedColumnFormula>_xlfn.XLOOKUP(C6,Tabla14[Value],Tabla14[Part],"-")</calculatedColumnFormula>
    </tableColumn>
    <tableColumn id="19" xr3:uid="{C2E55804-5D33-4541-98E3-E7070C84E0F5}" name="Pos11" dataDxfId="45">
      <calculatedColumnFormula>_xlfn.XLOOKUP(C6,Tabla14[Value],Tabla14[Position],"-")</calculatedColumnFormula>
    </tableColumn>
    <tableColumn id="20" xr3:uid="{2E0C981D-58DA-4C32-A3B9-371C9E6FF325}" name="Qty12" dataDxfId="44">
      <calculatedColumnFormula>_xlfn.XLOOKUP(C6,Tabla156[Value],Tabla156[Qty],0)</calculatedColumnFormula>
    </tableColumn>
    <tableColumn id="21" xr3:uid="{3BFC987E-ADD1-4D3F-98F7-6E696CA2895F}" name="Part13" dataDxfId="43">
      <calculatedColumnFormula>_xlfn.XLOOKUP(C6,Tabla156[Value],Tabla156[Part],"-")</calculatedColumnFormula>
    </tableColumn>
    <tableColumn id="22" xr3:uid="{DE5840A0-7517-4123-B0C4-EC025F7E1558}" name="Pos14" dataDxfId="42">
      <calculatedColumnFormula>_xlfn.XLOOKUP(C6,Tabla156[Value],Tabla156[Position],"-")</calculatedColumnFormula>
    </tableColumn>
    <tableColumn id="23" xr3:uid="{E96CA001-0CE1-419D-AA77-F322D9C9EB7D}" name="Part Price2" dataDxfId="41" dataCellStyle="Moneda">
      <calculatedColumnFormula>(R6+U6)*F6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86A235-1ED1-4041-A415-08524B39A8D7}" name="Tabla13" displayName="Tabla13" ref="A6:J30" totalsRowCount="1" headerRowDxfId="113" headerRowBorderDxfId="112" tableBorderDxfId="111">
  <autoFilter ref="A6:J29" xr:uid="{B8E80DEB-148E-4503-A906-3C880CD2C89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5B44326-EFAF-4FB6-8E0C-D70A59C4D8F5}" name="Position" totalsRowLabel="Total" dataDxfId="110" totalsRowDxfId="37"/>
    <tableColumn id="2" xr3:uid="{717F17DB-9915-46A6-B401-5A1D47856D26}" name="Qty"/>
    <tableColumn id="3" xr3:uid="{44FE213C-BA81-44B6-BE7F-06A01F2CC9F4}" name="Part" dataDxfId="109"/>
    <tableColumn id="4" xr3:uid="{000120F8-65B2-4EB1-96A5-D589D91186E8}" name="Value" dataDxfId="108" totalsRowDxfId="36"/>
    <tableColumn id="5" xr3:uid="{97D6B9C9-1CE3-4610-A918-D7B58EF8C59C}" name="Device" dataDxfId="107" totalsRowDxfId="35"/>
    <tableColumn id="6" xr3:uid="{68B7262F-E5A7-483E-87AB-D6AADC1E4D84}" name="Package" dataDxfId="106"/>
    <tableColumn id="7" xr3:uid="{68B14086-5F32-4787-B138-AF489E2CE1DC}" name="Unit Price" dataDxfId="105"/>
    <tableColumn id="8" xr3:uid="{C7AEAB56-7F9C-46AD-9982-242EE49A06CD}" name="Extended Price" totalsRowFunction="sum" dataDxfId="104" totalsRowDxfId="34">
      <calculatedColumnFormula>Tabla13[[#This Row],[Unit Price]]*Tabla13[[#This Row],[Qty]]</calculatedColumnFormula>
    </tableColumn>
    <tableColumn id="9" xr3:uid="{5D63C40E-59C5-4CD6-B8C0-2EF80745C193}" name="Link" dataDxfId="32">
      <calculatedColumnFormula>_xlfn.XLOOKUP(Tabla13[[#This Row],[Value]],Tabla8[Value],Tabla8[Links],"-")</calculatedColumnFormula>
    </tableColumn>
    <tableColumn id="10" xr3:uid="{3B80E10E-989A-4F74-98B5-21CC7E39F0CC}" name="Assembly" dataDxfId="103" totalsRow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E7168D-4538-4CBF-9D21-9D510495294F}" name="Tabla1" displayName="Tabla1" ref="A6:J38" totalsRowCount="1" headerRowDxfId="102" headerRowBorderDxfId="101" tableBorderDxfId="100">
  <autoFilter ref="A6:J37" xr:uid="{9AA6EDC4-4135-4D71-A898-48E0B02C4E2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79358C61-1560-4B2F-B1E3-435E91195BF2}" name="Position" totalsRowLabel="Total" dataDxfId="99" totalsRowDxfId="31"/>
    <tableColumn id="2" xr3:uid="{F9949E0F-19BD-4C8A-81A5-50D265A9FDFA}" name="Qty"/>
    <tableColumn id="3" xr3:uid="{BDA29EB4-E3CA-4206-80CF-CAD4EA29913D}" name="Part"/>
    <tableColumn id="4" xr3:uid="{0DB767B6-3DB6-4A97-98F2-A1139750F871}" name="Value" dataDxfId="98" totalsRowDxfId="30"/>
    <tableColumn id="5" xr3:uid="{AC3030ED-4799-45DE-9A00-8BA86991D59D}" name="Device" dataDxfId="97" totalsRowDxfId="29"/>
    <tableColumn id="6" xr3:uid="{D5A79F64-E6B8-4454-A4BE-4987FC8A6A48}" name="Package"/>
    <tableColumn id="7" xr3:uid="{3542A26A-878B-42A3-B37E-EC7AE358151B}" name="Unit Price"/>
    <tableColumn id="8" xr3:uid="{A01990EA-2AFC-47EE-9034-BEB84755838D}" name="Extended Price" totalsRowFunction="sum" dataDxfId="96" totalsRowDxfId="28"/>
    <tableColumn id="9" xr3:uid="{2275646D-C17D-4D31-9443-013528001D75}" name="Link">
      <calculatedColumnFormula>_xlfn.XLOOKUP(Tabla1[[#This Row],[Value]],Tabla8[Value],Tabla8[Links],"-")</calculatedColumnFormula>
    </tableColumn>
    <tableColumn id="10" xr3:uid="{BF8984DA-733F-4068-8391-D3E538743399}" name="Assembly" dataDxfId="95" totalsRow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2C4AA8-161C-409E-B3F0-2C6197FB5362}" name="Tabla15" displayName="Tabla15" ref="A6:J16" totalsRowCount="1" headerRowDxfId="80" headerRowBorderDxfId="79" tableBorderDxfId="78">
  <autoFilter ref="A6:J15" xr:uid="{78F184F1-6B37-439E-AE94-1586AF04A6C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1FF0223-936A-4BB3-8B73-FA2F49B2C4CA}" name="Position" totalsRowLabel="Total" dataDxfId="9" totalsRowDxfId="4"/>
    <tableColumn id="2" xr3:uid="{0ACFFB10-A461-43D3-B8DD-016A5A02000F}" name="Qty"/>
    <tableColumn id="3" xr3:uid="{D9CC0685-081D-421D-B21B-04049460EC79}" name="Part"/>
    <tableColumn id="4" xr3:uid="{3BEF5E9C-2862-462C-B16F-7974EC5326CC}" name="Value" dataDxfId="8" totalsRowDxfId="3"/>
    <tableColumn id="5" xr3:uid="{1118E843-CF74-4F8A-8343-89C894BBD49D}" name="Device" dataDxfId="7" totalsRowDxfId="2"/>
    <tableColumn id="6" xr3:uid="{72354854-FE60-4704-BA84-EDEDFA1B4686}" name="Package"/>
    <tableColumn id="7" xr3:uid="{52B340D8-3E69-44F2-90EF-CBEA14B9F897}" name="Unit Price"/>
    <tableColumn id="8" xr3:uid="{4BD5671B-0E91-471B-BF51-3DB5F3C318A9}" name="Extended Price" totalsRowFunction="sum" dataDxfId="6" totalsRowDxfId="1">
      <calculatedColumnFormula>Tabla15[[#This Row],[Unit Price]]*Tabla15[[#This Row],[Qty]]</calculatedColumnFormula>
    </tableColumn>
    <tableColumn id="9" xr3:uid="{740DFE75-3464-4575-ABC8-41DC812CB4DE}" name="Link">
      <calculatedColumnFormula>_xlfn.XLOOKUP(Tabla15[[#This Row],[Value]],Tabla8[Value],Tabla8[Links],"-")</calculatedColumnFormula>
    </tableColumn>
    <tableColumn id="10" xr3:uid="{A0133A56-5799-4E8C-BD1F-57DD69F7A794}" name="Assembly" dataDxfId="5" totalsRow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6E8273-3B1C-42FB-AC0C-B89BCE9AA073}" name="Tabla14" displayName="Tabla14" ref="A6:J24" totalsRowCount="1" headerRowDxfId="94" dataDxfId="92" headerRowBorderDxfId="93" tableBorderDxfId="91">
  <autoFilter ref="A6:J23" xr:uid="{C3F8BB01-1B30-4388-B3E2-CBD9436AFC1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D0F83DE-3DC6-470D-851E-5FD5008FE7B3}" name="Position" totalsRowLabel="Total" dataDxfId="90" totalsRowDxfId="26"/>
    <tableColumn id="2" xr3:uid="{7CB023DF-79D3-403E-8DDF-06FA2F9F4157}" name="Qty" dataDxfId="89"/>
    <tableColumn id="3" xr3:uid="{F7A1D29B-F54A-4F7B-A6BE-D4C895047D2D}" name="Part" dataDxfId="88"/>
    <tableColumn id="4" xr3:uid="{5D713100-D5EC-46E0-AC69-D011A86BB52A}" name="Value" dataDxfId="87" totalsRowDxfId="25"/>
    <tableColumn id="5" xr3:uid="{A016C955-A0B3-4885-92EF-78DCFA405A2B}" name="Device" dataDxfId="86" totalsRowDxfId="24"/>
    <tableColumn id="6" xr3:uid="{5701D2E4-9465-4D5D-B056-A706AFADE292}" name="Package" dataDxfId="85"/>
    <tableColumn id="7" xr3:uid="{D9E35D86-9A2C-4238-B764-7D675C968D95}" name="Unit Price" dataDxfId="84"/>
    <tableColumn id="8" xr3:uid="{08EF5763-BE94-48C3-9062-FA084CA63617}" name="Extended Price" totalsRowFunction="sum" dataDxfId="83" totalsRowDxfId="23">
      <calculatedColumnFormula>Tabla14[[#This Row],[Qty]]*Tabla14[[#This Row],[Unit Price]]</calculatedColumnFormula>
    </tableColumn>
    <tableColumn id="9" xr3:uid="{F12DB839-28F0-4E50-B2D1-AAC561AFF780}" name="Link" dataDxfId="82">
      <calculatedColumnFormula>_xlfn.XLOOKUP(Tabla14[[#This Row],[Value]],Tabla8[Value],Tabla8[Links],"-")</calculatedColumnFormula>
    </tableColumn>
    <tableColumn id="10" xr3:uid="{4A0D0C70-9CB1-412A-80D5-FAC5A5E5D483}" name="Assembly" dataDxfId="81" totalsRow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BD210A-66F3-4122-94A9-D71FC1C716D1}" name="Tabla156" displayName="Tabla156" ref="A6:J13" totalsRowCount="1" headerRowDxfId="77" headerRowBorderDxfId="75" tableBorderDxfId="76">
  <autoFilter ref="A6:J12" xr:uid="{ED5F44B6-CA9E-4E4F-90C1-E6BAA06EF3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89B29DD-A02D-47C5-BC3E-7585FAEFD3F0}" name="Position" totalsRowLabel="Total" dataDxfId="74" totalsRowDxfId="69"/>
    <tableColumn id="2" xr3:uid="{9C749588-036E-4639-ACCF-D27938A3BC0F}" name="Qty"/>
    <tableColumn id="3" xr3:uid="{E633E588-9157-476C-8FDB-35C7F52B6791}" name="Part"/>
    <tableColumn id="4" xr3:uid="{2AB3AEB7-B19E-45B0-BBB0-13C7AB18C75B}" name="Value" dataDxfId="73" totalsRowDxfId="68"/>
    <tableColumn id="5" xr3:uid="{AEABBF31-3A9B-4B83-9E14-E5A2FAE45480}" name="Device" dataDxfId="72" totalsRowDxfId="67"/>
    <tableColumn id="6" xr3:uid="{3E2808C0-EFAA-450A-9C0E-D590BA636EF0}" name="Package"/>
    <tableColumn id="7" xr3:uid="{F4AD49BA-0ADD-4BE1-AAEE-4912BFAB14ED}" name="Unit Price"/>
    <tableColumn id="8" xr3:uid="{7E69F599-DD50-4B6A-8560-79E641D2779C}" name="Extended Price" totalsRowFunction="sum" dataDxfId="70" totalsRowDxfId="66">
      <calculatedColumnFormula>Tabla14[[#This Row],[Qty]]*Tabla14[[#This Row],[Unit Price]]</calculatedColumnFormula>
    </tableColumn>
    <tableColumn id="9" xr3:uid="{F61EDB96-48C8-4235-9EB9-8E6B6F9201D3}" name="Link"/>
    <tableColumn id="10" xr3:uid="{8C25E775-86D7-4CB1-B508-C6E536D1CB03}" name="Assembly" dataDxfId="71" totalsRowDxfId="6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1-04-05T16:16:17.88" personId="{086153FD-7880-4B48-937A-F30F3818EA17}" id="{1DF4110F-B81A-4B0C-82DC-5147202788F5}">
    <text>ojo, el seleccionado es 1206</text>
  </threadedComment>
  <threadedComment ref="E15" dT="2021-04-05T16:17:54.60" personId="{086153FD-7880-4B48-937A-F30F3818EA17}" id="{403BD958-DB56-4BD7-869D-5CEFF7302AF6}" parentId="{1DF4110F-B81A-4B0C-82DC-5147202788F5}">
    <text xml:space="preserve">comprueba si en 1210 es más barato y si es más habitual. tenemos que elegir el tamaño que mejor se ajuste a precio y disponibilidad
</text>
  </threadedComment>
  <threadedComment ref="E15" dT="2021-04-06T06:50:45.53" personId="{A5973D83-460E-4530-9356-2E2E51DBBE39}" id="{44FFCDD3-0BED-4187-ACAF-251AC8AE6909}" parentId="{1DF4110F-B81A-4B0C-82DC-5147202788F5}">
    <text>La seleccion se queda el de 1206 por cantidad y precio, pero se mantiene el footprint de 1210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0" dT="2021-04-05T16:16:17.88" personId="{086153FD-7880-4B48-937A-F30F3818EA17}" id="{106C86C7-2BF1-8047-A1DF-9662695C6B17}">
    <text>ojo, el seleccionado es 1206</text>
  </threadedComment>
  <threadedComment ref="F10" dT="2021-04-05T16:17:54.60" personId="{086153FD-7880-4B48-937A-F30F3818EA17}" id="{96157E0F-6919-A247-B45F-EFC38295275E}" parentId="{106C86C7-2BF1-8047-A1DF-9662695C6B17}">
    <text xml:space="preserve">comprueba si en 1210 es más barato y si es más habitual. tenemos que elegir el tamaño que mejor se ajuste a precio y disponibilidad
</text>
  </threadedComment>
  <threadedComment ref="F10" dT="2021-04-06T06:50:45.53" personId="{A5973D83-460E-4530-9356-2E2E51DBBE39}" id="{76B868C8-FAD3-4050-A35F-03B958528C91}" parentId="{106C86C7-2BF1-8047-A1DF-9662695C6B17}">
    <text>La seleccion se queda el de 1206 por cantidad y precio, pero se mantiene el footprint de 1210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es/product-detail/en/GRM32EC81C476KE15L/490-10531-2-ND/5027615/?itemSeq=358253695" TargetMode="External"/><Relationship Id="rId18" Type="http://schemas.openxmlformats.org/officeDocument/2006/relationships/hyperlink" Target="https://www.digikey.es/product-detail/en/2N7002PW%2c115/1727-4793-2-ND/2296328/?itemSeq=358257941" TargetMode="External"/><Relationship Id="rId26" Type="http://schemas.openxmlformats.org/officeDocument/2006/relationships/hyperlink" Target="https://www.digikey.es/product-detail/en/texas-instruments/BQ29700DSER/296-43985-1-ND/5973209" TargetMode="External"/><Relationship Id="rId3" Type="http://schemas.openxmlformats.org/officeDocument/2006/relationships/hyperlink" Target="https://www.digikey.es/product-detail/en/maxim-integrated/MAX9062EUK-T/MAX9062EUK-TCT-ND/2234693" TargetMode="External"/><Relationship Id="rId21" Type="http://schemas.openxmlformats.org/officeDocument/2006/relationships/hyperlink" Target="https://www.digikey.es/product-detail/en/texas-instruments/TPIC2810DR/296-46367-2-ND/1670586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s://www.digikey.es/product-detail/en/texas-instruments/TPS78230DDCR/296-24372-1-ND/2051750" TargetMode="External"/><Relationship Id="rId12" Type="http://schemas.openxmlformats.org/officeDocument/2006/relationships/hyperlink" Target="https://www.digikey.es/product-detail/en/C3216X5R1E476M160AC/445-8047-1-ND/2792164/?itemSeq=358252465" TargetMode="External"/><Relationship Id="rId17" Type="http://schemas.openxmlformats.org/officeDocument/2006/relationships/hyperlink" Target="https://www.digikey.es/product-detail/en/on-semiconductor/NVTFS9D6P04M8LTAG/488-NVTFS9D6P04M8LTAGCT-ND/11593208" TargetMode="External"/><Relationship Id="rId25" Type="http://schemas.openxmlformats.org/officeDocument/2006/relationships/hyperlink" Target="https://www.digikey.es/product-detail/en/texas-instruments/CSD16406Q3/296-24251-1-ND/2038321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www.digikey.es/product-detail/en/microchip-technology/ATSAMD21G18A-MFT/ATSAMD21G18A-MFTCT-ND/5119077" TargetMode="External"/><Relationship Id="rId16" Type="http://schemas.openxmlformats.org/officeDocument/2006/relationships/hyperlink" Target="https://www.digikey.es/product-detail/en/B520C-13-F/B520C-FDICT-ND/806565/?itemSeq=358257331" TargetMode="External"/><Relationship Id="rId20" Type="http://schemas.openxmlformats.org/officeDocument/2006/relationships/hyperlink" Target="https://www.digikey.es/product-detail/en/texas-instruments/TPS55330RTET/296-36219-2-ND/4212800" TargetMode="External"/><Relationship Id="rId29" Type="http://schemas.openxmlformats.org/officeDocument/2006/relationships/hyperlink" Target="https://eu.mouser.com/ProductDetail/Wurth-Elektronik/150040RS73240?qs=8Aam6%252B7C6HGMiInmnlrBiw%3D%3D" TargetMode="External"/><Relationship Id="rId1" Type="http://schemas.openxmlformats.org/officeDocument/2006/relationships/hyperlink" Target="https://www.digikey.es/product-detail/en/samsung-electro-mechanics/CL10B104KA8NNNC/1276-1006-1-ND/3889092" TargetMode="External"/><Relationship Id="rId6" Type="http://schemas.openxmlformats.org/officeDocument/2006/relationships/hyperlink" Target="https://www.digikey.es/product-detail/en/texas-instruments/SN74LVC1G19DBVR/296-16982-1-ND/654766" TargetMode="External"/><Relationship Id="rId11" Type="http://schemas.openxmlformats.org/officeDocument/2006/relationships/hyperlink" Target="https://www.digikey.es/product-detail/en/samsung-electro-mechanics/CL10B474KA8NFNC/1276-2082-1-ND/3890168" TargetMode="External"/><Relationship Id="rId24" Type="http://schemas.openxmlformats.org/officeDocument/2006/relationships/hyperlink" Target="https://www.digikey.es/product-detail/en/texas-instruments/BQ24075TRGTR/296-25609-1-ND/2202275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www.digikey.es/product-detail/en/tdk-corporation/MMZ2012Y202BT000/445-1561-1-ND/571891" TargetMode="External"/><Relationship Id="rId15" Type="http://schemas.openxmlformats.org/officeDocument/2006/relationships/hyperlink" Target="https://www.digikey.es/product-detail/en/CL10B222KB8NNNC/1276-1110-6-ND/3891624/?itemSeq=358255759" TargetMode="External"/><Relationship Id="rId23" Type="http://schemas.openxmlformats.org/officeDocument/2006/relationships/hyperlink" Target="https://www.digikey.es/product-detail/en/bourns-inc/70AAJ-4-M0G/70AAJ-4-M0GTR-ND/761020" TargetMode="External"/><Relationship Id="rId28" Type="http://schemas.openxmlformats.org/officeDocument/2006/relationships/hyperlink" Target="https://eu.mouser.com/ProductDetail/Wurth-Elektronik/150040YS73240?qs=8Aam6%252B7C6HFi%252BY4Pboxj6w%3D%3D" TargetMode="External"/><Relationship Id="rId10" Type="http://schemas.openxmlformats.org/officeDocument/2006/relationships/hyperlink" Target="https://www.digikey.es/product-detail/en/murata-electronics/PKMCS0909E4000-R1/490-9647-1-ND/4878401" TargetMode="External"/><Relationship Id="rId19" Type="http://schemas.openxmlformats.org/officeDocument/2006/relationships/hyperlink" Target="https://www.digikey.es/product-detail/en/MCP6071T-E%2fOT/MCP6071T-E%2fOTDKR-ND/2618488/?itemSeq=358258033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es/product-detail/en/microchip-technology/MCP6071T-E-OT/MCP6071T-E-OTCT-ND/2618481" TargetMode="External"/><Relationship Id="rId9" Type="http://schemas.openxmlformats.org/officeDocument/2006/relationships/hyperlink" Target="https://www.mouser.es/ProductDetail/ECS/ECS-327-125-12RR-TR?qs=9r4v7xj2Lnlp2XtvX%2FZgxw%3D%3D" TargetMode="External"/><Relationship Id="rId14" Type="http://schemas.openxmlformats.org/officeDocument/2006/relationships/hyperlink" Target="https://www.digikey.es/product-detail/en/CC0603KRX7R9BB271/311-1185-1-ND/372898/?itemSeq=358257069" TargetMode="External"/><Relationship Id="rId22" Type="http://schemas.openxmlformats.org/officeDocument/2006/relationships/hyperlink" Target="https://www.digikey.es/product-detail/en/samsung-electro-mechanics/CL21A106KOQNNNG/1276-6455-1-ND/5958083" TargetMode="External"/><Relationship Id="rId27" Type="http://schemas.openxmlformats.org/officeDocument/2006/relationships/hyperlink" Target="https://www.digikey.es/product-detail/en/jae-electronics/DX07S016JA1R1500/670-DX07S016JA1R1500CT-ND/11586676" TargetMode="External"/><Relationship Id="rId30" Type="http://schemas.openxmlformats.org/officeDocument/2006/relationships/hyperlink" Target="https://eu.mouser.com/ProductDetail/Wurth-Elektronik/150040VS73240?qs=8Aam6%252B7C6HEhyesRm%252BQyFQ%3D%3D" TargetMode="External"/><Relationship Id="rId35" Type="http://schemas.microsoft.com/office/2017/10/relationships/threadedComment" Target="../threadedComments/threadedComment1.xml"/><Relationship Id="rId8" Type="http://schemas.openxmlformats.org/officeDocument/2006/relationships/hyperlink" Target="https://www.digikey.es/product-detail/en/texas-instruments/TS3USB221AQRSERQ1/296-27719-1-ND/235614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CD7-F950-4523-A2B0-AAB354C31BA9}">
  <dimension ref="A1:AC99"/>
  <sheetViews>
    <sheetView tabSelected="1" topLeftCell="E1" zoomScale="85" zoomScaleNormal="85" workbookViewId="0">
      <selection activeCell="G25" sqref="G25"/>
    </sheetView>
  </sheetViews>
  <sheetFormatPr baseColWidth="10" defaultRowHeight="12.75" x14ac:dyDescent="0.2"/>
  <cols>
    <col min="1" max="1" width="12.85546875" bestFit="1" customWidth="1"/>
    <col min="2" max="2" width="13.7109375" bestFit="1" customWidth="1"/>
    <col min="3" max="3" width="28.5703125" bestFit="1" customWidth="1"/>
    <col min="4" max="4" width="20.28515625" bestFit="1" customWidth="1"/>
    <col min="5" max="5" width="25.5703125" bestFit="1" customWidth="1"/>
    <col min="6" max="6" width="14.42578125" bestFit="1" customWidth="1"/>
    <col min="7" max="7" width="146.140625" bestFit="1" customWidth="1"/>
    <col min="8" max="8" width="8.5703125" style="1" bestFit="1" customWidth="1"/>
    <col min="9" max="9" width="37" bestFit="1" customWidth="1"/>
    <col min="10" max="10" width="8.85546875" style="1" bestFit="1" customWidth="1"/>
    <col min="11" max="11" width="9.5703125" style="1" bestFit="1" customWidth="1"/>
    <col min="12" max="12" width="17.7109375" bestFit="1" customWidth="1"/>
    <col min="13" max="13" width="9.85546875" style="1" bestFit="1" customWidth="1"/>
    <col min="14" max="14" width="9.5703125" style="1" bestFit="1" customWidth="1"/>
    <col min="15" max="15" width="249.28515625" bestFit="1" customWidth="1"/>
    <col min="16" max="16" width="9.85546875" style="1" bestFit="1" customWidth="1"/>
    <col min="17" max="17" width="14.5703125" bestFit="1" customWidth="1"/>
    <col min="18" max="18" width="9.5703125" style="1" bestFit="1" customWidth="1"/>
    <col min="19" max="19" width="17.85546875" bestFit="1" customWidth="1"/>
    <col min="20" max="20" width="10.85546875" style="1" bestFit="1" customWidth="1"/>
    <col min="21" max="21" width="10.5703125" style="1" bestFit="1" customWidth="1"/>
    <col min="22" max="22" width="11.28515625" bestFit="1" customWidth="1"/>
    <col min="23" max="23" width="10.85546875" bestFit="1" customWidth="1"/>
    <col min="24" max="24" width="15.5703125" bestFit="1" customWidth="1"/>
    <col min="25" max="25" width="10.42578125" customWidth="1"/>
    <col min="26" max="26" width="11.140625" customWidth="1"/>
    <col min="27" max="27" width="13.28515625" customWidth="1"/>
    <col min="28" max="28" width="17.28515625" bestFit="1" customWidth="1"/>
    <col min="29" max="29" width="5.42578125" customWidth="1"/>
  </cols>
  <sheetData>
    <row r="1" spans="1:29" ht="13.5" thickBot="1" x14ac:dyDescent="0.25"/>
    <row r="2" spans="1:29" ht="27" x14ac:dyDescent="0.2">
      <c r="B2" s="106" t="s">
        <v>240</v>
      </c>
      <c r="C2" s="107"/>
      <c r="D2" s="108"/>
      <c r="H2" s="96" t="s">
        <v>246</v>
      </c>
      <c r="I2" s="97"/>
      <c r="J2" s="97"/>
      <c r="K2" s="97"/>
      <c r="L2" s="97"/>
      <c r="M2" s="100"/>
      <c r="N2" s="100"/>
      <c r="O2" s="117" t="s">
        <v>276</v>
      </c>
      <c r="P2" s="117"/>
      <c r="Q2" s="123">
        <v>1</v>
      </c>
      <c r="R2" s="96" t="s">
        <v>247</v>
      </c>
      <c r="S2" s="97"/>
      <c r="T2" s="97"/>
      <c r="U2" s="97"/>
      <c r="V2" s="118" t="s">
        <v>278</v>
      </c>
      <c r="W2" s="118"/>
      <c r="X2" s="121">
        <v>1</v>
      </c>
      <c r="Z2" s="113" t="s">
        <v>274</v>
      </c>
      <c r="AA2" s="114"/>
      <c r="AB2" s="125">
        <f>X3*X2+Q2*Q3</f>
        <v>22.418998000000002</v>
      </c>
      <c r="AC2" s="124"/>
    </row>
    <row r="3" spans="1:29" ht="27.75" thickBot="1" x14ac:dyDescent="0.25">
      <c r="B3" s="109"/>
      <c r="C3" s="110"/>
      <c r="D3" s="111"/>
      <c r="H3" s="101"/>
      <c r="I3" s="102"/>
      <c r="J3" s="102"/>
      <c r="K3" s="102"/>
      <c r="L3" s="102"/>
      <c r="M3" s="103"/>
      <c r="N3" s="103"/>
      <c r="O3" s="120" t="s">
        <v>275</v>
      </c>
      <c r="P3" s="120"/>
      <c r="Q3" s="122">
        <f>SUM(Q6:Q99)</f>
        <v>18.968258000000002</v>
      </c>
      <c r="R3" s="98"/>
      <c r="S3" s="99"/>
      <c r="T3" s="99"/>
      <c r="U3" s="99"/>
      <c r="V3" s="119" t="s">
        <v>277</v>
      </c>
      <c r="W3" s="119"/>
      <c r="X3" s="122">
        <f>SUM(X6:X99)</f>
        <v>3.4507399999999997</v>
      </c>
      <c r="Z3" s="115"/>
      <c r="AA3" s="116"/>
      <c r="AB3" s="125"/>
      <c r="AC3" s="124"/>
    </row>
    <row r="4" spans="1:29" ht="15.75" x14ac:dyDescent="0.2">
      <c r="H4" s="89" t="s">
        <v>241</v>
      </c>
      <c r="I4" s="84"/>
      <c r="J4" s="85"/>
      <c r="K4" s="76" t="s">
        <v>242</v>
      </c>
      <c r="L4" s="77"/>
      <c r="M4" s="78"/>
      <c r="N4" s="76" t="s">
        <v>243</v>
      </c>
      <c r="O4" s="77"/>
      <c r="P4" s="78"/>
      <c r="Q4" s="126"/>
      <c r="R4" s="104" t="s">
        <v>244</v>
      </c>
      <c r="S4" s="75"/>
      <c r="T4" s="80"/>
      <c r="U4" s="83" t="s">
        <v>245</v>
      </c>
      <c r="V4" s="84"/>
      <c r="W4" s="85"/>
      <c r="X4" s="126"/>
    </row>
    <row r="5" spans="1:29" x14ac:dyDescent="0.2">
      <c r="A5" s="127" t="s">
        <v>1</v>
      </c>
      <c r="B5" s="86" t="s">
        <v>248</v>
      </c>
      <c r="C5" s="86" t="s">
        <v>4</v>
      </c>
      <c r="D5" s="86" t="s">
        <v>5</v>
      </c>
      <c r="E5" s="86" t="s">
        <v>6</v>
      </c>
      <c r="F5" s="88" t="s">
        <v>118</v>
      </c>
      <c r="G5" s="68" t="s">
        <v>279</v>
      </c>
      <c r="H5" s="95" t="s">
        <v>2</v>
      </c>
      <c r="I5" s="91" t="s">
        <v>3</v>
      </c>
      <c r="J5" s="92" t="s">
        <v>258</v>
      </c>
      <c r="K5" s="90" t="s">
        <v>260</v>
      </c>
      <c r="L5" s="91" t="s">
        <v>261</v>
      </c>
      <c r="M5" s="93" t="s">
        <v>262</v>
      </c>
      <c r="N5" s="90" t="s">
        <v>263</v>
      </c>
      <c r="O5" s="94" t="s">
        <v>264</v>
      </c>
      <c r="P5" s="79" t="s">
        <v>265</v>
      </c>
      <c r="Q5" s="126" t="s">
        <v>259</v>
      </c>
      <c r="R5" s="105" t="s">
        <v>266</v>
      </c>
      <c r="S5" s="69" t="s">
        <v>267</v>
      </c>
      <c r="T5" s="82" t="s">
        <v>268</v>
      </c>
      <c r="U5" s="81" t="s">
        <v>269</v>
      </c>
      <c r="V5" s="70" t="s">
        <v>270</v>
      </c>
      <c r="W5" s="79" t="s">
        <v>271</v>
      </c>
      <c r="X5" s="126" t="s">
        <v>272</v>
      </c>
    </row>
    <row r="6" spans="1:29" x14ac:dyDescent="0.2">
      <c r="A6" s="128">
        <v>1</v>
      </c>
      <c r="B6" s="128">
        <f>SUM(H6,K6,N6,R6,U6)</f>
        <v>2</v>
      </c>
      <c r="C6" s="87" t="s">
        <v>252</v>
      </c>
      <c r="D6" s="87" t="s">
        <v>19</v>
      </c>
      <c r="E6" s="87" t="s">
        <v>96</v>
      </c>
      <c r="F6" s="129">
        <v>8.7600000000000004E-3</v>
      </c>
      <c r="G6" s="40" t="s">
        <v>214</v>
      </c>
      <c r="H6" s="130">
        <f>_xlfn.XLOOKUP(C6,Tabla13[Value],Tabla13[Qty],0)</f>
        <v>2</v>
      </c>
      <c r="I6" s="131" t="str">
        <f>_xlfn.XLOOKUP(C6,Tabla13[Value],Tabla13[Part],"-")</f>
        <v xml:space="preserve">C2, C4  </v>
      </c>
      <c r="J6" s="131">
        <f>_xlfn.XLOOKUP(C6,Tabla13[Value],Tabla13[Position],"-")</f>
        <v>5</v>
      </c>
      <c r="K6" s="132">
        <f>_xlfn.XLOOKUP(C6,Tabla1[Value],Tabla1[Qty],0)</f>
        <v>0</v>
      </c>
      <c r="L6" s="131" t="str">
        <f>_xlfn.XLOOKUP(C6,Tabla1[Value],Tabla1[Part],"-")</f>
        <v>-</v>
      </c>
      <c r="M6" s="133" t="str">
        <f>_xlfn.XLOOKUP(C6,Tabla1[Value],Tabla1[Position],"-")</f>
        <v>-</v>
      </c>
      <c r="N6" s="132">
        <f>_xlfn.XLOOKUP(C6,Tabla15[Value],Tabla15[Qty],0)</f>
        <v>0</v>
      </c>
      <c r="O6" s="131" t="str">
        <f>_xlfn.XLOOKUP(C6,Tabla15[Value],Tabla15[Part],"-")</f>
        <v>-</v>
      </c>
      <c r="P6" s="133" t="str">
        <f>_xlfn.XLOOKUP(C6,Tabla15[Value],Tabla15[Position],"-")</f>
        <v>-</v>
      </c>
      <c r="Q6" s="134">
        <f>SUM(H6,K6,N6)*F6</f>
        <v>1.7520000000000001E-2</v>
      </c>
      <c r="R6" s="135">
        <f>_xlfn.XLOOKUP(C6,Tabla14[Value],Tabla14[Qty],0)</f>
        <v>0</v>
      </c>
      <c r="S6" s="74" t="str">
        <f>_xlfn.XLOOKUP(C6,Tabla14[Value],Tabla14[Part],"-")</f>
        <v>-</v>
      </c>
      <c r="T6" s="133" t="str">
        <f>_xlfn.XLOOKUP(C6,Tabla14[Value],Tabla14[Position],"-")</f>
        <v>-</v>
      </c>
      <c r="U6" s="136">
        <f>_xlfn.XLOOKUP(C6,Tabla156[Value],Tabla156[Qty],0)</f>
        <v>0</v>
      </c>
      <c r="V6" s="74" t="str">
        <f>_xlfn.XLOOKUP(C6,Tabla156[Value],Tabla156[Part],"-")</f>
        <v>-</v>
      </c>
      <c r="W6" s="133" t="str">
        <f>_xlfn.XLOOKUP(C6,Tabla156[Value],Tabla156[Position],"-")</f>
        <v>-</v>
      </c>
      <c r="X6" s="129">
        <f>(R6+U6)*F6</f>
        <v>0</v>
      </c>
    </row>
    <row r="7" spans="1:29" x14ac:dyDescent="0.2">
      <c r="A7" s="128">
        <v>2</v>
      </c>
      <c r="B7" s="128">
        <f>SUM(H7,K7,N7,R7,U7)</f>
        <v>1</v>
      </c>
      <c r="C7" s="87" t="s">
        <v>72</v>
      </c>
      <c r="D7" s="87" t="s">
        <v>19</v>
      </c>
      <c r="E7" s="87" t="s">
        <v>96</v>
      </c>
      <c r="F7" s="129">
        <v>9.2800000000000001E-3</v>
      </c>
      <c r="G7" s="27" t="s">
        <v>110</v>
      </c>
      <c r="H7" s="135">
        <f>_xlfn.XLOOKUP(C7,Tabla13[Value],Tabla13[Qty],0)</f>
        <v>0</v>
      </c>
      <c r="I7" s="74" t="str">
        <f>_xlfn.XLOOKUP(C7,Tabla13[Value],Tabla13[Part],"-")</f>
        <v>-</v>
      </c>
      <c r="J7" s="74" t="str">
        <f>_xlfn.XLOOKUP(C7,Tabla13[Value],Tabla13[Position],"-")</f>
        <v>-</v>
      </c>
      <c r="K7" s="136">
        <f>_xlfn.XLOOKUP(C7,Tabla1[Value],Tabla1[Qty],0)</f>
        <v>1</v>
      </c>
      <c r="L7" s="74" t="str">
        <f>_xlfn.XLOOKUP(C7,Tabla1[Value],Tabla1[Part],"-")</f>
        <v>C22</v>
      </c>
      <c r="M7" s="137">
        <f>_xlfn.XLOOKUP(C7,Tabla1[Value],Tabla1[Position],"-")</f>
        <v>6</v>
      </c>
      <c r="N7" s="136">
        <f>_xlfn.XLOOKUP(C7,Tabla15[Value],Tabla15[Qty],0)</f>
        <v>0</v>
      </c>
      <c r="O7" s="74" t="str">
        <f>_xlfn.XLOOKUP(C7,Tabla15[Value],Tabla15[Part],"-")</f>
        <v>-</v>
      </c>
      <c r="P7" s="137" t="str">
        <f>_xlfn.XLOOKUP(C7,Tabla15[Value],Tabla15[Position],"-")</f>
        <v>-</v>
      </c>
      <c r="Q7" s="134">
        <f>SUM(H7,K7,N7)*F7</f>
        <v>9.2800000000000001E-3</v>
      </c>
      <c r="R7" s="135">
        <f>_xlfn.XLOOKUP(C7,Tabla14[Value],Tabla14[Qty],0)</f>
        <v>0</v>
      </c>
      <c r="S7" s="74" t="str">
        <f>_xlfn.XLOOKUP(C7,Tabla14[Value],Tabla14[Part],"-")</f>
        <v>-</v>
      </c>
      <c r="T7" s="133" t="str">
        <f>_xlfn.XLOOKUP(C7,Tabla14[Value],Tabla14[Position],"-")</f>
        <v>-</v>
      </c>
      <c r="U7" s="136">
        <f>_xlfn.XLOOKUP(C7,Tabla156[Value],Tabla156[Qty],0)</f>
        <v>0</v>
      </c>
      <c r="V7" s="74" t="str">
        <f>_xlfn.XLOOKUP(C7,Tabla156[Value],Tabla156[Part],"-")</f>
        <v>-</v>
      </c>
      <c r="W7" s="137" t="str">
        <f>_xlfn.XLOOKUP(C7,Tabla156[Value],Tabla156[Position],"-")</f>
        <v>-</v>
      </c>
      <c r="X7" s="129">
        <f>(R7+U7)*F7</f>
        <v>0</v>
      </c>
    </row>
    <row r="8" spans="1:29" x14ac:dyDescent="0.2">
      <c r="A8" s="128">
        <v>3</v>
      </c>
      <c r="B8" s="128">
        <f>SUM(H8,K8,N8,R8,U8)</f>
        <v>1</v>
      </c>
      <c r="C8" s="87" t="s">
        <v>67</v>
      </c>
      <c r="D8" s="87" t="s">
        <v>19</v>
      </c>
      <c r="E8" s="87" t="s">
        <v>96</v>
      </c>
      <c r="F8" s="129">
        <v>6.94E-3</v>
      </c>
      <c r="G8" s="27" t="s">
        <v>111</v>
      </c>
      <c r="H8" s="135">
        <f>_xlfn.XLOOKUP(C8,Tabla13[Value],Tabla13[Qty],0)</f>
        <v>0</v>
      </c>
      <c r="I8" s="74" t="str">
        <f>_xlfn.XLOOKUP(C8,Tabla13[Value],Tabla13[Part],"-")</f>
        <v>-</v>
      </c>
      <c r="J8" s="74" t="str">
        <f>_xlfn.XLOOKUP(C8,Tabla13[Value],Tabla13[Position],"-")</f>
        <v>-</v>
      </c>
      <c r="K8" s="136">
        <f>_xlfn.XLOOKUP(C8,Tabla1[Value],Tabla1[Qty],0)</f>
        <v>1</v>
      </c>
      <c r="L8" s="74" t="str">
        <f>_xlfn.XLOOKUP(C8,Tabla1[Value],Tabla1[Part],"-")</f>
        <v>C21</v>
      </c>
      <c r="M8" s="137">
        <f>_xlfn.XLOOKUP(C8,Tabla1[Value],Tabla1[Position],"-")</f>
        <v>5</v>
      </c>
      <c r="N8" s="136">
        <f>_xlfn.XLOOKUP(C8,Tabla15[Value],Tabla15[Qty],0)</f>
        <v>0</v>
      </c>
      <c r="O8" s="74" t="str">
        <f>_xlfn.XLOOKUP(C8,Tabla15[Value],Tabla15[Part],"-")</f>
        <v>-</v>
      </c>
      <c r="P8" s="137" t="str">
        <f>_xlfn.XLOOKUP(C8,Tabla15[Value],Tabla15[Position],"-")</f>
        <v>-</v>
      </c>
      <c r="Q8" s="134">
        <f>SUM(H8,K8,N8)*F8</f>
        <v>6.94E-3</v>
      </c>
      <c r="R8" s="135">
        <f>_xlfn.XLOOKUP(C8,Tabla14[Value],Tabla14[Qty],0)</f>
        <v>0</v>
      </c>
      <c r="S8" s="74" t="str">
        <f>_xlfn.XLOOKUP(C8,Tabla14[Value],Tabla14[Part],"-")</f>
        <v>-</v>
      </c>
      <c r="T8" s="133" t="str">
        <f>_xlfn.XLOOKUP(C8,Tabla14[Value],Tabla14[Position],"-")</f>
        <v>-</v>
      </c>
      <c r="U8" s="136">
        <f>_xlfn.XLOOKUP(C8,Tabla156[Value],Tabla156[Qty],0)</f>
        <v>0</v>
      </c>
      <c r="V8" s="74" t="str">
        <f>_xlfn.XLOOKUP(C8,Tabla156[Value],Tabla156[Part],"-")</f>
        <v>-</v>
      </c>
      <c r="W8" s="137" t="str">
        <f>_xlfn.XLOOKUP(C8,Tabla156[Value],Tabla156[Position],"-")</f>
        <v>-</v>
      </c>
      <c r="X8" s="129">
        <f>(R8+U8)*F8</f>
        <v>0</v>
      </c>
    </row>
    <row r="9" spans="1:29" x14ac:dyDescent="0.2">
      <c r="A9" s="128">
        <v>4</v>
      </c>
      <c r="B9" s="128">
        <f>SUM(H9,K9,N9,R9,U9)</f>
        <v>17</v>
      </c>
      <c r="C9" s="87" t="s">
        <v>102</v>
      </c>
      <c r="D9" s="87" t="s">
        <v>19</v>
      </c>
      <c r="E9" s="87" t="s">
        <v>96</v>
      </c>
      <c r="F9" s="129">
        <v>4.5700000000000003E-3</v>
      </c>
      <c r="G9" s="40" t="s">
        <v>101</v>
      </c>
      <c r="H9" s="135">
        <f>_xlfn.XLOOKUP(C9,Tabla13[Value],Tabla13[Qty],0)</f>
        <v>9</v>
      </c>
      <c r="I9" s="74" t="str">
        <f>_xlfn.XLOOKUP(C9,Tabla13[Value],Tabla13[Part],"-")</f>
        <v xml:space="preserve">C3, C5, C7, C9, C11, C13, C15, C18, C19 </v>
      </c>
      <c r="J9" s="74">
        <f>_xlfn.XLOOKUP(C9,Tabla13[Value],Tabla13[Position],"-")</f>
        <v>2</v>
      </c>
      <c r="K9" s="136">
        <f>_xlfn.XLOOKUP(C9,Tabla1[Value],Tabla1[Qty],0)</f>
        <v>3</v>
      </c>
      <c r="L9" s="74" t="str">
        <f>_xlfn.XLOOKUP(C9,Tabla1[Value],Tabla1[Part],"-")</f>
        <v>C1,C2, C24</v>
      </c>
      <c r="M9" s="137">
        <f>_xlfn.XLOOKUP(C9,Tabla1[Value],Tabla1[Position],"-")</f>
        <v>1</v>
      </c>
      <c r="N9" s="136">
        <f>_xlfn.XLOOKUP(C9,Tabla15[Value],Tabla15[Qty],0)</f>
        <v>3</v>
      </c>
      <c r="O9" s="74" t="str">
        <f>_xlfn.XLOOKUP(C9,Tabla15[Value],Tabla15[Part],"-")</f>
        <v>C2, C3, C5</v>
      </c>
      <c r="P9" s="137">
        <f>_xlfn.XLOOKUP(C9,Tabla15[Value],Tabla15[Position],"-")</f>
        <v>1</v>
      </c>
      <c r="Q9" s="134">
        <f>SUM(H9,K9,N9)*F9</f>
        <v>6.855E-2</v>
      </c>
      <c r="R9" s="135">
        <f>_xlfn.XLOOKUP(C9,Tabla14[Value],Tabla14[Qty],0)</f>
        <v>2</v>
      </c>
      <c r="S9" s="74" t="str">
        <f>_xlfn.XLOOKUP(C9,Tabla14[Value],Tabla14[Part],"-")</f>
        <v>C2,C5</v>
      </c>
      <c r="T9" s="133">
        <f>_xlfn.XLOOKUP(C9,Tabla14[Value],Tabla14[Position],"-")</f>
        <v>2</v>
      </c>
      <c r="U9" s="136">
        <f>_xlfn.XLOOKUP(C9,Tabla156[Value],Tabla156[Qty],0)</f>
        <v>0</v>
      </c>
      <c r="V9" s="74" t="str">
        <f>_xlfn.XLOOKUP(C9,Tabla156[Value],Tabla156[Part],"-")</f>
        <v>-</v>
      </c>
      <c r="W9" s="137" t="str">
        <f>_xlfn.XLOOKUP(C9,Tabla156[Value],Tabla156[Position],"-")</f>
        <v>-</v>
      </c>
      <c r="X9" s="129">
        <f>(R9+U9)*F9</f>
        <v>9.1400000000000006E-3</v>
      </c>
    </row>
    <row r="10" spans="1:29" x14ac:dyDescent="0.2">
      <c r="A10" s="128">
        <v>5</v>
      </c>
      <c r="B10" s="128">
        <f>SUM(H10,K10,N10,R10,U10)</f>
        <v>2</v>
      </c>
      <c r="C10" s="87" t="s">
        <v>104</v>
      </c>
      <c r="D10" s="87" t="s">
        <v>19</v>
      </c>
      <c r="E10" s="87" t="s">
        <v>96</v>
      </c>
      <c r="F10" s="129">
        <v>1.7390000000000001E-3</v>
      </c>
      <c r="G10" s="27" t="s">
        <v>103</v>
      </c>
      <c r="H10" s="135">
        <f>_xlfn.XLOOKUP(C10,Tabla13[Value],Tabla13[Qty],0)</f>
        <v>0</v>
      </c>
      <c r="I10" s="74" t="str">
        <f>_xlfn.XLOOKUP(C10,Tabla13[Value],Tabla13[Part],"-")</f>
        <v>-</v>
      </c>
      <c r="J10" s="74" t="str">
        <f>_xlfn.XLOOKUP(C10,Tabla13[Value],Tabla13[Position],"-")</f>
        <v>-</v>
      </c>
      <c r="K10" s="136">
        <f>_xlfn.XLOOKUP(C10,Tabla1[Value],Tabla1[Qty],0)</f>
        <v>2</v>
      </c>
      <c r="L10" s="74" t="str">
        <f>_xlfn.XLOOKUP(C10,Tabla1[Value],Tabla1[Part],"-")</f>
        <v>C10, C20</v>
      </c>
      <c r="M10" s="137">
        <f>_xlfn.XLOOKUP(C10,Tabla1[Value],Tabla1[Position],"-")</f>
        <v>2</v>
      </c>
      <c r="N10" s="136">
        <f>_xlfn.XLOOKUP(C10,Tabla15[Value],Tabla15[Qty],0)</f>
        <v>0</v>
      </c>
      <c r="O10" s="74" t="str">
        <f>_xlfn.XLOOKUP(C10,Tabla15[Value],Tabla15[Part],"-")</f>
        <v>-</v>
      </c>
      <c r="P10" s="137" t="str">
        <f>_xlfn.XLOOKUP(C10,Tabla15[Value],Tabla15[Position],"-")</f>
        <v>-</v>
      </c>
      <c r="Q10" s="134">
        <f>SUM(H10,K10,N10)*F10</f>
        <v>3.4780000000000002E-3</v>
      </c>
      <c r="R10" s="135">
        <f>_xlfn.XLOOKUP(C10,Tabla14[Value],Tabla14[Qty],0)</f>
        <v>0</v>
      </c>
      <c r="S10" s="74" t="str">
        <f>_xlfn.XLOOKUP(C10,Tabla14[Value],Tabla14[Part],"-")</f>
        <v>-</v>
      </c>
      <c r="T10" s="133" t="str">
        <f>_xlfn.XLOOKUP(C10,Tabla14[Value],Tabla14[Position],"-")</f>
        <v>-</v>
      </c>
      <c r="U10" s="136">
        <f>_xlfn.XLOOKUP(C10,Tabla156[Value],Tabla156[Qty],0)</f>
        <v>0</v>
      </c>
      <c r="V10" s="74" t="str">
        <f>_xlfn.XLOOKUP(C10,Tabla156[Value],Tabla156[Part],"-")</f>
        <v>-</v>
      </c>
      <c r="W10" s="137" t="str">
        <f>_xlfn.XLOOKUP(C10,Tabla156[Value],Tabla156[Position],"-")</f>
        <v>-</v>
      </c>
      <c r="X10" s="129">
        <f>(R10+U10)*F10</f>
        <v>0</v>
      </c>
    </row>
    <row r="11" spans="1:29" x14ac:dyDescent="0.2">
      <c r="A11" s="128">
        <v>6</v>
      </c>
      <c r="B11" s="128">
        <f>SUM(H11,K11,N11,R11,U11)</f>
        <v>3</v>
      </c>
      <c r="C11" s="87" t="s">
        <v>249</v>
      </c>
      <c r="D11" s="87" t="s">
        <v>19</v>
      </c>
      <c r="E11" s="87" t="s">
        <v>160</v>
      </c>
      <c r="F11" s="129">
        <v>7.1900000000000002E-3</v>
      </c>
      <c r="G11" s="40" t="s">
        <v>161</v>
      </c>
      <c r="H11" s="135">
        <f>_xlfn.XLOOKUP(C11,Tabla13[Value],Tabla13[Qty],0)</f>
        <v>2</v>
      </c>
      <c r="I11" s="74" t="str">
        <f>_xlfn.XLOOKUP(C11,Tabla13[Value],Tabla13[Part],"-")</f>
        <v xml:space="preserve">C16, C17 </v>
      </c>
      <c r="J11" s="74">
        <f>_xlfn.XLOOKUP(C11,Tabla13[Value],Tabla13[Position],"-")</f>
        <v>3</v>
      </c>
      <c r="K11" s="136">
        <f>_xlfn.XLOOKUP(C11,Tabla1[Value],Tabla1[Qty],0)</f>
        <v>0</v>
      </c>
      <c r="L11" s="74" t="str">
        <f>_xlfn.XLOOKUP(C11,Tabla1[Value],Tabla1[Part],"-")</f>
        <v>-</v>
      </c>
      <c r="M11" s="137" t="str">
        <f>_xlfn.XLOOKUP(C11,Tabla1[Value],Tabla1[Position],"-")</f>
        <v>-</v>
      </c>
      <c r="N11" s="136">
        <f>_xlfn.XLOOKUP(C11,Tabla15[Value],Tabla15[Qty],0)</f>
        <v>0</v>
      </c>
      <c r="O11" s="74" t="str">
        <f>_xlfn.XLOOKUP(C11,Tabla15[Value],Tabla15[Part],"-")</f>
        <v>-</v>
      </c>
      <c r="P11" s="137" t="str">
        <f>_xlfn.XLOOKUP(C11,Tabla15[Value],Tabla15[Position],"-")</f>
        <v>-</v>
      </c>
      <c r="Q11" s="134">
        <f>SUM(H11,K11,N11)*F11</f>
        <v>1.438E-2</v>
      </c>
      <c r="R11" s="135">
        <f>_xlfn.XLOOKUP(C11,Tabla14[Value],Tabla14[Qty],0)</f>
        <v>1</v>
      </c>
      <c r="S11" s="74" t="str">
        <f>_xlfn.XLOOKUP(C11,Tabla14[Value],Tabla14[Part],"-")</f>
        <v>C1</v>
      </c>
      <c r="T11" s="133">
        <f>_xlfn.XLOOKUP(C11,Tabla14[Value],Tabla14[Position],"-")</f>
        <v>1</v>
      </c>
      <c r="U11" s="136">
        <f>_xlfn.XLOOKUP(C11,Tabla156[Value],Tabla156[Qty],0)</f>
        <v>0</v>
      </c>
      <c r="V11" s="74" t="str">
        <f>_xlfn.XLOOKUP(C11,Tabla156[Value],Tabla156[Part],"-")</f>
        <v>-</v>
      </c>
      <c r="W11" s="137" t="str">
        <f>_xlfn.XLOOKUP(C11,Tabla156[Value],Tabla156[Position],"-")</f>
        <v>-</v>
      </c>
      <c r="X11" s="129">
        <f>(R11+U11)*F11</f>
        <v>7.1900000000000002E-3</v>
      </c>
    </row>
    <row r="12" spans="1:29" x14ac:dyDescent="0.2">
      <c r="A12" s="128">
        <v>7</v>
      </c>
      <c r="B12" s="128">
        <f>SUM(H12,K12,N12,R12,U12)</f>
        <v>6</v>
      </c>
      <c r="C12" s="87" t="s">
        <v>251</v>
      </c>
      <c r="D12" s="87" t="s">
        <v>19</v>
      </c>
      <c r="E12" s="87" t="s">
        <v>212</v>
      </c>
      <c r="F12" s="129">
        <v>3.526E-2</v>
      </c>
      <c r="G12" s="40" t="s">
        <v>213</v>
      </c>
      <c r="H12" s="135">
        <f>_xlfn.XLOOKUP(C12,Tabla13[Value],Tabla13[Qty],0)</f>
        <v>6</v>
      </c>
      <c r="I12" s="74" t="str">
        <f>_xlfn.XLOOKUP(C12,Tabla13[Value],Tabla13[Part],"-")</f>
        <v xml:space="preserve">C1, C14, C6, C8, C10, C12   </v>
      </c>
      <c r="J12" s="74">
        <f>_xlfn.XLOOKUP(C12,Tabla13[Value],Tabla13[Position],"-")</f>
        <v>4</v>
      </c>
      <c r="K12" s="136">
        <f>_xlfn.XLOOKUP(C12,Tabla1[Value],Tabla1[Qty],0)</f>
        <v>0</v>
      </c>
      <c r="L12" s="74" t="str">
        <f>_xlfn.XLOOKUP(C12,Tabla1[Value],Tabla1[Part],"-")</f>
        <v>-</v>
      </c>
      <c r="M12" s="137" t="str">
        <f>_xlfn.XLOOKUP(C12,Tabla1[Value],Tabla1[Position],"-")</f>
        <v>-</v>
      </c>
      <c r="N12" s="136">
        <f>_xlfn.XLOOKUP(C12,Tabla15[Value],Tabla15[Qty],0)</f>
        <v>0</v>
      </c>
      <c r="O12" s="74" t="str">
        <f>_xlfn.XLOOKUP(C12,Tabla15[Value],Tabla15[Part],"-")</f>
        <v>-</v>
      </c>
      <c r="P12" s="137" t="str">
        <f>_xlfn.XLOOKUP(C12,Tabla15[Value],Tabla15[Position],"-")</f>
        <v>-</v>
      </c>
      <c r="Q12" s="134">
        <f>SUM(H12,K12,N12)*F12</f>
        <v>0.21156</v>
      </c>
      <c r="R12" s="135">
        <f>_xlfn.XLOOKUP(C12,Tabla14[Value],Tabla14[Qty],0)</f>
        <v>0</v>
      </c>
      <c r="S12" s="74" t="str">
        <f>_xlfn.XLOOKUP(C12,Tabla14[Value],Tabla14[Part],"-")</f>
        <v>-</v>
      </c>
      <c r="T12" s="133" t="str">
        <f>_xlfn.XLOOKUP(C12,Tabla14[Value],Tabla14[Position],"-")</f>
        <v>-</v>
      </c>
      <c r="U12" s="136">
        <f>_xlfn.XLOOKUP(C12,Tabla156[Value],Tabla156[Qty],0)</f>
        <v>0</v>
      </c>
      <c r="V12" s="74" t="str">
        <f>_xlfn.XLOOKUP(C12,Tabla156[Value],Tabla156[Part],"-")</f>
        <v>-</v>
      </c>
      <c r="W12" s="137" t="str">
        <f>_xlfn.XLOOKUP(C12,Tabla156[Value],Tabla156[Position],"-")</f>
        <v>-</v>
      </c>
      <c r="X12" s="129">
        <f>(R12+U12)*F12</f>
        <v>0</v>
      </c>
    </row>
    <row r="13" spans="1:29" x14ac:dyDescent="0.2">
      <c r="A13" s="128">
        <v>8</v>
      </c>
      <c r="B13" s="128">
        <f>SUM(H13,K13,N13,R13,U13)</f>
        <v>4</v>
      </c>
      <c r="C13" s="87" t="s">
        <v>250</v>
      </c>
      <c r="D13" s="87" t="s">
        <v>19</v>
      </c>
      <c r="E13" s="87" t="s">
        <v>164</v>
      </c>
      <c r="F13" s="129">
        <v>1.677E-2</v>
      </c>
      <c r="G13" s="40" t="s">
        <v>165</v>
      </c>
      <c r="H13" s="135">
        <f>_xlfn.XLOOKUP(C13,Tabla13[Value],Tabla13[Qty],0)</f>
        <v>0</v>
      </c>
      <c r="I13" s="74" t="str">
        <f>_xlfn.XLOOKUP(C13,Tabla13[Value],Tabla13[Part],"-")</f>
        <v>-</v>
      </c>
      <c r="J13" s="74" t="str">
        <f>_xlfn.XLOOKUP(C13,Tabla13[Value],Tabla13[Position],"-")</f>
        <v>-</v>
      </c>
      <c r="K13" s="136">
        <f>_xlfn.XLOOKUP(C13,Tabla1[Value],Tabla1[Qty],0)</f>
        <v>0</v>
      </c>
      <c r="L13" s="74" t="str">
        <f>_xlfn.XLOOKUP(C13,Tabla1[Value],Tabla1[Part],"-")</f>
        <v>-</v>
      </c>
      <c r="M13" s="137" t="str">
        <f>_xlfn.XLOOKUP(C13,Tabla1[Value],Tabla1[Position],"-")</f>
        <v>-</v>
      </c>
      <c r="N13" s="136">
        <f>_xlfn.XLOOKUP(C13,Tabla15[Value],Tabla15[Qty],0)</f>
        <v>2</v>
      </c>
      <c r="O13" s="74" t="str">
        <f>_xlfn.XLOOKUP(C13,Tabla15[Value],Tabla15[Part],"-")</f>
        <v xml:space="preserve">C1, C4 </v>
      </c>
      <c r="P13" s="137">
        <f>_xlfn.XLOOKUP(C13,Tabla15[Value],Tabla15[Position],"-")</f>
        <v>2</v>
      </c>
      <c r="Q13" s="134">
        <f>SUM(H13,K13,N13)*F13</f>
        <v>3.354E-2</v>
      </c>
      <c r="R13" s="135">
        <f>_xlfn.XLOOKUP(C13,Tabla14[Value],Tabla14[Qty],0)</f>
        <v>2</v>
      </c>
      <c r="S13" s="74" t="str">
        <f>_xlfn.XLOOKUP(C13,Tabla14[Value],Tabla14[Part],"-")</f>
        <v>C3,C23</v>
      </c>
      <c r="T13" s="133">
        <f>_xlfn.XLOOKUP(C13,Tabla14[Value],Tabla14[Position],"-")</f>
        <v>3</v>
      </c>
      <c r="U13" s="136">
        <f>_xlfn.XLOOKUP(C13,Tabla156[Value],Tabla156[Qty],0)</f>
        <v>0</v>
      </c>
      <c r="V13" s="74" t="str">
        <f>_xlfn.XLOOKUP(C13,Tabla156[Value],Tabla156[Part],"-")</f>
        <v>-</v>
      </c>
      <c r="W13" s="137" t="str">
        <f>_xlfn.XLOOKUP(C13,Tabla156[Value],Tabla156[Position],"-")</f>
        <v>-</v>
      </c>
      <c r="X13" s="129">
        <f>(R13+U13)*F13</f>
        <v>3.354E-2</v>
      </c>
    </row>
    <row r="14" spans="1:29" x14ac:dyDescent="0.2">
      <c r="A14" s="128">
        <v>9</v>
      </c>
      <c r="B14" s="128">
        <f>SUM(H14,K14,N14,R14,U14)</f>
        <v>3</v>
      </c>
      <c r="C14" s="87" t="s">
        <v>109</v>
      </c>
      <c r="D14" s="87" t="s">
        <v>19</v>
      </c>
      <c r="E14" s="87" t="s">
        <v>40</v>
      </c>
      <c r="F14" s="129">
        <v>0.153</v>
      </c>
      <c r="G14" s="27" t="s">
        <v>108</v>
      </c>
      <c r="H14" s="135">
        <f>_xlfn.XLOOKUP(C14,Tabla13[Value],Tabla13[Qty],0)</f>
        <v>0</v>
      </c>
      <c r="I14" s="74" t="str">
        <f>_xlfn.XLOOKUP(C14,Tabla13[Value],Tabla13[Part],"-")</f>
        <v>-</v>
      </c>
      <c r="J14" s="74" t="str">
        <f>_xlfn.XLOOKUP(C14,Tabla13[Value],Tabla13[Position],"-")</f>
        <v>-</v>
      </c>
      <c r="K14" s="136">
        <f>_xlfn.XLOOKUP(C14,Tabla1[Value],Tabla1[Qty],0)</f>
        <v>3</v>
      </c>
      <c r="L14" s="74" t="str">
        <f>_xlfn.XLOOKUP(C14,Tabla1[Value],Tabla1[Part],"-")</f>
        <v>C11, C12, C15</v>
      </c>
      <c r="M14" s="137">
        <f>_xlfn.XLOOKUP(C14,Tabla1[Value],Tabla1[Position],"-")</f>
        <v>3</v>
      </c>
      <c r="N14" s="136">
        <f>_xlfn.XLOOKUP(C14,Tabla15[Value],Tabla15[Qty],0)</f>
        <v>0</v>
      </c>
      <c r="O14" s="74" t="str">
        <f>_xlfn.XLOOKUP(C14,Tabla15[Value],Tabla15[Part],"-")</f>
        <v>-</v>
      </c>
      <c r="P14" s="137" t="str">
        <f>_xlfn.XLOOKUP(C14,Tabla15[Value],Tabla15[Position],"-")</f>
        <v>-</v>
      </c>
      <c r="Q14" s="134">
        <f>SUM(H14,K14,N14)*F14</f>
        <v>0.45899999999999996</v>
      </c>
      <c r="R14" s="135">
        <f>_xlfn.XLOOKUP(C14,Tabla14[Value],Tabla14[Qty],0)</f>
        <v>0</v>
      </c>
      <c r="S14" s="74" t="str">
        <f>_xlfn.XLOOKUP(C14,Tabla14[Value],Tabla14[Part],"-")</f>
        <v>-</v>
      </c>
      <c r="T14" s="133" t="str">
        <f>_xlfn.XLOOKUP(C14,Tabla14[Value],Tabla14[Position],"-")</f>
        <v>-</v>
      </c>
      <c r="U14" s="136">
        <f>_xlfn.XLOOKUP(C14,Tabla156[Value],Tabla156[Qty],0)</f>
        <v>0</v>
      </c>
      <c r="V14" s="74" t="str">
        <f>_xlfn.XLOOKUP(C14,Tabla156[Value],Tabla156[Part],"-")</f>
        <v>-</v>
      </c>
      <c r="W14" s="137" t="str">
        <f>_xlfn.XLOOKUP(C14,Tabla156[Value],Tabla156[Position],"-")</f>
        <v>-</v>
      </c>
      <c r="X14" s="129">
        <f>(R14+U14)*F14</f>
        <v>0</v>
      </c>
    </row>
    <row r="15" spans="1:29" x14ac:dyDescent="0.2">
      <c r="A15" s="128">
        <v>10</v>
      </c>
      <c r="B15" s="128">
        <f>SUM(H15,K15,N15,R15,U15)</f>
        <v>4</v>
      </c>
      <c r="C15" s="87" t="s">
        <v>107</v>
      </c>
      <c r="D15" s="87" t="s">
        <v>19</v>
      </c>
      <c r="E15" s="87" t="s">
        <v>40</v>
      </c>
      <c r="F15" s="129">
        <v>0.36699999999999999</v>
      </c>
      <c r="G15" s="27" t="s">
        <v>106</v>
      </c>
      <c r="H15" s="135">
        <f>_xlfn.XLOOKUP(C15,Tabla13[Value],Tabla13[Qty],0)</f>
        <v>0</v>
      </c>
      <c r="I15" s="74" t="str">
        <f>_xlfn.XLOOKUP(C15,Tabla13[Value],Tabla13[Part],"-")</f>
        <v>-</v>
      </c>
      <c r="J15" s="74" t="str">
        <f>_xlfn.XLOOKUP(C15,Tabla13[Value],Tabla13[Position],"-")</f>
        <v>-</v>
      </c>
      <c r="K15" s="136">
        <f>_xlfn.XLOOKUP(C15,Tabla1[Value],Tabla1[Qty],0)</f>
        <v>4</v>
      </c>
      <c r="L15" s="74" t="str">
        <f>_xlfn.XLOOKUP(C15,Tabla1[Value],Tabla1[Part],"-")</f>
        <v>C16, C17, C18, C19</v>
      </c>
      <c r="M15" s="137">
        <f>_xlfn.XLOOKUP(C15,Tabla1[Value],Tabla1[Position],"-")</f>
        <v>4</v>
      </c>
      <c r="N15" s="136">
        <f>_xlfn.XLOOKUP(C15,Tabla15[Value],Tabla15[Qty],0)</f>
        <v>0</v>
      </c>
      <c r="O15" s="74" t="str">
        <f>_xlfn.XLOOKUP(C15,Tabla15[Value],Tabla15[Part],"-")</f>
        <v>-</v>
      </c>
      <c r="P15" s="137" t="str">
        <f>_xlfn.XLOOKUP(C15,Tabla15[Value],Tabla15[Position],"-")</f>
        <v>-</v>
      </c>
      <c r="Q15" s="134">
        <f>SUM(H15,K15,N15)*F15</f>
        <v>1.468</v>
      </c>
      <c r="R15" s="135">
        <f>_xlfn.XLOOKUP(C15,Tabla14[Value],Tabla14[Qty],0)</f>
        <v>0</v>
      </c>
      <c r="S15" s="74" t="str">
        <f>_xlfn.XLOOKUP(C15,Tabla14[Value],Tabla14[Part],"-")</f>
        <v>-</v>
      </c>
      <c r="T15" s="133" t="str">
        <f>_xlfn.XLOOKUP(C15,Tabla14[Value],Tabla14[Position],"-")</f>
        <v>-</v>
      </c>
      <c r="U15" s="136">
        <f>_xlfn.XLOOKUP(C15,Tabla156[Value],Tabla156[Qty],0)</f>
        <v>0</v>
      </c>
      <c r="V15" s="74" t="str">
        <f>_xlfn.XLOOKUP(C15,Tabla156[Value],Tabla156[Part],"-")</f>
        <v>-</v>
      </c>
      <c r="W15" s="137" t="str">
        <f>_xlfn.XLOOKUP(C15,Tabla156[Value],Tabla156[Position],"-")</f>
        <v>-</v>
      </c>
      <c r="X15" s="129">
        <f>(R15+U15)*F15</f>
        <v>0</v>
      </c>
    </row>
    <row r="16" spans="1:29" x14ac:dyDescent="0.2">
      <c r="A16" s="128">
        <v>11</v>
      </c>
      <c r="B16" s="128">
        <f>SUM(H16,K16,N16,R16,U16)</f>
        <v>1</v>
      </c>
      <c r="C16" s="87" t="s">
        <v>61</v>
      </c>
      <c r="D16" s="87" t="s">
        <v>25</v>
      </c>
      <c r="E16" s="87" t="s">
        <v>96</v>
      </c>
      <c r="F16" s="138">
        <v>5.5440000000000003E-2</v>
      </c>
      <c r="G16" s="146"/>
      <c r="H16" s="135">
        <f>_xlfn.XLOOKUP(C16,Tabla13[Value],Tabla13[Qty],0)</f>
        <v>0</v>
      </c>
      <c r="I16" s="74" t="str">
        <f>_xlfn.XLOOKUP(C16,Tabla13[Value],Tabla13[Part],"-")</f>
        <v>-</v>
      </c>
      <c r="J16" s="74" t="str">
        <f>_xlfn.XLOOKUP(C16,Tabla13[Value],Tabla13[Position],"-")</f>
        <v>-</v>
      </c>
      <c r="K16" s="136">
        <f>_xlfn.XLOOKUP(C16,Tabla1[Value],Tabla1[Qty],0)</f>
        <v>1</v>
      </c>
      <c r="L16" s="74" t="str">
        <f>_xlfn.XLOOKUP(C16,Tabla1[Value],Tabla1[Part],"-")</f>
        <v>RSENSE</v>
      </c>
      <c r="M16" s="137">
        <f>_xlfn.XLOOKUP(C16,Tabla1[Value],Tabla1[Position],"-")</f>
        <v>26</v>
      </c>
      <c r="N16" s="136">
        <f>_xlfn.XLOOKUP(C16,Tabla15[Value],Tabla15[Qty],0)</f>
        <v>0</v>
      </c>
      <c r="O16" s="74" t="str">
        <f>_xlfn.XLOOKUP(C16,Tabla15[Value],Tabla15[Part],"-")</f>
        <v>-</v>
      </c>
      <c r="P16" s="137" t="str">
        <f>_xlfn.XLOOKUP(C16,Tabla15[Value],Tabla15[Position],"-")</f>
        <v>-</v>
      </c>
      <c r="Q16" s="134">
        <f>SUM(H16,K16,N16)*F16</f>
        <v>5.5440000000000003E-2</v>
      </c>
      <c r="R16" s="135">
        <f>_xlfn.XLOOKUP(C16,Tabla14[Value],Tabla14[Qty],0)</f>
        <v>0</v>
      </c>
      <c r="S16" s="74" t="str">
        <f>_xlfn.XLOOKUP(C16,Tabla14[Value],Tabla14[Part],"-")</f>
        <v>-</v>
      </c>
      <c r="T16" s="133" t="str">
        <f>_xlfn.XLOOKUP(C16,Tabla14[Value],Tabla14[Position],"-")</f>
        <v>-</v>
      </c>
      <c r="U16" s="136">
        <f>_xlfn.XLOOKUP(C16,Tabla156[Value],Tabla156[Qty],0)</f>
        <v>0</v>
      </c>
      <c r="V16" s="74" t="str">
        <f>_xlfn.XLOOKUP(C16,Tabla156[Value],Tabla156[Part],"-")</f>
        <v>-</v>
      </c>
      <c r="W16" s="137" t="str">
        <f>_xlfn.XLOOKUP(C16,Tabla156[Value],Tabla156[Position],"-")</f>
        <v>-</v>
      </c>
      <c r="X16" s="129">
        <f>(R16+U16)*F16</f>
        <v>0</v>
      </c>
    </row>
    <row r="17" spans="1:24" x14ac:dyDescent="0.2">
      <c r="A17" s="128">
        <v>12</v>
      </c>
      <c r="B17" s="128">
        <f>SUM(H17,K17,N17,R17,U17)</f>
        <v>2</v>
      </c>
      <c r="C17" s="87">
        <v>33</v>
      </c>
      <c r="D17" s="87" t="s">
        <v>25</v>
      </c>
      <c r="E17" s="87" t="s">
        <v>97</v>
      </c>
      <c r="F17" s="129"/>
      <c r="G17" s="149" t="s">
        <v>120</v>
      </c>
      <c r="H17" s="135">
        <f>_xlfn.XLOOKUP(C17,Tabla13[Value],Tabla13[Qty],0)</f>
        <v>0</v>
      </c>
      <c r="I17" s="74" t="str">
        <f>_xlfn.XLOOKUP(C17,Tabla13[Value],Tabla13[Part],"-")</f>
        <v>-</v>
      </c>
      <c r="J17" s="74" t="str">
        <f>_xlfn.XLOOKUP(C17,Tabla13[Value],Tabla13[Position],"-")</f>
        <v>-</v>
      </c>
      <c r="K17" s="136">
        <f>_xlfn.XLOOKUP(C17,Tabla1[Value],Tabla1[Qty],0)</f>
        <v>2</v>
      </c>
      <c r="L17" s="74" t="str">
        <f>_xlfn.XLOOKUP(C17,Tabla1[Value],Tabla1[Part],"-")</f>
        <v>R5, R17</v>
      </c>
      <c r="M17" s="137">
        <f>_xlfn.XLOOKUP(C17,Tabla1[Value],Tabla1[Position],"-")</f>
        <v>21</v>
      </c>
      <c r="N17" s="136">
        <f>_xlfn.XLOOKUP(C17,Tabla15[Value],Tabla15[Qty],0)</f>
        <v>0</v>
      </c>
      <c r="O17" s="74" t="str">
        <f>_xlfn.XLOOKUP(C17,Tabla15[Value],Tabla15[Part],"-")</f>
        <v>-</v>
      </c>
      <c r="P17" s="137" t="str">
        <f>_xlfn.XLOOKUP(C17,Tabla15[Value],Tabla15[Position],"-")</f>
        <v>-</v>
      </c>
      <c r="Q17" s="134">
        <f>SUM(H17,K17,N17)*F17</f>
        <v>0</v>
      </c>
      <c r="R17" s="135">
        <f>_xlfn.XLOOKUP(C17,Tabla14[Value],Tabla14[Qty],0)</f>
        <v>0</v>
      </c>
      <c r="S17" s="74" t="str">
        <f>_xlfn.XLOOKUP(C17,Tabla14[Value],Tabla14[Part],"-")</f>
        <v>-</v>
      </c>
      <c r="T17" s="133" t="str">
        <f>_xlfn.XLOOKUP(C17,Tabla14[Value],Tabla14[Position],"-")</f>
        <v>-</v>
      </c>
      <c r="U17" s="136">
        <f>_xlfn.XLOOKUP(C17,Tabla156[Value],Tabla156[Qty],0)</f>
        <v>0</v>
      </c>
      <c r="V17" s="74" t="str">
        <f>_xlfn.XLOOKUP(C17,Tabla156[Value],Tabla156[Part],"-")</f>
        <v>-</v>
      </c>
      <c r="W17" s="137" t="str">
        <f>_xlfn.XLOOKUP(C17,Tabla156[Value],Tabla156[Position],"-")</f>
        <v>-</v>
      </c>
      <c r="X17" s="129">
        <f>(R17+U17)*F17</f>
        <v>0</v>
      </c>
    </row>
    <row r="18" spans="1:24" x14ac:dyDescent="0.2">
      <c r="A18" s="128">
        <v>13</v>
      </c>
      <c r="B18" s="128">
        <f>SUM(H18,K18,N18,R18,U18)</f>
        <v>2</v>
      </c>
      <c r="C18" s="87" t="s">
        <v>132</v>
      </c>
      <c r="D18" s="87" t="s">
        <v>25</v>
      </c>
      <c r="E18" s="87" t="s">
        <v>97</v>
      </c>
      <c r="F18" s="129"/>
      <c r="G18" s="44" t="s">
        <v>120</v>
      </c>
      <c r="H18" s="135">
        <f>_xlfn.XLOOKUP(C18,Tabla13[Value],Tabla13[Qty],0)</f>
        <v>2</v>
      </c>
      <c r="I18" s="74" t="str">
        <f>_xlfn.XLOOKUP(C18,Tabla13[Value],Tabla13[Part],"-")</f>
        <v>R3, R4</v>
      </c>
      <c r="J18" s="74">
        <f>_xlfn.XLOOKUP(C18,Tabla13[Value],Tabla13[Position],"-")</f>
        <v>9</v>
      </c>
      <c r="K18" s="136">
        <f>_xlfn.XLOOKUP(C18,Tabla1[Value],Tabla1[Qty],0)</f>
        <v>0</v>
      </c>
      <c r="L18" s="74" t="str">
        <f>_xlfn.XLOOKUP(C18,Tabla1[Value],Tabla1[Part],"-")</f>
        <v>-</v>
      </c>
      <c r="M18" s="137" t="str">
        <f>_xlfn.XLOOKUP(C18,Tabla1[Value],Tabla1[Position],"-")</f>
        <v>-</v>
      </c>
      <c r="N18" s="136">
        <f>_xlfn.XLOOKUP(C18,Tabla15[Value],Tabla15[Qty],0)</f>
        <v>0</v>
      </c>
      <c r="O18" s="74" t="str">
        <f>_xlfn.XLOOKUP(C18,Tabla15[Value],Tabla15[Part],"-")</f>
        <v>-</v>
      </c>
      <c r="P18" s="137" t="str">
        <f>_xlfn.XLOOKUP(C18,Tabla15[Value],Tabla15[Position],"-")</f>
        <v>-</v>
      </c>
      <c r="Q18" s="134">
        <f>SUM(H18,K18,N18)*F18</f>
        <v>0</v>
      </c>
      <c r="R18" s="135">
        <f>_xlfn.XLOOKUP(C18,Tabla14[Value],Tabla14[Qty],0)</f>
        <v>0</v>
      </c>
      <c r="S18" s="74" t="str">
        <f>_xlfn.XLOOKUP(C18,Tabla14[Value],Tabla14[Part],"-")</f>
        <v>-</v>
      </c>
      <c r="T18" s="133" t="str">
        <f>_xlfn.XLOOKUP(C18,Tabla14[Value],Tabla14[Position],"-")</f>
        <v>-</v>
      </c>
      <c r="U18" s="136">
        <f>_xlfn.XLOOKUP(C18,Tabla156[Value],Tabla156[Qty],0)</f>
        <v>0</v>
      </c>
      <c r="V18" s="74" t="str">
        <f>_xlfn.XLOOKUP(C18,Tabla156[Value],Tabla156[Part],"-")</f>
        <v>-</v>
      </c>
      <c r="W18" s="137" t="str">
        <f>_xlfn.XLOOKUP(C18,Tabla156[Value],Tabla156[Position],"-")</f>
        <v>-</v>
      </c>
      <c r="X18" s="129">
        <f>(R18+U18)*F18</f>
        <v>0</v>
      </c>
    </row>
    <row r="19" spans="1:24" x14ac:dyDescent="0.2">
      <c r="A19" s="128">
        <v>14</v>
      </c>
      <c r="B19" s="128">
        <f>SUM(H19,K19,N19,R19,U19)</f>
        <v>1</v>
      </c>
      <c r="C19" s="87">
        <v>220</v>
      </c>
      <c r="D19" s="87" t="s">
        <v>25</v>
      </c>
      <c r="E19" s="87" t="s">
        <v>174</v>
      </c>
      <c r="F19" s="129"/>
      <c r="G19" s="149" t="s">
        <v>120</v>
      </c>
      <c r="H19" s="135">
        <f>_xlfn.XLOOKUP(C19,Tabla13[Value],Tabla13[Qty],0)</f>
        <v>0</v>
      </c>
      <c r="I19" s="74" t="str">
        <f>_xlfn.XLOOKUP(C19,Tabla13[Value],Tabla13[Part],"-")</f>
        <v>-</v>
      </c>
      <c r="J19" s="74" t="str">
        <f>_xlfn.XLOOKUP(C19,Tabla13[Value],Tabla13[Position],"-")</f>
        <v>-</v>
      </c>
      <c r="K19" s="136">
        <f>_xlfn.XLOOKUP(C19,Tabla1[Value],Tabla1[Qty],0)</f>
        <v>0</v>
      </c>
      <c r="L19" s="74" t="str">
        <f>_xlfn.XLOOKUP(C19,Tabla1[Value],Tabla1[Part],"-")</f>
        <v>-</v>
      </c>
      <c r="M19" s="137" t="str">
        <f>_xlfn.XLOOKUP(C19,Tabla1[Value],Tabla1[Position],"-")</f>
        <v>-</v>
      </c>
      <c r="N19" s="136">
        <f>_xlfn.XLOOKUP(C19,Tabla15[Value],Tabla15[Qty],0)</f>
        <v>0</v>
      </c>
      <c r="O19" s="74" t="str">
        <f>_xlfn.XLOOKUP(C19,Tabla15[Value],Tabla15[Part],"-")</f>
        <v>-</v>
      </c>
      <c r="P19" s="137" t="str">
        <f>_xlfn.XLOOKUP(C19,Tabla15[Value],Tabla15[Position],"-")</f>
        <v>-</v>
      </c>
      <c r="Q19" s="134">
        <f>SUM(H19,K19,N19)*F19</f>
        <v>0</v>
      </c>
      <c r="R19" s="135">
        <f>_xlfn.XLOOKUP(C19,Tabla14[Value],Tabla14[Qty],0)</f>
        <v>1</v>
      </c>
      <c r="S19" s="74" t="str">
        <f>_xlfn.XLOOKUP(C19,Tabla14[Value],Tabla14[Part],"-")</f>
        <v>R2</v>
      </c>
      <c r="T19" s="133">
        <f>_xlfn.XLOOKUP(C19,Tabla14[Value],Tabla14[Position],"-")</f>
        <v>8</v>
      </c>
      <c r="U19" s="136">
        <f>_xlfn.XLOOKUP(C19,Tabla156[Value],Tabla156[Qty],0)</f>
        <v>0</v>
      </c>
      <c r="V19" s="74" t="str">
        <f>_xlfn.XLOOKUP(C19,Tabla156[Value],Tabla156[Part],"-")</f>
        <v>-</v>
      </c>
      <c r="W19" s="137" t="str">
        <f>_xlfn.XLOOKUP(C19,Tabla156[Value],Tabla156[Position],"-")</f>
        <v>-</v>
      </c>
      <c r="X19" s="129">
        <f>(R19+U19)*F19</f>
        <v>0</v>
      </c>
    </row>
    <row r="20" spans="1:24" x14ac:dyDescent="0.2">
      <c r="A20" s="128">
        <v>15</v>
      </c>
      <c r="B20" s="128">
        <f>SUM(H20,K20,N20,R20,U20)</f>
        <v>2</v>
      </c>
      <c r="C20" s="87">
        <v>330</v>
      </c>
      <c r="D20" s="87" t="s">
        <v>25</v>
      </c>
      <c r="E20" s="87" t="s">
        <v>97</v>
      </c>
      <c r="F20" s="129"/>
      <c r="G20" s="48" t="s">
        <v>120</v>
      </c>
      <c r="H20" s="135">
        <f>_xlfn.XLOOKUP(C20,Tabla13[Value],Tabla13[Qty],0)</f>
        <v>1</v>
      </c>
      <c r="I20" s="74" t="str">
        <f>_xlfn.XLOOKUP(C20,Tabla13[Value],Tabla13[Part],"-")</f>
        <v>R45</v>
      </c>
      <c r="J20" s="74">
        <f>_xlfn.XLOOKUP(C20,Tabla13[Value],Tabla13[Position],"-")</f>
        <v>12</v>
      </c>
      <c r="K20" s="136">
        <f>_xlfn.XLOOKUP(C20,Tabla1[Value],Tabla1[Qty],0)</f>
        <v>0</v>
      </c>
      <c r="L20" s="74" t="str">
        <f>_xlfn.XLOOKUP(C20,Tabla1[Value],Tabla1[Part],"-")</f>
        <v>-</v>
      </c>
      <c r="M20" s="137" t="str">
        <f>_xlfn.XLOOKUP(C20,Tabla1[Value],Tabla1[Position],"-")</f>
        <v>-</v>
      </c>
      <c r="N20" s="136">
        <f>_xlfn.XLOOKUP(C20,Tabla15[Value],Tabla15[Qty],0)</f>
        <v>0</v>
      </c>
      <c r="O20" s="74" t="str">
        <f>_xlfn.XLOOKUP(C20,Tabla15[Value],Tabla15[Part],"-")</f>
        <v>-</v>
      </c>
      <c r="P20" s="137" t="str">
        <f>_xlfn.XLOOKUP(C20,Tabla15[Value],Tabla15[Position],"-")</f>
        <v>-</v>
      </c>
      <c r="Q20" s="134">
        <f>SUM(H20,K20,N20)*F20</f>
        <v>0</v>
      </c>
      <c r="R20" s="135">
        <f>_xlfn.XLOOKUP(C20,Tabla14[Value],Tabla14[Qty],0)</f>
        <v>1</v>
      </c>
      <c r="S20" s="74" t="str">
        <f>_xlfn.XLOOKUP(C20,Tabla14[Value],Tabla14[Part],"-")</f>
        <v>R20</v>
      </c>
      <c r="T20" s="133">
        <f>_xlfn.XLOOKUP(C20,Tabla14[Value],Tabla14[Position],"-")</f>
        <v>10</v>
      </c>
      <c r="U20" s="136">
        <f>_xlfn.XLOOKUP(C20,Tabla156[Value],Tabla156[Qty],0)</f>
        <v>0</v>
      </c>
      <c r="V20" s="74" t="str">
        <f>_xlfn.XLOOKUP(C20,Tabla156[Value],Tabla156[Part],"-")</f>
        <v>-</v>
      </c>
      <c r="W20" s="137" t="str">
        <f>_xlfn.XLOOKUP(C20,Tabla156[Value],Tabla156[Position],"-")</f>
        <v>-</v>
      </c>
      <c r="X20" s="129">
        <f>(R20+U20)*F20</f>
        <v>0</v>
      </c>
    </row>
    <row r="21" spans="1:24" x14ac:dyDescent="0.2">
      <c r="A21" s="128">
        <v>16</v>
      </c>
      <c r="B21" s="128">
        <f>SUM(H21,K21,N21,R21,U21)</f>
        <v>1</v>
      </c>
      <c r="C21" s="87">
        <v>590</v>
      </c>
      <c r="D21" s="87" t="s">
        <v>25</v>
      </c>
      <c r="E21" s="87" t="s">
        <v>174</v>
      </c>
      <c r="F21" s="129"/>
      <c r="G21" s="149" t="s">
        <v>120</v>
      </c>
      <c r="H21" s="135">
        <f>_xlfn.XLOOKUP(C21,Tabla13[Value],Tabla13[Qty],0)</f>
        <v>0</v>
      </c>
      <c r="I21" s="74" t="str">
        <f>_xlfn.XLOOKUP(C21,Tabla13[Value],Tabla13[Part],"-")</f>
        <v>-</v>
      </c>
      <c r="J21" s="74" t="str">
        <f>_xlfn.XLOOKUP(C21,Tabla13[Value],Tabla13[Position],"-")</f>
        <v>-</v>
      </c>
      <c r="K21" s="136">
        <f>_xlfn.XLOOKUP(C21,Tabla1[Value],Tabla1[Qty],0)</f>
        <v>0</v>
      </c>
      <c r="L21" s="74" t="str">
        <f>_xlfn.XLOOKUP(C21,Tabla1[Value],Tabla1[Part],"-")</f>
        <v>-</v>
      </c>
      <c r="M21" s="137" t="str">
        <f>_xlfn.XLOOKUP(C21,Tabla1[Value],Tabla1[Position],"-")</f>
        <v>-</v>
      </c>
      <c r="N21" s="136">
        <f>_xlfn.XLOOKUP(C21,Tabla15[Value],Tabla15[Qty],0)</f>
        <v>0</v>
      </c>
      <c r="O21" s="74" t="str">
        <f>_xlfn.XLOOKUP(C21,Tabla15[Value],Tabla15[Part],"-")</f>
        <v>-</v>
      </c>
      <c r="P21" s="137" t="str">
        <f>_xlfn.XLOOKUP(C21,Tabla15[Value],Tabla15[Position],"-")</f>
        <v>-</v>
      </c>
      <c r="Q21" s="134">
        <f>SUM(H21,K21,N21)*F21</f>
        <v>0</v>
      </c>
      <c r="R21" s="135">
        <f>_xlfn.XLOOKUP(C21,Tabla14[Value],Tabla14[Qty],0)</f>
        <v>1</v>
      </c>
      <c r="S21" s="74" t="str">
        <f>_xlfn.XLOOKUP(C21,Tabla14[Value],Tabla14[Part],"-")</f>
        <v>R3</v>
      </c>
      <c r="T21" s="133">
        <f>_xlfn.XLOOKUP(C21,Tabla14[Value],Tabla14[Position],"-")</f>
        <v>12</v>
      </c>
      <c r="U21" s="136">
        <f>_xlfn.XLOOKUP(C21,Tabla156[Value],Tabla156[Qty],0)</f>
        <v>0</v>
      </c>
      <c r="V21" s="74" t="str">
        <f>_xlfn.XLOOKUP(C21,Tabla156[Value],Tabla156[Part],"-")</f>
        <v>-</v>
      </c>
      <c r="W21" s="137" t="str">
        <f>_xlfn.XLOOKUP(C21,Tabla156[Value],Tabla156[Position],"-")</f>
        <v>-</v>
      </c>
      <c r="X21" s="129">
        <f>(R21+U21)*F21</f>
        <v>0</v>
      </c>
    </row>
    <row r="22" spans="1:24" x14ac:dyDescent="0.2">
      <c r="A22" s="128">
        <v>17</v>
      </c>
      <c r="B22" s="128">
        <f>SUM(H22,K22,N22,R22,U22)</f>
        <v>2</v>
      </c>
      <c r="C22" s="87" t="s">
        <v>30</v>
      </c>
      <c r="D22" s="87" t="s">
        <v>25</v>
      </c>
      <c r="E22" s="87" t="s">
        <v>174</v>
      </c>
      <c r="F22" s="129"/>
      <c r="G22" s="149" t="s">
        <v>120</v>
      </c>
      <c r="H22" s="135">
        <f>_xlfn.XLOOKUP(C22,Tabla13[Value],Tabla13[Qty],0)</f>
        <v>0</v>
      </c>
      <c r="I22" s="74" t="str">
        <f>_xlfn.XLOOKUP(C22,Tabla13[Value],Tabla13[Part],"-")</f>
        <v>-</v>
      </c>
      <c r="J22" s="74" t="str">
        <f>_xlfn.XLOOKUP(C22,Tabla13[Value],Tabla13[Position],"-")</f>
        <v>-</v>
      </c>
      <c r="K22" s="136">
        <f>_xlfn.XLOOKUP(C22,Tabla1[Value],Tabla1[Qty],0)</f>
        <v>1</v>
      </c>
      <c r="L22" s="74" t="str">
        <f>_xlfn.XLOOKUP(C22,Tabla1[Value],Tabla1[Part],"-")</f>
        <v>R12</v>
      </c>
      <c r="M22" s="137">
        <f>_xlfn.XLOOKUP(C22,Tabla1[Value],Tabla1[Position],"-")</f>
        <v>15</v>
      </c>
      <c r="N22" s="136">
        <f>_xlfn.XLOOKUP(C22,Tabla15[Value],Tabla15[Qty],0)</f>
        <v>0</v>
      </c>
      <c r="O22" s="74" t="str">
        <f>_xlfn.XLOOKUP(C22,Tabla15[Value],Tabla15[Part],"-")</f>
        <v>-</v>
      </c>
      <c r="P22" s="137" t="str">
        <f>_xlfn.XLOOKUP(C22,Tabla15[Value],Tabla15[Position],"-")</f>
        <v>-</v>
      </c>
      <c r="Q22" s="134">
        <f>SUM(H22,K22,N22)*F22</f>
        <v>0</v>
      </c>
      <c r="R22" s="135">
        <f>_xlfn.XLOOKUP(C22,Tabla14[Value],Tabla14[Qty],0)</f>
        <v>1</v>
      </c>
      <c r="S22" s="74" t="str">
        <f>_xlfn.XLOOKUP(C22,Tabla14[Value],Tabla14[Part],"-")</f>
        <v>R5</v>
      </c>
      <c r="T22" s="133">
        <f>_xlfn.XLOOKUP(C22,Tabla14[Value],Tabla14[Position],"-")</f>
        <v>6</v>
      </c>
      <c r="U22" s="136">
        <f>_xlfn.XLOOKUP(C22,Tabla156[Value],Tabla156[Qty],0)</f>
        <v>0</v>
      </c>
      <c r="V22" s="74" t="str">
        <f>_xlfn.XLOOKUP(C22,Tabla156[Value],Tabla156[Part],"-")</f>
        <v>-</v>
      </c>
      <c r="W22" s="137" t="str">
        <f>_xlfn.XLOOKUP(C22,Tabla156[Value],Tabla156[Position],"-")</f>
        <v>-</v>
      </c>
      <c r="X22" s="129">
        <f>(R22+U22)*F22</f>
        <v>0</v>
      </c>
    </row>
    <row r="23" spans="1:24" x14ac:dyDescent="0.2">
      <c r="A23" s="128">
        <v>18</v>
      </c>
      <c r="B23" s="128">
        <f>SUM(H23,K23,N23,R23,U23)</f>
        <v>1</v>
      </c>
      <c r="C23" s="87" t="s">
        <v>256</v>
      </c>
      <c r="D23" s="87" t="s">
        <v>25</v>
      </c>
      <c r="E23" s="87" t="s">
        <v>174</v>
      </c>
      <c r="F23" s="129"/>
      <c r="G23" s="149" t="s">
        <v>120</v>
      </c>
      <c r="H23" s="135">
        <f>_xlfn.XLOOKUP(C23,Tabla13[Value],Tabla13[Qty],0)</f>
        <v>0</v>
      </c>
      <c r="I23" s="74" t="str">
        <f>_xlfn.XLOOKUP(C23,Tabla13[Value],Tabla13[Part],"-")</f>
        <v>-</v>
      </c>
      <c r="J23" s="74" t="str">
        <f>_xlfn.XLOOKUP(C23,Tabla13[Value],Tabla13[Position],"-")</f>
        <v>-</v>
      </c>
      <c r="K23" s="136">
        <f>_xlfn.XLOOKUP(C23,Tabla1[Value],Tabla1[Qty],0)</f>
        <v>0</v>
      </c>
      <c r="L23" s="74" t="str">
        <f>_xlfn.XLOOKUP(C23,Tabla1[Value],Tabla1[Part],"-")</f>
        <v>-</v>
      </c>
      <c r="M23" s="137" t="str">
        <f>_xlfn.XLOOKUP(C23,Tabla1[Value],Tabla1[Position],"-")</f>
        <v>-</v>
      </c>
      <c r="N23" s="136">
        <f>_xlfn.XLOOKUP(C23,Tabla15[Value],Tabla15[Qty],0)</f>
        <v>0</v>
      </c>
      <c r="O23" s="74" t="str">
        <f>_xlfn.XLOOKUP(C23,Tabla15[Value],Tabla15[Part],"-")</f>
        <v>-</v>
      </c>
      <c r="P23" s="137" t="str">
        <f>_xlfn.XLOOKUP(C23,Tabla15[Value],Tabla15[Position],"-")</f>
        <v>-</v>
      </c>
      <c r="Q23" s="134">
        <f>SUM(H23,K23,N23)*F23</f>
        <v>0</v>
      </c>
      <c r="R23" s="135">
        <f>_xlfn.XLOOKUP(C23,Tabla14[Value],Tabla14[Qty],0)</f>
        <v>1</v>
      </c>
      <c r="S23" s="74" t="str">
        <f>_xlfn.XLOOKUP(C23,Tabla14[Value],Tabla14[Part],"-")</f>
        <v>R1</v>
      </c>
      <c r="T23" s="133">
        <f>_xlfn.XLOOKUP(C23,Tabla14[Value],Tabla14[Position],"-")</f>
        <v>7</v>
      </c>
      <c r="U23" s="136">
        <f>_xlfn.XLOOKUP(C23,Tabla156[Value],Tabla156[Qty],0)</f>
        <v>0</v>
      </c>
      <c r="V23" s="74" t="str">
        <f>_xlfn.XLOOKUP(C23,Tabla156[Value],Tabla156[Part],"-")</f>
        <v>-</v>
      </c>
      <c r="W23" s="137" t="str">
        <f>_xlfn.XLOOKUP(C23,Tabla156[Value],Tabla156[Position],"-")</f>
        <v>-</v>
      </c>
      <c r="X23" s="129">
        <f>(R23+U23)*F23</f>
        <v>0</v>
      </c>
    </row>
    <row r="24" spans="1:24" x14ac:dyDescent="0.2">
      <c r="A24" s="128">
        <v>19</v>
      </c>
      <c r="B24" s="128">
        <f>SUM(H24,K24,N24,R24,U24)</f>
        <v>3</v>
      </c>
      <c r="C24" s="87" t="s">
        <v>136</v>
      </c>
      <c r="D24" s="87" t="s">
        <v>25</v>
      </c>
      <c r="E24" s="87" t="s">
        <v>174</v>
      </c>
      <c r="F24" s="129"/>
      <c r="G24" s="44" t="s">
        <v>120</v>
      </c>
      <c r="H24" s="135">
        <f>_xlfn.XLOOKUP(C24,Tabla13[Value],Tabla13[Qty],0)</f>
        <v>2</v>
      </c>
      <c r="I24" s="74" t="str">
        <f>_xlfn.XLOOKUP(C24,Tabla13[Value],Tabla13[Part],"-")</f>
        <v>R1, R2</v>
      </c>
      <c r="J24" s="74">
        <f>_xlfn.XLOOKUP(C24,Tabla13[Value],Tabla13[Position],"-")</f>
        <v>11</v>
      </c>
      <c r="K24" s="136">
        <f>_xlfn.XLOOKUP(C24,Tabla1[Value],Tabla1[Qty],0)</f>
        <v>0</v>
      </c>
      <c r="L24" s="74" t="str">
        <f>_xlfn.XLOOKUP(C24,Tabla1[Value],Tabla1[Part],"-")</f>
        <v>-</v>
      </c>
      <c r="M24" s="137" t="str">
        <f>_xlfn.XLOOKUP(C24,Tabla1[Value],Tabla1[Position],"-")</f>
        <v>-</v>
      </c>
      <c r="N24" s="136">
        <f>_xlfn.XLOOKUP(C24,Tabla15[Value],Tabla15[Qty],0)</f>
        <v>0</v>
      </c>
      <c r="O24" s="74" t="str">
        <f>_xlfn.XLOOKUP(C24,Tabla15[Value],Tabla15[Part],"-")</f>
        <v>-</v>
      </c>
      <c r="P24" s="137" t="str">
        <f>_xlfn.XLOOKUP(C24,Tabla15[Value],Tabla15[Position],"-")</f>
        <v>-</v>
      </c>
      <c r="Q24" s="134">
        <f>SUM(H24,K24,N24)*F24</f>
        <v>0</v>
      </c>
      <c r="R24" s="135">
        <f>_xlfn.XLOOKUP(C24,Tabla14[Value],Tabla14[Qty],0)</f>
        <v>1</v>
      </c>
      <c r="S24" s="74" t="str">
        <f>_xlfn.XLOOKUP(C24,Tabla14[Value],Tabla14[Part],"-")</f>
        <v>R4</v>
      </c>
      <c r="T24" s="133">
        <f>_xlfn.XLOOKUP(C24,Tabla14[Value],Tabla14[Position],"-")</f>
        <v>9</v>
      </c>
      <c r="U24" s="136">
        <f>_xlfn.XLOOKUP(C24,Tabla156[Value],Tabla156[Qty],0)</f>
        <v>0</v>
      </c>
      <c r="V24" s="74" t="str">
        <f>_xlfn.XLOOKUP(C24,Tabla156[Value],Tabla156[Part],"-")</f>
        <v>-</v>
      </c>
      <c r="W24" s="137" t="str">
        <f>_xlfn.XLOOKUP(C24,Tabla156[Value],Tabla156[Position],"-")</f>
        <v>-</v>
      </c>
      <c r="X24" s="129">
        <f>(R24+U24)*F24</f>
        <v>0</v>
      </c>
    </row>
    <row r="25" spans="1:24" x14ac:dyDescent="0.2">
      <c r="A25" s="128">
        <v>20</v>
      </c>
      <c r="B25" s="128">
        <f>SUM(H25,K25,N25,R25,U25)</f>
        <v>2</v>
      </c>
      <c r="C25" s="87" t="s">
        <v>254</v>
      </c>
      <c r="D25" s="87" t="s">
        <v>25</v>
      </c>
      <c r="E25" s="87" t="s">
        <v>97</v>
      </c>
      <c r="F25" s="129"/>
      <c r="G25" s="48" t="s">
        <v>120</v>
      </c>
      <c r="H25" s="135">
        <f>_xlfn.XLOOKUP(C25,Tabla13[Value],Tabla13[Qty],0)</f>
        <v>2</v>
      </c>
      <c r="I25" s="74" t="str">
        <f>_xlfn.XLOOKUP(C25,Tabla13[Value],Tabla13[Part],"-")</f>
        <v xml:space="preserve">R12, R15 </v>
      </c>
      <c r="J25" s="74">
        <f>_xlfn.XLOOKUP(C25,Tabla13[Value],Tabla13[Position],"-")</f>
        <v>8</v>
      </c>
      <c r="K25" s="136">
        <f>_xlfn.XLOOKUP(C25,Tabla1[Value],Tabla1[Qty],0)</f>
        <v>0</v>
      </c>
      <c r="L25" s="74" t="str">
        <f>_xlfn.XLOOKUP(C25,Tabla1[Value],Tabla1[Part],"-")</f>
        <v>-</v>
      </c>
      <c r="M25" s="137" t="str">
        <f>_xlfn.XLOOKUP(C25,Tabla1[Value],Tabla1[Position],"-")</f>
        <v>-</v>
      </c>
      <c r="N25" s="136">
        <f>_xlfn.XLOOKUP(C25,Tabla15[Value],Tabla15[Qty],0)</f>
        <v>0</v>
      </c>
      <c r="O25" s="74" t="str">
        <f>_xlfn.XLOOKUP(C25,Tabla15[Value],Tabla15[Part],"-")</f>
        <v>-</v>
      </c>
      <c r="P25" s="137" t="str">
        <f>_xlfn.XLOOKUP(C25,Tabla15[Value],Tabla15[Position],"-")</f>
        <v>-</v>
      </c>
      <c r="Q25" s="134">
        <f>SUM(H25,K25,N25)*F25</f>
        <v>0</v>
      </c>
      <c r="R25" s="135">
        <f>_xlfn.XLOOKUP(C25,Tabla14[Value],Tabla14[Qty],0)</f>
        <v>0</v>
      </c>
      <c r="S25" s="74" t="str">
        <f>_xlfn.XLOOKUP(C25,Tabla14[Value],Tabla14[Part],"-")</f>
        <v>-</v>
      </c>
      <c r="T25" s="133" t="str">
        <f>_xlfn.XLOOKUP(C25,Tabla14[Value],Tabla14[Position],"-")</f>
        <v>-</v>
      </c>
      <c r="U25" s="136">
        <f>_xlfn.XLOOKUP(C25,Tabla156[Value],Tabla156[Qty],0)</f>
        <v>0</v>
      </c>
      <c r="V25" s="74" t="str">
        <f>_xlfn.XLOOKUP(C25,Tabla156[Value],Tabla156[Part],"-")</f>
        <v>-</v>
      </c>
      <c r="W25" s="137" t="str">
        <f>_xlfn.XLOOKUP(C25,Tabla156[Value],Tabla156[Position],"-")</f>
        <v>-</v>
      </c>
      <c r="X25" s="129">
        <f>(R25+U25)*F25</f>
        <v>0</v>
      </c>
    </row>
    <row r="26" spans="1:24" x14ac:dyDescent="0.2">
      <c r="A26" s="128">
        <v>21</v>
      </c>
      <c r="B26" s="128">
        <f>SUM(H26,K26,N26,R26,U26)</f>
        <v>3</v>
      </c>
      <c r="C26" s="87" t="s">
        <v>80</v>
      </c>
      <c r="D26" s="87" t="s">
        <v>25</v>
      </c>
      <c r="E26" s="87" t="s">
        <v>97</v>
      </c>
      <c r="F26" s="129"/>
      <c r="G26" s="149" t="s">
        <v>120</v>
      </c>
      <c r="H26" s="135">
        <f>_xlfn.XLOOKUP(C26,Tabla13[Value],Tabla13[Qty],0)</f>
        <v>0</v>
      </c>
      <c r="I26" s="74" t="str">
        <f>_xlfn.XLOOKUP(C26,Tabla13[Value],Tabla13[Part],"-")</f>
        <v>-</v>
      </c>
      <c r="J26" s="74" t="str">
        <f>_xlfn.XLOOKUP(C26,Tabla13[Value],Tabla13[Position],"-")</f>
        <v>-</v>
      </c>
      <c r="K26" s="136">
        <f>_xlfn.XLOOKUP(C26,Tabla1[Value],Tabla1[Qty],0)</f>
        <v>1</v>
      </c>
      <c r="L26" s="74" t="str">
        <f>_xlfn.XLOOKUP(C26,Tabla1[Value],Tabla1[Part],"-")</f>
        <v>R6</v>
      </c>
      <c r="M26" s="137">
        <f>_xlfn.XLOOKUP(C26,Tabla1[Value],Tabla1[Position],"-")</f>
        <v>22</v>
      </c>
      <c r="N26" s="136">
        <f>_xlfn.XLOOKUP(C26,Tabla15[Value],Tabla15[Qty],0)</f>
        <v>0</v>
      </c>
      <c r="O26" s="74" t="str">
        <f>_xlfn.XLOOKUP(C26,Tabla15[Value],Tabla15[Part],"-")</f>
        <v>-</v>
      </c>
      <c r="P26" s="137" t="str">
        <f>_xlfn.XLOOKUP(C26,Tabla15[Value],Tabla15[Position],"-")</f>
        <v>-</v>
      </c>
      <c r="Q26" s="134">
        <f>SUM(H26,K26,N26)*F26</f>
        <v>0</v>
      </c>
      <c r="R26" s="135">
        <f>_xlfn.XLOOKUP(C26,Tabla14[Value],Tabla14[Qty],0)</f>
        <v>2</v>
      </c>
      <c r="S26" s="74" t="str">
        <f>_xlfn.XLOOKUP(C26,Tabla14[Value],Tabla14[Part],"-")</f>
        <v>R8,R9</v>
      </c>
      <c r="T26" s="133">
        <f>_xlfn.XLOOKUP(C26,Tabla14[Value],Tabla14[Position],"-")</f>
        <v>11</v>
      </c>
      <c r="U26" s="136">
        <f>_xlfn.XLOOKUP(C26,Tabla156[Value],Tabla156[Qty],0)</f>
        <v>0</v>
      </c>
      <c r="V26" s="74" t="str">
        <f>_xlfn.XLOOKUP(C26,Tabla156[Value],Tabla156[Part],"-")</f>
        <v>-</v>
      </c>
      <c r="W26" s="137" t="str">
        <f>_xlfn.XLOOKUP(C26,Tabla156[Value],Tabla156[Position],"-")</f>
        <v>-</v>
      </c>
      <c r="X26" s="129">
        <f>(R26+U26)*F26</f>
        <v>0</v>
      </c>
    </row>
    <row r="27" spans="1:24" x14ac:dyDescent="0.2">
      <c r="A27" s="128">
        <v>22</v>
      </c>
      <c r="B27" s="128">
        <f>SUM(H27,K27,N27,R27,U27)</f>
        <v>1</v>
      </c>
      <c r="C27" s="87" t="s">
        <v>253</v>
      </c>
      <c r="D27" s="87" t="s">
        <v>25</v>
      </c>
      <c r="E27" s="87" t="s">
        <v>97</v>
      </c>
      <c r="F27" s="129"/>
      <c r="G27" s="44" t="s">
        <v>120</v>
      </c>
      <c r="H27" s="135">
        <f>_xlfn.XLOOKUP(C27,Tabla13[Value],Tabla13[Qty],0)</f>
        <v>1</v>
      </c>
      <c r="I27" s="74" t="str">
        <f>_xlfn.XLOOKUP(C27,Tabla13[Value],Tabla13[Part],"-")</f>
        <v xml:space="preserve">R9 </v>
      </c>
      <c r="J27" s="74">
        <f>_xlfn.XLOOKUP(C27,Tabla13[Value],Tabla13[Position],"-")</f>
        <v>7</v>
      </c>
      <c r="K27" s="136">
        <f>_xlfn.XLOOKUP(C27,Tabla1[Value],Tabla1[Qty],0)</f>
        <v>0</v>
      </c>
      <c r="L27" s="74" t="str">
        <f>_xlfn.XLOOKUP(C27,Tabla1[Value],Tabla1[Part],"-")</f>
        <v>-</v>
      </c>
      <c r="M27" s="137" t="str">
        <f>_xlfn.XLOOKUP(C27,Tabla1[Value],Tabla1[Position],"-")</f>
        <v>-</v>
      </c>
      <c r="N27" s="136">
        <f>_xlfn.XLOOKUP(C27,Tabla15[Value],Tabla15[Qty],0)</f>
        <v>0</v>
      </c>
      <c r="O27" s="74" t="str">
        <f>_xlfn.XLOOKUP(C27,Tabla15[Value],Tabla15[Part],"-")</f>
        <v>-</v>
      </c>
      <c r="P27" s="137" t="str">
        <f>_xlfn.XLOOKUP(C27,Tabla15[Value],Tabla15[Position],"-")</f>
        <v>-</v>
      </c>
      <c r="Q27" s="134">
        <f>SUM(H27,K27,N27)*F27</f>
        <v>0</v>
      </c>
      <c r="R27" s="135">
        <f>_xlfn.XLOOKUP(C27,Tabla14[Value],Tabla14[Qty],0)</f>
        <v>0</v>
      </c>
      <c r="S27" s="74" t="str">
        <f>_xlfn.XLOOKUP(C27,Tabla14[Value],Tabla14[Part],"-")</f>
        <v>-</v>
      </c>
      <c r="T27" s="133" t="str">
        <f>_xlfn.XLOOKUP(C27,Tabla14[Value],Tabla14[Position],"-")</f>
        <v>-</v>
      </c>
      <c r="U27" s="136">
        <f>_xlfn.XLOOKUP(C27,Tabla156[Value],Tabla156[Qty],0)</f>
        <v>0</v>
      </c>
      <c r="V27" s="74" t="str">
        <f>_xlfn.XLOOKUP(C27,Tabla156[Value],Tabla156[Part],"-")</f>
        <v>-</v>
      </c>
      <c r="W27" s="137" t="str">
        <f>_xlfn.XLOOKUP(C27,Tabla156[Value],Tabla156[Position],"-")</f>
        <v>-</v>
      </c>
      <c r="X27" s="129">
        <f>(R27+U27)*F27</f>
        <v>0</v>
      </c>
    </row>
    <row r="28" spans="1:24" x14ac:dyDescent="0.2">
      <c r="A28" s="128">
        <v>23</v>
      </c>
      <c r="B28" s="128">
        <f>SUM(H28,K28,N28,R28,U28)</f>
        <v>1</v>
      </c>
      <c r="C28" s="87" t="s">
        <v>255</v>
      </c>
      <c r="D28" s="87" t="s">
        <v>25</v>
      </c>
      <c r="E28" s="87" t="s">
        <v>97</v>
      </c>
      <c r="F28" s="129"/>
      <c r="G28" s="48" t="s">
        <v>120</v>
      </c>
      <c r="H28" s="135">
        <f>_xlfn.XLOOKUP(C28,Tabla13[Value],Tabla13[Qty],0)</f>
        <v>1</v>
      </c>
      <c r="I28" s="74" t="str">
        <f>_xlfn.XLOOKUP(C28,Tabla13[Value],Tabla13[Part],"-")</f>
        <v>R11</v>
      </c>
      <c r="J28" s="74">
        <f>_xlfn.XLOOKUP(C28,Tabla13[Value],Tabla13[Position],"-")</f>
        <v>15</v>
      </c>
      <c r="K28" s="136">
        <f>_xlfn.XLOOKUP(C28,Tabla1[Value],Tabla1[Qty],0)</f>
        <v>0</v>
      </c>
      <c r="L28" s="74" t="str">
        <f>_xlfn.XLOOKUP(C28,Tabla1[Value],Tabla1[Part],"-")</f>
        <v>-</v>
      </c>
      <c r="M28" s="137" t="str">
        <f>_xlfn.XLOOKUP(C28,Tabla1[Value],Tabla1[Position],"-")</f>
        <v>-</v>
      </c>
      <c r="N28" s="136">
        <f>_xlfn.XLOOKUP(C28,Tabla15[Value],Tabla15[Qty],0)</f>
        <v>0</v>
      </c>
      <c r="O28" s="74" t="str">
        <f>_xlfn.XLOOKUP(C28,Tabla15[Value],Tabla15[Part],"-")</f>
        <v>-</v>
      </c>
      <c r="P28" s="137" t="str">
        <f>_xlfn.XLOOKUP(C28,Tabla15[Value],Tabla15[Position],"-")</f>
        <v>-</v>
      </c>
      <c r="Q28" s="134">
        <f>SUM(H28,K28,N28)*F28</f>
        <v>0</v>
      </c>
      <c r="R28" s="135">
        <f>_xlfn.XLOOKUP(C28,Tabla14[Value],Tabla14[Qty],0)</f>
        <v>0</v>
      </c>
      <c r="S28" s="74" t="str">
        <f>_xlfn.XLOOKUP(C28,Tabla14[Value],Tabla14[Part],"-")</f>
        <v>-</v>
      </c>
      <c r="T28" s="133" t="str">
        <f>_xlfn.XLOOKUP(C28,Tabla14[Value],Tabla14[Position],"-")</f>
        <v>-</v>
      </c>
      <c r="U28" s="136">
        <f>_xlfn.XLOOKUP(C28,Tabla156[Value],Tabla156[Qty],0)</f>
        <v>0</v>
      </c>
      <c r="V28" s="74" t="str">
        <f>_xlfn.XLOOKUP(C28,Tabla156[Value],Tabla156[Part],"-")</f>
        <v>-</v>
      </c>
      <c r="W28" s="137" t="str">
        <f>_xlfn.XLOOKUP(C28,Tabla156[Value],Tabla156[Position],"-")</f>
        <v>-</v>
      </c>
      <c r="X28" s="129">
        <f>(R28+U28)*F28</f>
        <v>0</v>
      </c>
    </row>
    <row r="29" spans="1:24" x14ac:dyDescent="0.2">
      <c r="A29" s="128">
        <v>24</v>
      </c>
      <c r="B29" s="128">
        <f>SUM(H29,K29,N29,R29,U29)</f>
        <v>12</v>
      </c>
      <c r="C29" s="87" t="s">
        <v>26</v>
      </c>
      <c r="D29" s="87" t="s">
        <v>25</v>
      </c>
      <c r="E29" s="87" t="s">
        <v>97</v>
      </c>
      <c r="F29" s="129"/>
      <c r="G29" s="27" t="s">
        <v>120</v>
      </c>
      <c r="H29" s="135">
        <f>_xlfn.XLOOKUP(C29,Tabla13[Value],Tabla13[Qty],0)</f>
        <v>0</v>
      </c>
      <c r="I29" s="74" t="str">
        <f>_xlfn.XLOOKUP(C29,Tabla13[Value],Tabla13[Part],"-")</f>
        <v>-</v>
      </c>
      <c r="J29" s="74" t="str">
        <f>_xlfn.XLOOKUP(C29,Tabla13[Value],Tabla13[Position],"-")</f>
        <v>-</v>
      </c>
      <c r="K29" s="136">
        <f>_xlfn.XLOOKUP(C29,Tabla1[Value],Tabla1[Qty],0)</f>
        <v>1</v>
      </c>
      <c r="L29" s="74" t="str">
        <f>_xlfn.XLOOKUP(C29,Tabla1[Value],Tabla1[Part],"-")</f>
        <v>R3</v>
      </c>
      <c r="M29" s="137">
        <f>_xlfn.XLOOKUP(C29,Tabla1[Value],Tabla1[Position],"-")</f>
        <v>17</v>
      </c>
      <c r="N29" s="136">
        <f>_xlfn.XLOOKUP(C29,Tabla15[Value],Tabla15[Qty],0)</f>
        <v>6</v>
      </c>
      <c r="O29" s="74" t="str">
        <f>_xlfn.XLOOKUP(C29,Tabla15[Value],Tabla15[Part],"-")</f>
        <v xml:space="preserve">R1, R2, R4, R6, R7, R8 </v>
      </c>
      <c r="P29" s="137">
        <f>_xlfn.XLOOKUP(C29,Tabla15[Value],Tabla15[Position],"-")</f>
        <v>3</v>
      </c>
      <c r="Q29" s="134">
        <f>SUM(H29,K29,N29)*F29</f>
        <v>0</v>
      </c>
      <c r="R29" s="135">
        <f>_xlfn.XLOOKUP(C29,Tabla14[Value],Tabla14[Qty],0)</f>
        <v>5</v>
      </c>
      <c r="S29" s="74" t="str">
        <f>_xlfn.XLOOKUP(C29,Tabla14[Value],Tabla14[Part],"-")</f>
        <v>R6,R7,R11,R12,R17</v>
      </c>
      <c r="T29" s="133">
        <f>_xlfn.XLOOKUP(C29,Tabla14[Value],Tabla14[Position],"-")</f>
        <v>5</v>
      </c>
      <c r="U29" s="136">
        <f>_xlfn.XLOOKUP(C29,Tabla156[Value],Tabla156[Qty],0)</f>
        <v>0</v>
      </c>
      <c r="V29" s="74" t="str">
        <f>_xlfn.XLOOKUP(C29,Tabla156[Value],Tabla156[Part],"-")</f>
        <v>-</v>
      </c>
      <c r="W29" s="137" t="str">
        <f>_xlfn.XLOOKUP(C29,Tabla156[Value],Tabla156[Position],"-")</f>
        <v>-</v>
      </c>
      <c r="X29" s="129">
        <f>(R29+U29)*F29</f>
        <v>0</v>
      </c>
    </row>
    <row r="30" spans="1:24" x14ac:dyDescent="0.2">
      <c r="A30" s="128">
        <v>25</v>
      </c>
      <c r="B30" s="128">
        <f>SUM(H30,K30,N30,R30,U30)</f>
        <v>3</v>
      </c>
      <c r="C30" s="87" t="s">
        <v>63</v>
      </c>
      <c r="D30" s="87" t="s">
        <v>25</v>
      </c>
      <c r="E30" s="87" t="s">
        <v>97</v>
      </c>
      <c r="F30" s="129"/>
      <c r="G30" s="149" t="s">
        <v>120</v>
      </c>
      <c r="H30" s="135">
        <f>_xlfn.XLOOKUP(C30,Tabla13[Value],Tabla13[Qty],0)</f>
        <v>0</v>
      </c>
      <c r="I30" s="74" t="str">
        <f>_xlfn.XLOOKUP(C30,Tabla13[Value],Tabla13[Part],"-")</f>
        <v>-</v>
      </c>
      <c r="J30" s="74" t="str">
        <f>_xlfn.XLOOKUP(C30,Tabla13[Value],Tabla13[Position],"-")</f>
        <v>-</v>
      </c>
      <c r="K30" s="136">
        <f>_xlfn.XLOOKUP(C30,Tabla1[Value],Tabla1[Qty],0)</f>
        <v>3</v>
      </c>
      <c r="L30" s="74" t="str">
        <f>_xlfn.XLOOKUP(C30,Tabla1[Value],Tabla1[Part],"-")</f>
        <v>R11, R13, R14</v>
      </c>
      <c r="M30" s="137">
        <f>_xlfn.XLOOKUP(C30,Tabla1[Value],Tabla1[Position],"-")</f>
        <v>14</v>
      </c>
      <c r="N30" s="136">
        <f>_xlfn.XLOOKUP(C30,Tabla15[Value],Tabla15[Qty],0)</f>
        <v>0</v>
      </c>
      <c r="O30" s="74" t="str">
        <f>_xlfn.XLOOKUP(C30,Tabla15[Value],Tabla15[Part],"-")</f>
        <v>-</v>
      </c>
      <c r="P30" s="137" t="str">
        <f>_xlfn.XLOOKUP(C30,Tabla15[Value],Tabla15[Position],"-")</f>
        <v>-</v>
      </c>
      <c r="Q30" s="134">
        <f>SUM(H30,K30,N30)*F30</f>
        <v>0</v>
      </c>
      <c r="R30" s="135">
        <f>_xlfn.XLOOKUP(C30,Tabla14[Value],Tabla14[Qty],0)</f>
        <v>0</v>
      </c>
      <c r="S30" s="74" t="str">
        <f>_xlfn.XLOOKUP(C30,Tabla14[Value],Tabla14[Part],"-")</f>
        <v>-</v>
      </c>
      <c r="T30" s="133" t="str">
        <f>_xlfn.XLOOKUP(C30,Tabla14[Value],Tabla14[Position],"-")</f>
        <v>-</v>
      </c>
      <c r="U30" s="136">
        <f>_xlfn.XLOOKUP(C30,Tabla156[Value],Tabla156[Qty],0)</f>
        <v>0</v>
      </c>
      <c r="V30" s="74" t="str">
        <f>_xlfn.XLOOKUP(C30,Tabla156[Value],Tabla156[Part],"-")</f>
        <v>-</v>
      </c>
      <c r="W30" s="137" t="str">
        <f>_xlfn.XLOOKUP(C30,Tabla156[Value],Tabla156[Position],"-")</f>
        <v>-</v>
      </c>
      <c r="X30" s="129">
        <f>(R30+U30)*F30</f>
        <v>0</v>
      </c>
    </row>
    <row r="31" spans="1:24" x14ac:dyDescent="0.2">
      <c r="A31" s="128">
        <v>26</v>
      </c>
      <c r="B31" s="128">
        <f>SUM(H31,K31,N31,R31,U31)</f>
        <v>1</v>
      </c>
      <c r="C31" s="87" t="s">
        <v>70</v>
      </c>
      <c r="D31" s="87" t="s">
        <v>25</v>
      </c>
      <c r="E31" s="87" t="s">
        <v>97</v>
      </c>
      <c r="F31" s="129"/>
      <c r="G31" s="149" t="s">
        <v>120</v>
      </c>
      <c r="H31" s="135">
        <f>_xlfn.XLOOKUP(C31,Tabla13[Value],Tabla13[Qty],0)</f>
        <v>0</v>
      </c>
      <c r="I31" s="74" t="str">
        <f>_xlfn.XLOOKUP(C31,Tabla13[Value],Tabla13[Part],"-")</f>
        <v>-</v>
      </c>
      <c r="J31" s="74" t="str">
        <f>_xlfn.XLOOKUP(C31,Tabla13[Value],Tabla13[Position],"-")</f>
        <v>-</v>
      </c>
      <c r="K31" s="136">
        <f>_xlfn.XLOOKUP(C31,Tabla1[Value],Tabla1[Qty],0)</f>
        <v>1</v>
      </c>
      <c r="L31" s="74" t="str">
        <f>_xlfn.XLOOKUP(C31,Tabla1[Value],Tabla1[Part],"-")</f>
        <v>R2</v>
      </c>
      <c r="M31" s="137">
        <f>_xlfn.XLOOKUP(C31,Tabla1[Value],Tabla1[Position],"-")</f>
        <v>16</v>
      </c>
      <c r="N31" s="136">
        <f>_xlfn.XLOOKUP(C31,Tabla15[Value],Tabla15[Qty],0)</f>
        <v>0</v>
      </c>
      <c r="O31" s="74" t="str">
        <f>_xlfn.XLOOKUP(C31,Tabla15[Value],Tabla15[Part],"-")</f>
        <v>-</v>
      </c>
      <c r="P31" s="137" t="str">
        <f>_xlfn.XLOOKUP(C31,Tabla15[Value],Tabla15[Position],"-")</f>
        <v>-</v>
      </c>
      <c r="Q31" s="134">
        <f>SUM(H31,K31,N31)*F31</f>
        <v>0</v>
      </c>
      <c r="R31" s="135">
        <f>_xlfn.XLOOKUP(C31,Tabla14[Value],Tabla14[Qty],0)</f>
        <v>0</v>
      </c>
      <c r="S31" s="74" t="str">
        <f>_xlfn.XLOOKUP(C31,Tabla14[Value],Tabla14[Part],"-")</f>
        <v>-</v>
      </c>
      <c r="T31" s="133" t="str">
        <f>_xlfn.XLOOKUP(C31,Tabla14[Value],Tabla14[Position],"-")</f>
        <v>-</v>
      </c>
      <c r="U31" s="136">
        <f>_xlfn.XLOOKUP(C31,Tabla156[Value],Tabla156[Qty],0)</f>
        <v>0</v>
      </c>
      <c r="V31" s="74" t="str">
        <f>_xlfn.XLOOKUP(C31,Tabla156[Value],Tabla156[Part],"-")</f>
        <v>-</v>
      </c>
      <c r="W31" s="137" t="str">
        <f>_xlfn.XLOOKUP(C31,Tabla156[Value],Tabla156[Position],"-")</f>
        <v>-</v>
      </c>
      <c r="X31" s="129">
        <f>(R31+U31)*F31</f>
        <v>0</v>
      </c>
    </row>
    <row r="32" spans="1:24" x14ac:dyDescent="0.2">
      <c r="A32" s="128">
        <v>27</v>
      </c>
      <c r="B32" s="128">
        <f>SUM(H32,K32,N32,R32,U32)</f>
        <v>1</v>
      </c>
      <c r="C32" s="87" t="s">
        <v>139</v>
      </c>
      <c r="D32" s="87" t="s">
        <v>25</v>
      </c>
      <c r="E32" s="87" t="s">
        <v>97</v>
      </c>
      <c r="F32" s="129"/>
      <c r="G32" s="48" t="s">
        <v>120</v>
      </c>
      <c r="H32" s="135">
        <f>_xlfn.XLOOKUP(C32,Tabla13[Value],Tabla13[Qty],0)</f>
        <v>1</v>
      </c>
      <c r="I32" s="74" t="str">
        <f>_xlfn.XLOOKUP(C32,Tabla13[Value],Tabla13[Part],"-")</f>
        <v>R16</v>
      </c>
      <c r="J32" s="74">
        <f>_xlfn.XLOOKUP(C32,Tabla13[Value],Tabla13[Position],"-")</f>
        <v>13</v>
      </c>
      <c r="K32" s="136">
        <f>_xlfn.XLOOKUP(C32,Tabla1[Value],Tabla1[Qty],0)</f>
        <v>0</v>
      </c>
      <c r="L32" s="74" t="str">
        <f>_xlfn.XLOOKUP(C32,Tabla1[Value],Tabla1[Part],"-")</f>
        <v>-</v>
      </c>
      <c r="M32" s="137" t="str">
        <f>_xlfn.XLOOKUP(C32,Tabla1[Value],Tabla1[Position],"-")</f>
        <v>-</v>
      </c>
      <c r="N32" s="136">
        <f>_xlfn.XLOOKUP(C32,Tabla15[Value],Tabla15[Qty],0)</f>
        <v>0</v>
      </c>
      <c r="O32" s="74" t="str">
        <f>_xlfn.XLOOKUP(C32,Tabla15[Value],Tabla15[Part],"-")</f>
        <v>-</v>
      </c>
      <c r="P32" s="137" t="str">
        <f>_xlfn.XLOOKUP(C32,Tabla15[Value],Tabla15[Position],"-")</f>
        <v>-</v>
      </c>
      <c r="Q32" s="134">
        <f>SUM(H32,K32,N32)*F32</f>
        <v>0</v>
      </c>
      <c r="R32" s="135">
        <f>_xlfn.XLOOKUP(C32,Tabla14[Value],Tabla14[Qty],0)</f>
        <v>0</v>
      </c>
      <c r="S32" s="74" t="str">
        <f>_xlfn.XLOOKUP(C32,Tabla14[Value],Tabla14[Part],"-")</f>
        <v>-</v>
      </c>
      <c r="T32" s="133" t="str">
        <f>_xlfn.XLOOKUP(C32,Tabla14[Value],Tabla14[Position],"-")</f>
        <v>-</v>
      </c>
      <c r="U32" s="136">
        <f>_xlfn.XLOOKUP(C32,Tabla156[Value],Tabla156[Qty],0)</f>
        <v>0</v>
      </c>
      <c r="V32" s="74" t="str">
        <f>_xlfn.XLOOKUP(C32,Tabla156[Value],Tabla156[Part],"-")</f>
        <v>-</v>
      </c>
      <c r="W32" s="137" t="str">
        <f>_xlfn.XLOOKUP(C32,Tabla156[Value],Tabla156[Position],"-")</f>
        <v>-</v>
      </c>
      <c r="X32" s="129">
        <f>(R32+U32)*F32</f>
        <v>0</v>
      </c>
    </row>
    <row r="33" spans="1:24" x14ac:dyDescent="0.2">
      <c r="A33" s="128">
        <v>28</v>
      </c>
      <c r="B33" s="128">
        <f>SUM(H33,K33,N33,R33,U33)</f>
        <v>1</v>
      </c>
      <c r="C33" s="87" t="s">
        <v>28</v>
      </c>
      <c r="D33" s="87" t="s">
        <v>25</v>
      </c>
      <c r="E33" s="87" t="s">
        <v>97</v>
      </c>
      <c r="F33" s="129"/>
      <c r="G33" s="149" t="s">
        <v>120</v>
      </c>
      <c r="H33" s="135">
        <f>_xlfn.XLOOKUP(C33,Tabla13[Value],Tabla13[Qty],0)</f>
        <v>0</v>
      </c>
      <c r="I33" s="74" t="str">
        <f>_xlfn.XLOOKUP(C33,Tabla13[Value],Tabla13[Part],"-")</f>
        <v>-</v>
      </c>
      <c r="J33" s="74" t="str">
        <f>_xlfn.XLOOKUP(C33,Tabla13[Value],Tabla13[Position],"-")</f>
        <v>-</v>
      </c>
      <c r="K33" s="136">
        <f>_xlfn.XLOOKUP(C33,Tabla1[Value],Tabla1[Qty],0)</f>
        <v>1</v>
      </c>
      <c r="L33" s="74" t="str">
        <f>_xlfn.XLOOKUP(C33,Tabla1[Value],Tabla1[Part],"-")</f>
        <v>R1</v>
      </c>
      <c r="M33" s="137">
        <f>_xlfn.XLOOKUP(C33,Tabla1[Value],Tabla1[Position],"-")</f>
        <v>12</v>
      </c>
      <c r="N33" s="136">
        <f>_xlfn.XLOOKUP(C33,Tabla15[Value],Tabla15[Qty],0)</f>
        <v>0</v>
      </c>
      <c r="O33" s="74" t="str">
        <f>_xlfn.XLOOKUP(C33,Tabla15[Value],Tabla15[Part],"-")</f>
        <v>-</v>
      </c>
      <c r="P33" s="137" t="str">
        <f>_xlfn.XLOOKUP(C33,Tabla15[Value],Tabla15[Position],"-")</f>
        <v>-</v>
      </c>
      <c r="Q33" s="134">
        <f>SUM(H33,K33,N33)*F33</f>
        <v>0</v>
      </c>
      <c r="R33" s="135">
        <f>_xlfn.XLOOKUP(C33,Tabla14[Value],Tabla14[Qty],0)</f>
        <v>0</v>
      </c>
      <c r="S33" s="74" t="str">
        <f>_xlfn.XLOOKUP(C33,Tabla14[Value],Tabla14[Part],"-")</f>
        <v>-</v>
      </c>
      <c r="T33" s="133" t="str">
        <f>_xlfn.XLOOKUP(C33,Tabla14[Value],Tabla14[Position],"-")</f>
        <v>-</v>
      </c>
      <c r="U33" s="136">
        <f>_xlfn.XLOOKUP(C33,Tabla156[Value],Tabla156[Qty],0)</f>
        <v>0</v>
      </c>
      <c r="V33" s="74" t="str">
        <f>_xlfn.XLOOKUP(C33,Tabla156[Value],Tabla156[Part],"-")</f>
        <v>-</v>
      </c>
      <c r="W33" s="137" t="str">
        <f>_xlfn.XLOOKUP(C33,Tabla156[Value],Tabla156[Position],"-")</f>
        <v>-</v>
      </c>
      <c r="X33" s="129">
        <f>(R33+U33)*F33</f>
        <v>0</v>
      </c>
    </row>
    <row r="34" spans="1:24" x14ac:dyDescent="0.2">
      <c r="A34" s="128">
        <v>29</v>
      </c>
      <c r="B34" s="128">
        <f>SUM(H34,K34,N34,R34,U34)</f>
        <v>1</v>
      </c>
      <c r="C34" s="87" t="s">
        <v>79</v>
      </c>
      <c r="D34" s="87" t="s">
        <v>25</v>
      </c>
      <c r="E34" s="87" t="s">
        <v>97</v>
      </c>
      <c r="F34" s="129"/>
      <c r="G34" s="149" t="s">
        <v>120</v>
      </c>
      <c r="H34" s="135">
        <f>_xlfn.XLOOKUP(C34,Tabla13[Value],Tabla13[Qty],0)</f>
        <v>0</v>
      </c>
      <c r="I34" s="74" t="str">
        <f>_xlfn.XLOOKUP(C34,Tabla13[Value],Tabla13[Part],"-")</f>
        <v>-</v>
      </c>
      <c r="J34" s="74" t="str">
        <f>_xlfn.XLOOKUP(C34,Tabla13[Value],Tabla13[Position],"-")</f>
        <v>-</v>
      </c>
      <c r="K34" s="136">
        <f>_xlfn.XLOOKUP(C34,Tabla1[Value],Tabla1[Qty],0)</f>
        <v>1</v>
      </c>
      <c r="L34" s="74" t="str">
        <f>_xlfn.XLOOKUP(C34,Tabla1[Value],Tabla1[Part],"-")</f>
        <v>R41</v>
      </c>
      <c r="M34" s="137">
        <f>_xlfn.XLOOKUP(C34,Tabla1[Value],Tabla1[Position],"-")</f>
        <v>20</v>
      </c>
      <c r="N34" s="136">
        <f>_xlfn.XLOOKUP(C34,Tabla15[Value],Tabla15[Qty],0)</f>
        <v>0</v>
      </c>
      <c r="O34" s="74" t="str">
        <f>_xlfn.XLOOKUP(C34,Tabla15[Value],Tabla15[Part],"-")</f>
        <v>-</v>
      </c>
      <c r="P34" s="137" t="str">
        <f>_xlfn.XLOOKUP(C34,Tabla15[Value],Tabla15[Position],"-")</f>
        <v>-</v>
      </c>
      <c r="Q34" s="134">
        <f>SUM(H34,K34,N34)*F34</f>
        <v>0</v>
      </c>
      <c r="R34" s="135">
        <f>_xlfn.XLOOKUP(C34,Tabla14[Value],Tabla14[Qty],0)</f>
        <v>0</v>
      </c>
      <c r="S34" s="74" t="str">
        <f>_xlfn.XLOOKUP(C34,Tabla14[Value],Tabla14[Part],"-")</f>
        <v>-</v>
      </c>
      <c r="T34" s="133" t="str">
        <f>_xlfn.XLOOKUP(C34,Tabla14[Value],Tabla14[Position],"-")</f>
        <v>-</v>
      </c>
      <c r="U34" s="136">
        <f>_xlfn.XLOOKUP(C34,Tabla156[Value],Tabla156[Qty],0)</f>
        <v>0</v>
      </c>
      <c r="V34" s="74" t="str">
        <f>_xlfn.XLOOKUP(C34,Tabla156[Value],Tabla156[Part],"-")</f>
        <v>-</v>
      </c>
      <c r="W34" s="137" t="str">
        <f>_xlfn.XLOOKUP(C34,Tabla156[Value],Tabla156[Position],"-")</f>
        <v>-</v>
      </c>
      <c r="X34" s="129">
        <f>(R34+U34)*F34</f>
        <v>0</v>
      </c>
    </row>
    <row r="35" spans="1:24" x14ac:dyDescent="0.2">
      <c r="A35" s="128">
        <v>30</v>
      </c>
      <c r="B35" s="128">
        <f>SUM(H35,K35,N35,R35,U35)</f>
        <v>1</v>
      </c>
      <c r="C35" s="87" t="s">
        <v>141</v>
      </c>
      <c r="D35" s="87" t="s">
        <v>25</v>
      </c>
      <c r="E35" s="87" t="s">
        <v>97</v>
      </c>
      <c r="F35" s="129"/>
      <c r="G35" s="48" t="s">
        <v>120</v>
      </c>
      <c r="H35" s="135">
        <f>_xlfn.XLOOKUP(C35,Tabla13[Value],Tabla13[Qty],0)</f>
        <v>1</v>
      </c>
      <c r="I35" s="74" t="str">
        <f>_xlfn.XLOOKUP(C35,Tabla13[Value],Tabla13[Part],"-")</f>
        <v>R13</v>
      </c>
      <c r="J35" s="74">
        <f>_xlfn.XLOOKUP(C35,Tabla13[Value],Tabla13[Position],"-")</f>
        <v>14</v>
      </c>
      <c r="K35" s="136">
        <f>_xlfn.XLOOKUP(C35,Tabla1[Value],Tabla1[Qty],0)</f>
        <v>0</v>
      </c>
      <c r="L35" s="74" t="str">
        <f>_xlfn.XLOOKUP(C35,Tabla1[Value],Tabla1[Part],"-")</f>
        <v>-</v>
      </c>
      <c r="M35" s="137" t="str">
        <f>_xlfn.XLOOKUP(C35,Tabla1[Value],Tabla1[Position],"-")</f>
        <v>-</v>
      </c>
      <c r="N35" s="136">
        <f>_xlfn.XLOOKUP(C35,Tabla15[Value],Tabla15[Qty],0)</f>
        <v>0</v>
      </c>
      <c r="O35" s="74" t="str">
        <f>_xlfn.XLOOKUP(C35,Tabla15[Value],Tabla15[Part],"-")</f>
        <v>-</v>
      </c>
      <c r="P35" s="137" t="str">
        <f>_xlfn.XLOOKUP(C35,Tabla15[Value],Tabla15[Position],"-")</f>
        <v>-</v>
      </c>
      <c r="Q35" s="134">
        <f>SUM(H35,K35,N35)*F35</f>
        <v>0</v>
      </c>
      <c r="R35" s="135">
        <f>_xlfn.XLOOKUP(C35,Tabla14[Value],Tabla14[Qty],0)</f>
        <v>0</v>
      </c>
      <c r="S35" s="74" t="str">
        <f>_xlfn.XLOOKUP(C35,Tabla14[Value],Tabla14[Part],"-")</f>
        <v>-</v>
      </c>
      <c r="T35" s="133" t="str">
        <f>_xlfn.XLOOKUP(C35,Tabla14[Value],Tabla14[Position],"-")</f>
        <v>-</v>
      </c>
      <c r="U35" s="136">
        <f>_xlfn.XLOOKUP(C35,Tabla156[Value],Tabla156[Qty],0)</f>
        <v>0</v>
      </c>
      <c r="V35" s="74" t="str">
        <f>_xlfn.XLOOKUP(C35,Tabla156[Value],Tabla156[Part],"-")</f>
        <v>-</v>
      </c>
      <c r="W35" s="137" t="str">
        <f>_xlfn.XLOOKUP(C35,Tabla156[Value],Tabla156[Position],"-")</f>
        <v>-</v>
      </c>
      <c r="X35" s="129">
        <f>(R35+U35)*F35</f>
        <v>0</v>
      </c>
    </row>
    <row r="36" spans="1:24" x14ac:dyDescent="0.2">
      <c r="A36" s="128">
        <v>31</v>
      </c>
      <c r="B36" s="128">
        <f>SUM(H36,K36,N36,R36,U36)</f>
        <v>4</v>
      </c>
      <c r="C36" s="87" t="s">
        <v>82</v>
      </c>
      <c r="D36" s="87" t="s">
        <v>25</v>
      </c>
      <c r="E36" s="87" t="s">
        <v>97</v>
      </c>
      <c r="F36" s="129"/>
      <c r="G36" s="149" t="s">
        <v>120</v>
      </c>
      <c r="H36" s="135">
        <f>_xlfn.XLOOKUP(C36,Tabla13[Value],Tabla13[Qty],0)</f>
        <v>0</v>
      </c>
      <c r="I36" s="74" t="str">
        <f>_xlfn.XLOOKUP(C36,Tabla13[Value],Tabla13[Part],"-")</f>
        <v>-</v>
      </c>
      <c r="J36" s="74" t="str">
        <f>_xlfn.XLOOKUP(C36,Tabla13[Value],Tabla13[Position],"-")</f>
        <v>-</v>
      </c>
      <c r="K36" s="136">
        <f>_xlfn.XLOOKUP(C36,Tabla1[Value],Tabla1[Qty],0)</f>
        <v>4</v>
      </c>
      <c r="L36" s="74" t="str">
        <f>_xlfn.XLOOKUP(C36,Tabla1[Value],Tabla1[Part],"-")</f>
        <v>R39, R40,R43,R38</v>
      </c>
      <c r="M36" s="137">
        <f>_xlfn.XLOOKUP(C36,Tabla1[Value],Tabla1[Position],"-")</f>
        <v>18</v>
      </c>
      <c r="N36" s="136">
        <f>_xlfn.XLOOKUP(C36,Tabla15[Value],Tabla15[Qty],0)</f>
        <v>0</v>
      </c>
      <c r="O36" s="74" t="str">
        <f>_xlfn.XLOOKUP(C36,Tabla15[Value],Tabla15[Part],"-")</f>
        <v>-</v>
      </c>
      <c r="P36" s="137" t="str">
        <f>_xlfn.XLOOKUP(C36,Tabla15[Value],Tabla15[Position],"-")</f>
        <v>-</v>
      </c>
      <c r="Q36" s="134">
        <f>SUM(H36,K36,N36)*F36</f>
        <v>0</v>
      </c>
      <c r="R36" s="135">
        <f>_xlfn.XLOOKUP(C36,Tabla14[Value],Tabla14[Qty],0)</f>
        <v>0</v>
      </c>
      <c r="S36" s="74" t="str">
        <f>_xlfn.XLOOKUP(C36,Tabla14[Value],Tabla14[Part],"-")</f>
        <v>-</v>
      </c>
      <c r="T36" s="133" t="str">
        <f>_xlfn.XLOOKUP(C36,Tabla14[Value],Tabla14[Position],"-")</f>
        <v>-</v>
      </c>
      <c r="U36" s="136">
        <f>_xlfn.XLOOKUP(C36,Tabla156[Value],Tabla156[Qty],0)</f>
        <v>0</v>
      </c>
      <c r="V36" s="74" t="str">
        <f>_xlfn.XLOOKUP(C36,Tabla156[Value],Tabla156[Part],"-")</f>
        <v>-</v>
      </c>
      <c r="W36" s="137" t="str">
        <f>_xlfn.XLOOKUP(C36,Tabla156[Value],Tabla156[Position],"-")</f>
        <v>-</v>
      </c>
      <c r="X36" s="129">
        <f>(R36+U36)*F36</f>
        <v>0</v>
      </c>
    </row>
    <row r="37" spans="1:24" x14ac:dyDescent="0.2">
      <c r="A37" s="128">
        <v>32</v>
      </c>
      <c r="B37" s="128">
        <f>SUM(H37,K37,N37,R37,U37)</f>
        <v>1</v>
      </c>
      <c r="C37" s="87" t="s">
        <v>34</v>
      </c>
      <c r="D37" s="87" t="s">
        <v>25</v>
      </c>
      <c r="E37" s="87" t="s">
        <v>97</v>
      </c>
      <c r="F37" s="129"/>
      <c r="G37" s="149" t="s">
        <v>120</v>
      </c>
      <c r="H37" s="135">
        <f>_xlfn.XLOOKUP(C37,Tabla13[Value],Tabla13[Qty],0)</f>
        <v>0</v>
      </c>
      <c r="I37" s="74" t="str">
        <f>_xlfn.XLOOKUP(C37,Tabla13[Value],Tabla13[Part],"-")</f>
        <v>-</v>
      </c>
      <c r="J37" s="74" t="str">
        <f>_xlfn.XLOOKUP(C37,Tabla13[Value],Tabla13[Position],"-")</f>
        <v>-</v>
      </c>
      <c r="K37" s="136">
        <f>_xlfn.XLOOKUP(C37,Tabla1[Value],Tabla1[Qty],0)</f>
        <v>1</v>
      </c>
      <c r="L37" s="74" t="str">
        <f>_xlfn.XLOOKUP(C37,Tabla1[Value],Tabla1[Part],"-")</f>
        <v>R10</v>
      </c>
      <c r="M37" s="137">
        <f>_xlfn.XLOOKUP(C37,Tabla1[Value],Tabla1[Position],"-")</f>
        <v>13</v>
      </c>
      <c r="N37" s="136">
        <f>_xlfn.XLOOKUP(C37,Tabla15[Value],Tabla15[Qty],0)</f>
        <v>0</v>
      </c>
      <c r="O37" s="74" t="str">
        <f>_xlfn.XLOOKUP(C37,Tabla15[Value],Tabla15[Part],"-")</f>
        <v>-</v>
      </c>
      <c r="P37" s="137" t="str">
        <f>_xlfn.XLOOKUP(C37,Tabla15[Value],Tabla15[Position],"-")</f>
        <v>-</v>
      </c>
      <c r="Q37" s="134">
        <f>SUM(H37,K37,N37)*F37</f>
        <v>0</v>
      </c>
      <c r="R37" s="135">
        <f>_xlfn.XLOOKUP(C37,Tabla14[Value],Tabla14[Qty],0)</f>
        <v>0</v>
      </c>
      <c r="S37" s="74" t="str">
        <f>_xlfn.XLOOKUP(C37,Tabla14[Value],Tabla14[Part],"-")</f>
        <v>-</v>
      </c>
      <c r="T37" s="133" t="str">
        <f>_xlfn.XLOOKUP(C37,Tabla14[Value],Tabla14[Position],"-")</f>
        <v>-</v>
      </c>
      <c r="U37" s="136">
        <f>_xlfn.XLOOKUP(C37,Tabla156[Value],Tabla156[Qty],0)</f>
        <v>0</v>
      </c>
      <c r="V37" s="74" t="str">
        <f>_xlfn.XLOOKUP(C37,Tabla156[Value],Tabla156[Part],"-")</f>
        <v>-</v>
      </c>
      <c r="W37" s="137" t="str">
        <f>_xlfn.XLOOKUP(C37,Tabla156[Value],Tabla156[Position],"-")</f>
        <v>-</v>
      </c>
      <c r="X37" s="129">
        <f>(R37+U37)*F37</f>
        <v>0</v>
      </c>
    </row>
    <row r="38" spans="1:24" x14ac:dyDescent="0.2">
      <c r="A38" s="128">
        <v>33</v>
      </c>
      <c r="B38" s="128">
        <f>SUM(H38,K38,N38,R38,U38)</f>
        <v>1</v>
      </c>
      <c r="C38" s="87" t="s">
        <v>134</v>
      </c>
      <c r="D38" s="87" t="s">
        <v>25</v>
      </c>
      <c r="E38" s="87" t="s">
        <v>97</v>
      </c>
      <c r="F38" s="129"/>
      <c r="G38" s="44" t="s">
        <v>120</v>
      </c>
      <c r="H38" s="135">
        <f>_xlfn.XLOOKUP(C38,Tabla13[Value],Tabla13[Qty],0)</f>
        <v>1</v>
      </c>
      <c r="I38" s="74" t="str">
        <f>_xlfn.XLOOKUP(C38,Tabla13[Value],Tabla13[Part],"-")</f>
        <v>R5</v>
      </c>
      <c r="J38" s="74">
        <f>_xlfn.XLOOKUP(C38,Tabla13[Value],Tabla13[Position],"-")</f>
        <v>10</v>
      </c>
      <c r="K38" s="136">
        <f>_xlfn.XLOOKUP(C38,Tabla1[Value],Tabla1[Qty],0)</f>
        <v>0</v>
      </c>
      <c r="L38" s="74" t="str">
        <f>_xlfn.XLOOKUP(C38,Tabla1[Value],Tabla1[Part],"-")</f>
        <v>-</v>
      </c>
      <c r="M38" s="137" t="str">
        <f>_xlfn.XLOOKUP(C38,Tabla1[Value],Tabla1[Position],"-")</f>
        <v>-</v>
      </c>
      <c r="N38" s="136">
        <f>_xlfn.XLOOKUP(C38,Tabla15[Value],Tabla15[Qty],0)</f>
        <v>0</v>
      </c>
      <c r="O38" s="74" t="str">
        <f>_xlfn.XLOOKUP(C38,Tabla15[Value],Tabla15[Part],"-")</f>
        <v>-</v>
      </c>
      <c r="P38" s="137" t="str">
        <f>_xlfn.XLOOKUP(C38,Tabla15[Value],Tabla15[Position],"-")</f>
        <v>-</v>
      </c>
      <c r="Q38" s="134">
        <f>SUM(H38,K38,N38)*F38</f>
        <v>0</v>
      </c>
      <c r="R38" s="135">
        <f>_xlfn.XLOOKUP(C38,Tabla14[Value],Tabla14[Qty],0)</f>
        <v>0</v>
      </c>
      <c r="S38" s="74" t="str">
        <f>_xlfn.XLOOKUP(C38,Tabla14[Value],Tabla14[Part],"-")</f>
        <v>-</v>
      </c>
      <c r="T38" s="133" t="str">
        <f>_xlfn.XLOOKUP(C38,Tabla14[Value],Tabla14[Position],"-")</f>
        <v>-</v>
      </c>
      <c r="U38" s="136">
        <f>_xlfn.XLOOKUP(C38,Tabla156[Value],Tabla156[Qty],0)</f>
        <v>0</v>
      </c>
      <c r="V38" s="74" t="str">
        <f>_xlfn.XLOOKUP(C38,Tabla156[Value],Tabla156[Part],"-")</f>
        <v>-</v>
      </c>
      <c r="W38" s="137" t="str">
        <f>_xlfn.XLOOKUP(C38,Tabla156[Value],Tabla156[Position],"-")</f>
        <v>-</v>
      </c>
      <c r="X38" s="129">
        <f>(R38+U38)*F38</f>
        <v>0</v>
      </c>
    </row>
    <row r="39" spans="1:24" x14ac:dyDescent="0.2">
      <c r="A39" s="128">
        <v>34</v>
      </c>
      <c r="B39" s="128">
        <f>SUM(H39,K39,N39,R39,U39)</f>
        <v>4</v>
      </c>
      <c r="C39" s="87" t="s">
        <v>127</v>
      </c>
      <c r="D39" s="87" t="s">
        <v>25</v>
      </c>
      <c r="E39" s="87" t="s">
        <v>97</v>
      </c>
      <c r="F39" s="129"/>
      <c r="G39" s="40" t="s">
        <v>120</v>
      </c>
      <c r="H39" s="135">
        <f>_xlfn.XLOOKUP(C39,Tabla13[Value],Tabla13[Qty],0)</f>
        <v>4</v>
      </c>
      <c r="I39" s="74" t="str">
        <f>_xlfn.XLOOKUP(C39,Tabla13[Value],Tabla13[Part],"-")</f>
        <v xml:space="preserve">R6, R7, R8, R10 </v>
      </c>
      <c r="J39" s="74">
        <f>_xlfn.XLOOKUP(C39,Tabla13[Value],Tabla13[Position],"-")</f>
        <v>6</v>
      </c>
      <c r="K39" s="136">
        <f>_xlfn.XLOOKUP(C39,Tabla1[Value],Tabla1[Qty],0)</f>
        <v>0</v>
      </c>
      <c r="L39" s="74" t="str">
        <f>_xlfn.XLOOKUP(C39,Tabla1[Value],Tabla1[Part],"-")</f>
        <v>-</v>
      </c>
      <c r="M39" s="137" t="str">
        <f>_xlfn.XLOOKUP(C39,Tabla1[Value],Tabla1[Position],"-")</f>
        <v>-</v>
      </c>
      <c r="N39" s="136">
        <f>_xlfn.XLOOKUP(C39,Tabla15[Value],Tabla15[Qty],0)</f>
        <v>0</v>
      </c>
      <c r="O39" s="74" t="str">
        <f>_xlfn.XLOOKUP(C39,Tabla15[Value],Tabla15[Part],"-")</f>
        <v>-</v>
      </c>
      <c r="P39" s="137" t="str">
        <f>_xlfn.XLOOKUP(C39,Tabla15[Value],Tabla15[Position],"-")</f>
        <v>-</v>
      </c>
      <c r="Q39" s="134">
        <f>SUM(H39,K39,N39)*F39</f>
        <v>0</v>
      </c>
      <c r="R39" s="135">
        <f>_xlfn.XLOOKUP(C39,Tabla14[Value],Tabla14[Qty],0)</f>
        <v>0</v>
      </c>
      <c r="S39" s="74" t="str">
        <f>_xlfn.XLOOKUP(C39,Tabla14[Value],Tabla14[Part],"-")</f>
        <v>-</v>
      </c>
      <c r="T39" s="133" t="str">
        <f>_xlfn.XLOOKUP(C39,Tabla14[Value],Tabla14[Position],"-")</f>
        <v>-</v>
      </c>
      <c r="U39" s="136">
        <f>_xlfn.XLOOKUP(C39,Tabla156[Value],Tabla156[Qty],0)</f>
        <v>0</v>
      </c>
      <c r="V39" s="74" t="str">
        <f>_xlfn.XLOOKUP(C39,Tabla156[Value],Tabla156[Part],"-")</f>
        <v>-</v>
      </c>
      <c r="W39" s="137" t="str">
        <f>_xlfn.XLOOKUP(C39,Tabla156[Value],Tabla156[Position],"-")</f>
        <v>-</v>
      </c>
      <c r="X39" s="129">
        <f>(R39+U39)*F39</f>
        <v>0</v>
      </c>
    </row>
    <row r="40" spans="1:24" x14ac:dyDescent="0.2">
      <c r="A40" s="128">
        <v>35</v>
      </c>
      <c r="B40" s="128">
        <f>SUM(H40,K40,N40,R40,U40)</f>
        <v>1</v>
      </c>
      <c r="C40" s="87" t="s">
        <v>65</v>
      </c>
      <c r="D40" s="87" t="s">
        <v>25</v>
      </c>
      <c r="E40" s="87" t="s">
        <v>97</v>
      </c>
      <c r="F40" s="129"/>
      <c r="G40" s="149" t="s">
        <v>120</v>
      </c>
      <c r="H40" s="135">
        <f>_xlfn.XLOOKUP(C40,Tabla13[Value],Tabla13[Qty],0)</f>
        <v>0</v>
      </c>
      <c r="I40" s="74" t="str">
        <f>_xlfn.XLOOKUP(C40,Tabla13[Value],Tabla13[Part],"-")</f>
        <v>-</v>
      </c>
      <c r="J40" s="74" t="str">
        <f>_xlfn.XLOOKUP(C40,Tabla13[Value],Tabla13[Position],"-")</f>
        <v>-</v>
      </c>
      <c r="K40" s="136">
        <f>_xlfn.XLOOKUP(C40,Tabla1[Value],Tabla1[Qty],0)</f>
        <v>1</v>
      </c>
      <c r="L40" s="74" t="str">
        <f>_xlfn.XLOOKUP(C40,Tabla1[Value],Tabla1[Part],"-")</f>
        <v>R9</v>
      </c>
      <c r="M40" s="137">
        <f>_xlfn.XLOOKUP(C40,Tabla1[Value],Tabla1[Position],"-")</f>
        <v>25</v>
      </c>
      <c r="N40" s="136">
        <f>_xlfn.XLOOKUP(C40,Tabla15[Value],Tabla15[Qty],0)</f>
        <v>0</v>
      </c>
      <c r="O40" s="74" t="str">
        <f>_xlfn.XLOOKUP(C40,Tabla15[Value],Tabla15[Part],"-")</f>
        <v>-</v>
      </c>
      <c r="P40" s="137" t="str">
        <f>_xlfn.XLOOKUP(C40,Tabla15[Value],Tabla15[Position],"-")</f>
        <v>-</v>
      </c>
      <c r="Q40" s="134">
        <f>SUM(H40,K40,N40)*F40</f>
        <v>0</v>
      </c>
      <c r="R40" s="135">
        <f>_xlfn.XLOOKUP(C40,Tabla14[Value],Tabla14[Qty],0)</f>
        <v>0</v>
      </c>
      <c r="S40" s="74" t="str">
        <f>_xlfn.XLOOKUP(C40,Tabla14[Value],Tabla14[Part],"-")</f>
        <v>-</v>
      </c>
      <c r="T40" s="133" t="str">
        <f>_xlfn.XLOOKUP(C40,Tabla14[Value],Tabla14[Position],"-")</f>
        <v>-</v>
      </c>
      <c r="U40" s="136">
        <f>_xlfn.XLOOKUP(C40,Tabla156[Value],Tabla156[Qty],0)</f>
        <v>0</v>
      </c>
      <c r="V40" s="74" t="str">
        <f>_xlfn.XLOOKUP(C40,Tabla156[Value],Tabla156[Part],"-")</f>
        <v>-</v>
      </c>
      <c r="W40" s="137" t="str">
        <f>_xlfn.XLOOKUP(C40,Tabla156[Value],Tabla156[Position],"-")</f>
        <v>-</v>
      </c>
      <c r="X40" s="129">
        <f>(R40+U40)*F40</f>
        <v>0</v>
      </c>
    </row>
    <row r="41" spans="1:24" x14ac:dyDescent="0.2">
      <c r="A41" s="128">
        <v>36</v>
      </c>
      <c r="B41" s="128">
        <f>SUM(H41,K41,N41,R41,U41)</f>
        <v>1</v>
      </c>
      <c r="C41" s="87" t="s">
        <v>32</v>
      </c>
      <c r="D41" s="87" t="s">
        <v>25</v>
      </c>
      <c r="E41" s="87" t="s">
        <v>97</v>
      </c>
      <c r="F41" s="129"/>
      <c r="G41" s="149" t="s">
        <v>120</v>
      </c>
      <c r="H41" s="135">
        <f>_xlfn.XLOOKUP(C41,Tabla13[Value],Tabla13[Qty],0)</f>
        <v>0</v>
      </c>
      <c r="I41" s="74" t="str">
        <f>_xlfn.XLOOKUP(C41,Tabla13[Value],Tabla13[Part],"-")</f>
        <v>-</v>
      </c>
      <c r="J41" s="74" t="str">
        <f>_xlfn.XLOOKUP(C41,Tabla13[Value],Tabla13[Position],"-")</f>
        <v>-</v>
      </c>
      <c r="K41" s="136">
        <f>_xlfn.XLOOKUP(C41,Tabla1[Value],Tabla1[Qty],0)</f>
        <v>1</v>
      </c>
      <c r="L41" s="74" t="str">
        <f>_xlfn.XLOOKUP(C41,Tabla1[Value],Tabla1[Part],"-")</f>
        <v>R8</v>
      </c>
      <c r="M41" s="137">
        <f>_xlfn.XLOOKUP(C41,Tabla1[Value],Tabla1[Position],"-")</f>
        <v>24</v>
      </c>
      <c r="N41" s="136">
        <f>_xlfn.XLOOKUP(C41,Tabla15[Value],Tabla15[Qty],0)</f>
        <v>0</v>
      </c>
      <c r="O41" s="74" t="str">
        <f>_xlfn.XLOOKUP(C41,Tabla15[Value],Tabla15[Part],"-")</f>
        <v>-</v>
      </c>
      <c r="P41" s="137" t="str">
        <f>_xlfn.XLOOKUP(C41,Tabla15[Value],Tabla15[Position],"-")</f>
        <v>-</v>
      </c>
      <c r="Q41" s="134">
        <f>SUM(H41,K41,N41)*F41</f>
        <v>0</v>
      </c>
      <c r="R41" s="135">
        <f>_xlfn.XLOOKUP(C41,Tabla14[Value],Tabla14[Qty],0)</f>
        <v>0</v>
      </c>
      <c r="S41" s="74" t="str">
        <f>_xlfn.XLOOKUP(C41,Tabla14[Value],Tabla14[Part],"-")</f>
        <v>-</v>
      </c>
      <c r="T41" s="133" t="str">
        <f>_xlfn.XLOOKUP(C41,Tabla14[Value],Tabla14[Position],"-")</f>
        <v>-</v>
      </c>
      <c r="U41" s="136">
        <f>_xlfn.XLOOKUP(C41,Tabla156[Value],Tabla156[Qty],0)</f>
        <v>0</v>
      </c>
      <c r="V41" s="74" t="str">
        <f>_xlfn.XLOOKUP(C41,Tabla156[Value],Tabla156[Part],"-")</f>
        <v>-</v>
      </c>
      <c r="W41" s="137" t="str">
        <f>_xlfn.XLOOKUP(C41,Tabla156[Value],Tabla156[Position],"-")</f>
        <v>-</v>
      </c>
      <c r="X41" s="129">
        <f>(R41+U41)*F41</f>
        <v>0</v>
      </c>
    </row>
    <row r="42" spans="1:24" x14ac:dyDescent="0.2">
      <c r="A42" s="128">
        <v>37</v>
      </c>
      <c r="B42" s="128">
        <f>SUM(H42,K42,N42,R42,U42)</f>
        <v>3</v>
      </c>
      <c r="C42" s="87" t="s">
        <v>29</v>
      </c>
      <c r="D42" s="87" t="s">
        <v>25</v>
      </c>
      <c r="E42" s="87" t="s">
        <v>97</v>
      </c>
      <c r="F42" s="129"/>
      <c r="G42" s="149" t="s">
        <v>120</v>
      </c>
      <c r="H42" s="135">
        <f>_xlfn.XLOOKUP(C42,Tabla13[Value],Tabla13[Qty],0)</f>
        <v>0</v>
      </c>
      <c r="I42" s="74" t="str">
        <f>_xlfn.XLOOKUP(C42,Tabla13[Value],Tabla13[Part],"-")</f>
        <v>-</v>
      </c>
      <c r="J42" s="74" t="str">
        <f>_xlfn.XLOOKUP(C42,Tabla13[Value],Tabla13[Position],"-")</f>
        <v>-</v>
      </c>
      <c r="K42" s="136">
        <f>_xlfn.XLOOKUP(C42,Tabla1[Value],Tabla1[Qty],0)</f>
        <v>3</v>
      </c>
      <c r="L42" s="74" t="str">
        <f>_xlfn.XLOOKUP(C42,Tabla1[Value],Tabla1[Part],"-")</f>
        <v>R4, R15, R16</v>
      </c>
      <c r="M42" s="137">
        <f>_xlfn.XLOOKUP(C42,Tabla1[Value],Tabla1[Position],"-")</f>
        <v>19</v>
      </c>
      <c r="N42" s="136">
        <f>_xlfn.XLOOKUP(C42,Tabla15[Value],Tabla15[Qty],0)</f>
        <v>0</v>
      </c>
      <c r="O42" s="74" t="str">
        <f>_xlfn.XLOOKUP(C42,Tabla15[Value],Tabla15[Part],"-")</f>
        <v>-</v>
      </c>
      <c r="P42" s="137" t="str">
        <f>_xlfn.XLOOKUP(C42,Tabla15[Value],Tabla15[Position],"-")</f>
        <v>-</v>
      </c>
      <c r="Q42" s="134">
        <f>SUM(H42,K42,N42)*F42</f>
        <v>0</v>
      </c>
      <c r="R42" s="135">
        <f>_xlfn.XLOOKUP(C42,Tabla14[Value],Tabla14[Qty],0)</f>
        <v>0</v>
      </c>
      <c r="S42" s="74" t="str">
        <f>_xlfn.XLOOKUP(C42,Tabla14[Value],Tabla14[Part],"-")</f>
        <v>-</v>
      </c>
      <c r="T42" s="133" t="str">
        <f>_xlfn.XLOOKUP(C42,Tabla14[Value],Tabla14[Position],"-")</f>
        <v>-</v>
      </c>
      <c r="U42" s="136">
        <f>_xlfn.XLOOKUP(C42,Tabla156[Value],Tabla156[Qty],0)</f>
        <v>0</v>
      </c>
      <c r="V42" s="74" t="str">
        <f>_xlfn.XLOOKUP(C42,Tabla156[Value],Tabla156[Part],"-")</f>
        <v>-</v>
      </c>
      <c r="W42" s="137" t="str">
        <f>_xlfn.XLOOKUP(C42,Tabla156[Value],Tabla156[Position],"-")</f>
        <v>-</v>
      </c>
      <c r="X42" s="129">
        <f>(R42+U42)*F42</f>
        <v>0</v>
      </c>
    </row>
    <row r="43" spans="1:24" x14ac:dyDescent="0.2">
      <c r="A43" s="128">
        <v>38</v>
      </c>
      <c r="B43" s="128">
        <f>SUM(H43,K43,N43,R43,U43)</f>
        <v>1</v>
      </c>
      <c r="C43" s="87" t="s">
        <v>81</v>
      </c>
      <c r="D43" s="87" t="s">
        <v>25</v>
      </c>
      <c r="E43" s="87" t="s">
        <v>97</v>
      </c>
      <c r="F43" s="129"/>
      <c r="G43" s="149" t="s">
        <v>120</v>
      </c>
      <c r="H43" s="135">
        <f>_xlfn.XLOOKUP(C43,Tabla13[Value],Tabla13[Qty],0)</f>
        <v>0</v>
      </c>
      <c r="I43" s="74" t="str">
        <f>_xlfn.XLOOKUP(C43,Tabla13[Value],Tabla13[Part],"-")</f>
        <v>-</v>
      </c>
      <c r="J43" s="74" t="str">
        <f>_xlfn.XLOOKUP(C43,Tabla13[Value],Tabla13[Position],"-")</f>
        <v>-</v>
      </c>
      <c r="K43" s="136">
        <f>_xlfn.XLOOKUP(C43,Tabla1[Value],Tabla1[Qty],0)</f>
        <v>1</v>
      </c>
      <c r="L43" s="74" t="str">
        <f>_xlfn.XLOOKUP(C43,Tabla1[Value],Tabla1[Part],"-")</f>
        <v>R7</v>
      </c>
      <c r="M43" s="137">
        <f>_xlfn.XLOOKUP(C43,Tabla1[Value],Tabla1[Position],"-")</f>
        <v>23</v>
      </c>
      <c r="N43" s="136">
        <f>_xlfn.XLOOKUP(C43,Tabla15[Value],Tabla15[Qty],0)</f>
        <v>0</v>
      </c>
      <c r="O43" s="74" t="str">
        <f>_xlfn.XLOOKUP(C43,Tabla15[Value],Tabla15[Part],"-")</f>
        <v>-</v>
      </c>
      <c r="P43" s="137" t="str">
        <f>_xlfn.XLOOKUP(C43,Tabla15[Value],Tabla15[Position],"-")</f>
        <v>-</v>
      </c>
      <c r="Q43" s="134">
        <f>SUM(H43,K43,N43)*F43</f>
        <v>0</v>
      </c>
      <c r="R43" s="135">
        <f>_xlfn.XLOOKUP(C43,Tabla14[Value],Tabla14[Qty],0)</f>
        <v>0</v>
      </c>
      <c r="S43" s="74" t="str">
        <f>_xlfn.XLOOKUP(C43,Tabla14[Value],Tabla14[Part],"-")</f>
        <v>-</v>
      </c>
      <c r="T43" s="133" t="str">
        <f>_xlfn.XLOOKUP(C43,Tabla14[Value],Tabla14[Position],"-")</f>
        <v>-</v>
      </c>
      <c r="U43" s="136">
        <f>_xlfn.XLOOKUP(C43,Tabla156[Value],Tabla156[Qty],0)</f>
        <v>0</v>
      </c>
      <c r="V43" s="74" t="str">
        <f>_xlfn.XLOOKUP(C43,Tabla156[Value],Tabla156[Part],"-")</f>
        <v>-</v>
      </c>
      <c r="W43" s="137" t="str">
        <f>_xlfn.XLOOKUP(C43,Tabla156[Value],Tabla156[Position],"-")</f>
        <v>-</v>
      </c>
      <c r="X43" s="129">
        <f>(R43+U43)*F43</f>
        <v>0</v>
      </c>
    </row>
    <row r="44" spans="1:24" x14ac:dyDescent="0.2">
      <c r="A44" s="128">
        <v>39</v>
      </c>
      <c r="B44" s="128">
        <f>SUM(H44,K44,N44,R44,U44)</f>
        <v>1</v>
      </c>
      <c r="C44" s="128" t="s">
        <v>157</v>
      </c>
      <c r="D44" s="128" t="s">
        <v>201</v>
      </c>
      <c r="E44" s="128" t="s">
        <v>197</v>
      </c>
      <c r="F44" s="129">
        <v>0.43964999999999999</v>
      </c>
      <c r="G44" s="40" t="s">
        <v>211</v>
      </c>
      <c r="H44" s="135">
        <f>_xlfn.XLOOKUP(C44,Tabla13[Value],Tabla13[Qty],0)</f>
        <v>1</v>
      </c>
      <c r="I44" s="74" t="str">
        <f>_xlfn.XLOOKUP(C44,Tabla13[Value],Tabla13[Part],"-")</f>
        <v>BZ1</v>
      </c>
      <c r="J44" s="74">
        <f>_xlfn.XLOOKUP(C44,Tabla13[Value],Tabla13[Position],"-")</f>
        <v>1</v>
      </c>
      <c r="K44" s="136">
        <f>_xlfn.XLOOKUP(C44,Tabla1[Value],Tabla1[Qty],0)</f>
        <v>0</v>
      </c>
      <c r="L44" s="74" t="str">
        <f>_xlfn.XLOOKUP(C44,Tabla1[Value],Tabla1[Part],"-")</f>
        <v>-</v>
      </c>
      <c r="M44" s="137" t="str">
        <f>_xlfn.XLOOKUP(C44,Tabla1[Value],Tabla1[Position],"-")</f>
        <v>-</v>
      </c>
      <c r="N44" s="136">
        <f>_xlfn.XLOOKUP(C44,Tabla15[Value],Tabla15[Qty],0)</f>
        <v>0</v>
      </c>
      <c r="O44" s="74" t="str">
        <f>_xlfn.XLOOKUP(C44,Tabla15[Value],Tabla15[Part],"-")</f>
        <v>-</v>
      </c>
      <c r="P44" s="137" t="str">
        <f>_xlfn.XLOOKUP(C44,Tabla15[Value],Tabla15[Position],"-")</f>
        <v>-</v>
      </c>
      <c r="Q44" s="134">
        <f>SUM(H44,K44,N44)*F44</f>
        <v>0.43964999999999999</v>
      </c>
      <c r="R44" s="135">
        <f>_xlfn.XLOOKUP(C44,Tabla14[Value],Tabla14[Qty],0)</f>
        <v>0</v>
      </c>
      <c r="S44" s="74" t="str">
        <f>_xlfn.XLOOKUP(C44,Tabla14[Value],Tabla14[Part],"-")</f>
        <v>-</v>
      </c>
      <c r="T44" s="133" t="str">
        <f>_xlfn.XLOOKUP(C44,Tabla14[Value],Tabla14[Position],"-")</f>
        <v>-</v>
      </c>
      <c r="U44" s="136">
        <f>_xlfn.XLOOKUP(C44,Tabla156[Value],Tabla156[Qty],0)</f>
        <v>0</v>
      </c>
      <c r="V44" s="74" t="str">
        <f>_xlfn.XLOOKUP(C44,Tabla156[Value],Tabla156[Part],"-")</f>
        <v>-</v>
      </c>
      <c r="W44" s="137" t="str">
        <f>_xlfn.XLOOKUP(C44,Tabla156[Value],Tabla156[Position],"-")</f>
        <v>-</v>
      </c>
      <c r="X44" s="129">
        <f>(R44+U44)*F44</f>
        <v>0</v>
      </c>
    </row>
    <row r="45" spans="1:24" x14ac:dyDescent="0.2">
      <c r="A45" s="128">
        <v>40</v>
      </c>
      <c r="B45" s="128">
        <f>SUM(H45,K45,N45,R45,U45)</f>
        <v>1</v>
      </c>
      <c r="C45" s="128" t="s">
        <v>143</v>
      </c>
      <c r="D45" s="128" t="s">
        <v>13</v>
      </c>
      <c r="E45" s="128" t="s">
        <v>200</v>
      </c>
      <c r="F45" s="129">
        <v>2.68</v>
      </c>
      <c r="G45" s="44" t="s">
        <v>215</v>
      </c>
      <c r="H45" s="135">
        <f>_xlfn.XLOOKUP(C45,Tabla13[Value],Tabla13[Qty],0)</f>
        <v>1</v>
      </c>
      <c r="I45" s="74" t="str">
        <f>_xlfn.XLOOKUP(C45,Tabla13[Value],Tabla13[Part],"-")</f>
        <v>U1</v>
      </c>
      <c r="J45" s="74">
        <f>_xlfn.XLOOKUP(C45,Tabla13[Value],Tabla13[Position],"-")</f>
        <v>16</v>
      </c>
      <c r="K45" s="136">
        <f>_xlfn.XLOOKUP(C45,Tabla1[Value],Tabla1[Qty],0)</f>
        <v>0</v>
      </c>
      <c r="L45" s="74" t="str">
        <f>_xlfn.XLOOKUP(C45,Tabla1[Value],Tabla1[Part],"-")</f>
        <v>-</v>
      </c>
      <c r="M45" s="137" t="str">
        <f>_xlfn.XLOOKUP(C45,Tabla1[Value],Tabla1[Position],"-")</f>
        <v>-</v>
      </c>
      <c r="N45" s="136">
        <f>_xlfn.XLOOKUP(C45,Tabla15[Value],Tabla15[Qty],0)</f>
        <v>0</v>
      </c>
      <c r="O45" s="74" t="str">
        <f>_xlfn.XLOOKUP(C45,Tabla15[Value],Tabla15[Part],"-")</f>
        <v>-</v>
      </c>
      <c r="P45" s="137" t="str">
        <f>_xlfn.XLOOKUP(C45,Tabla15[Value],Tabla15[Position],"-")</f>
        <v>-</v>
      </c>
      <c r="Q45" s="134">
        <f>SUM(H45,K45,N45)*F45</f>
        <v>2.68</v>
      </c>
      <c r="R45" s="135">
        <f>_xlfn.XLOOKUP(C45,Tabla14[Value],Tabla14[Qty],0)</f>
        <v>0</v>
      </c>
      <c r="S45" s="74" t="str">
        <f>_xlfn.XLOOKUP(C45,Tabla14[Value],Tabla14[Part],"-")</f>
        <v>-</v>
      </c>
      <c r="T45" s="133" t="str">
        <f>_xlfn.XLOOKUP(C45,Tabla14[Value],Tabla14[Position],"-")</f>
        <v>-</v>
      </c>
      <c r="U45" s="136">
        <f>_xlfn.XLOOKUP(C45,Tabla156[Value],Tabla156[Qty],0)</f>
        <v>0</v>
      </c>
      <c r="V45" s="74" t="str">
        <f>_xlfn.XLOOKUP(C45,Tabla156[Value],Tabla156[Part],"-")</f>
        <v>-</v>
      </c>
      <c r="W45" s="137" t="str">
        <f>_xlfn.XLOOKUP(C45,Tabla156[Value],Tabla156[Position],"-")</f>
        <v>-</v>
      </c>
      <c r="X45" s="129">
        <f>(R45+U45)*F45</f>
        <v>0</v>
      </c>
    </row>
    <row r="46" spans="1:24" x14ac:dyDescent="0.2">
      <c r="A46" s="128">
        <v>41</v>
      </c>
      <c r="B46" s="128">
        <f>SUM(H46,K46,N46,R46,U46)</f>
        <v>2</v>
      </c>
      <c r="C46" s="128" t="s">
        <v>154</v>
      </c>
      <c r="D46" s="128" t="s">
        <v>13</v>
      </c>
      <c r="E46" s="128" t="s">
        <v>198</v>
      </c>
      <c r="F46" s="129">
        <v>0.39683000000000002</v>
      </c>
      <c r="G46" s="44" t="s">
        <v>216</v>
      </c>
      <c r="H46" s="135">
        <f>_xlfn.XLOOKUP(C46,Tabla13[Value],Tabla13[Qty],0)</f>
        <v>2</v>
      </c>
      <c r="I46" s="74" t="str">
        <f>_xlfn.XLOOKUP(C46,Tabla13[Value],Tabla13[Part],"-")</f>
        <v>U5,U6</v>
      </c>
      <c r="J46" s="74">
        <f>_xlfn.XLOOKUP(C46,Tabla13[Value],Tabla13[Position],"-")</f>
        <v>17</v>
      </c>
      <c r="K46" s="136">
        <f>_xlfn.XLOOKUP(C46,Tabla1[Value],Tabla1[Qty],0)</f>
        <v>0</v>
      </c>
      <c r="L46" s="74" t="str">
        <f>_xlfn.XLOOKUP(C46,Tabla1[Value],Tabla1[Part],"-")</f>
        <v>-</v>
      </c>
      <c r="M46" s="137" t="str">
        <f>_xlfn.XLOOKUP(C46,Tabla1[Value],Tabla1[Position],"-")</f>
        <v>-</v>
      </c>
      <c r="N46" s="136">
        <f>_xlfn.XLOOKUP(C46,Tabla15[Value],Tabla15[Qty],0)</f>
        <v>0</v>
      </c>
      <c r="O46" s="74" t="str">
        <f>_xlfn.XLOOKUP(C46,Tabla15[Value],Tabla15[Part],"-")</f>
        <v>-</v>
      </c>
      <c r="P46" s="137" t="str">
        <f>_xlfn.XLOOKUP(C46,Tabla15[Value],Tabla15[Position],"-")</f>
        <v>-</v>
      </c>
      <c r="Q46" s="134">
        <f>SUM(H46,K46,N46)*F46</f>
        <v>0.79366000000000003</v>
      </c>
      <c r="R46" s="135">
        <f>_xlfn.XLOOKUP(C46,Tabla14[Value],Tabla14[Qty],0)</f>
        <v>0</v>
      </c>
      <c r="S46" s="74" t="str">
        <f>_xlfn.XLOOKUP(C46,Tabla14[Value],Tabla14[Part],"-")</f>
        <v>-</v>
      </c>
      <c r="T46" s="133" t="str">
        <f>_xlfn.XLOOKUP(C46,Tabla14[Value],Tabla14[Position],"-")</f>
        <v>-</v>
      </c>
      <c r="U46" s="136">
        <f>_xlfn.XLOOKUP(C46,Tabla156[Value],Tabla156[Qty],0)</f>
        <v>0</v>
      </c>
      <c r="V46" s="74" t="str">
        <f>_xlfn.XLOOKUP(C46,Tabla156[Value],Tabla156[Part],"-")</f>
        <v>-</v>
      </c>
      <c r="W46" s="137" t="str">
        <f>_xlfn.XLOOKUP(C46,Tabla156[Value],Tabla156[Position],"-")</f>
        <v>-</v>
      </c>
      <c r="X46" s="129">
        <f>(R46+U46)*F46</f>
        <v>0</v>
      </c>
    </row>
    <row r="47" spans="1:24" x14ac:dyDescent="0.2">
      <c r="A47" s="128">
        <v>42</v>
      </c>
      <c r="B47" s="128">
        <f>SUM(H47,K47,N47,R47,U47)</f>
        <v>1</v>
      </c>
      <c r="C47" s="128" t="s">
        <v>153</v>
      </c>
      <c r="D47" s="128" t="s">
        <v>13</v>
      </c>
      <c r="E47" s="128" t="s">
        <v>225</v>
      </c>
      <c r="F47" s="129">
        <v>0.38779999999999998</v>
      </c>
      <c r="G47" s="44" t="s">
        <v>217</v>
      </c>
      <c r="H47" s="135">
        <f>_xlfn.XLOOKUP(C47,Tabla13[Value],Tabla13[Qty],0)</f>
        <v>1</v>
      </c>
      <c r="I47" s="74" t="str">
        <f>_xlfn.XLOOKUP(C47,Tabla13[Value],Tabla13[Part],"-")</f>
        <v>U7</v>
      </c>
      <c r="J47" s="74">
        <f>_xlfn.XLOOKUP(C47,Tabla13[Value],Tabla13[Position],"-")</f>
        <v>18</v>
      </c>
      <c r="K47" s="136">
        <f>_xlfn.XLOOKUP(C47,Tabla1[Value],Tabla1[Qty],0)</f>
        <v>0</v>
      </c>
      <c r="L47" s="74" t="str">
        <f>_xlfn.XLOOKUP(C47,Tabla1[Value],Tabla1[Part],"-")</f>
        <v>-</v>
      </c>
      <c r="M47" s="137" t="str">
        <f>_xlfn.XLOOKUP(C47,Tabla1[Value],Tabla1[Position],"-")</f>
        <v>-</v>
      </c>
      <c r="N47" s="136">
        <f>_xlfn.XLOOKUP(C47,Tabla15[Value],Tabla15[Qty],0)</f>
        <v>0</v>
      </c>
      <c r="O47" s="74" t="str">
        <f>_xlfn.XLOOKUP(C47,Tabla15[Value],Tabla15[Part],"-")</f>
        <v>-</v>
      </c>
      <c r="P47" s="137" t="str">
        <f>_xlfn.XLOOKUP(C47,Tabla15[Value],Tabla15[Position],"-")</f>
        <v>-</v>
      </c>
      <c r="Q47" s="134">
        <f>SUM(H47,K47,N47)*F47</f>
        <v>0.38779999999999998</v>
      </c>
      <c r="R47" s="135">
        <f>_xlfn.XLOOKUP(C47,Tabla14[Value],Tabla14[Qty],0)</f>
        <v>0</v>
      </c>
      <c r="S47" s="74" t="str">
        <f>_xlfn.XLOOKUP(C47,Tabla14[Value],Tabla14[Part],"-")</f>
        <v>-</v>
      </c>
      <c r="T47" s="133" t="str">
        <f>_xlfn.XLOOKUP(C47,Tabla14[Value],Tabla14[Position],"-")</f>
        <v>-</v>
      </c>
      <c r="U47" s="136">
        <f>_xlfn.XLOOKUP(C47,Tabla156[Value],Tabla156[Qty],0)</f>
        <v>0</v>
      </c>
      <c r="V47" s="74" t="str">
        <f>_xlfn.XLOOKUP(C47,Tabla156[Value],Tabla156[Part],"-")</f>
        <v>-</v>
      </c>
      <c r="W47" s="137" t="str">
        <f>_xlfn.XLOOKUP(C47,Tabla156[Value],Tabla156[Position],"-")</f>
        <v>-</v>
      </c>
      <c r="X47" s="129">
        <f>(R47+U47)*F47</f>
        <v>0</v>
      </c>
    </row>
    <row r="48" spans="1:24" x14ac:dyDescent="0.2">
      <c r="A48" s="128">
        <v>43</v>
      </c>
      <c r="B48" s="128">
        <f>SUM(H48,K48,N48,R48,U48)</f>
        <v>1</v>
      </c>
      <c r="C48" s="128" t="s">
        <v>152</v>
      </c>
      <c r="D48" s="128" t="s">
        <v>9</v>
      </c>
      <c r="E48" s="128" t="s">
        <v>96</v>
      </c>
      <c r="F48" s="129">
        <v>2.112E-2</v>
      </c>
      <c r="G48" s="44" t="s">
        <v>218</v>
      </c>
      <c r="H48" s="135">
        <f>_xlfn.XLOOKUP(C48,Tabla13[Value],Tabla13[Qty],0)</f>
        <v>1</v>
      </c>
      <c r="I48" s="74" t="str">
        <f>_xlfn.XLOOKUP(C48,Tabla13[Value],Tabla13[Part],"-")</f>
        <v>L7</v>
      </c>
      <c r="J48" s="74">
        <f>_xlfn.XLOOKUP(C48,Tabla13[Value],Tabla13[Position],"-")</f>
        <v>19</v>
      </c>
      <c r="K48" s="136">
        <f>_xlfn.XLOOKUP(C48,Tabla1[Value],Tabla1[Qty],0)</f>
        <v>0</v>
      </c>
      <c r="L48" s="74" t="str">
        <f>_xlfn.XLOOKUP(C48,Tabla1[Value],Tabla1[Part],"-")</f>
        <v>-</v>
      </c>
      <c r="M48" s="137" t="str">
        <f>_xlfn.XLOOKUP(C48,Tabla1[Value],Tabla1[Position],"-")</f>
        <v>-</v>
      </c>
      <c r="N48" s="136">
        <f>_xlfn.XLOOKUP(C48,Tabla15[Value],Tabla15[Qty],0)</f>
        <v>0</v>
      </c>
      <c r="O48" s="74" t="str">
        <f>_xlfn.XLOOKUP(C48,Tabla15[Value],Tabla15[Part],"-")</f>
        <v>-</v>
      </c>
      <c r="P48" s="137" t="str">
        <f>_xlfn.XLOOKUP(C48,Tabla15[Value],Tabla15[Position],"-")</f>
        <v>-</v>
      </c>
      <c r="Q48" s="134">
        <f>SUM(H48,K48,N48)*F48</f>
        <v>2.112E-2</v>
      </c>
      <c r="R48" s="135">
        <f>_xlfn.XLOOKUP(C48,Tabla14[Value],Tabla14[Qty],0)</f>
        <v>0</v>
      </c>
      <c r="S48" s="74" t="str">
        <f>_xlfn.XLOOKUP(C48,Tabla14[Value],Tabla14[Part],"-")</f>
        <v>-</v>
      </c>
      <c r="T48" s="133" t="str">
        <f>_xlfn.XLOOKUP(C48,Tabla14[Value],Tabla14[Position],"-")</f>
        <v>-</v>
      </c>
      <c r="U48" s="136">
        <f>_xlfn.XLOOKUP(C48,Tabla156[Value],Tabla156[Qty],0)</f>
        <v>0</v>
      </c>
      <c r="V48" s="74" t="str">
        <f>_xlfn.XLOOKUP(C48,Tabla156[Value],Tabla156[Part],"-")</f>
        <v>-</v>
      </c>
      <c r="W48" s="137" t="str">
        <f>_xlfn.XLOOKUP(C48,Tabla156[Value],Tabla156[Position],"-")</f>
        <v>-</v>
      </c>
      <c r="X48" s="129">
        <f>(R48+U48)*F48</f>
        <v>0</v>
      </c>
    </row>
    <row r="49" spans="1:24" x14ac:dyDescent="0.2">
      <c r="A49" s="128">
        <v>44</v>
      </c>
      <c r="B49" s="128">
        <f>SUM(H49,K49,N49,R49,U49)</f>
        <v>1</v>
      </c>
      <c r="C49" s="128" t="s">
        <v>151</v>
      </c>
      <c r="D49" s="128" t="s">
        <v>13</v>
      </c>
      <c r="E49" s="128" t="s">
        <v>224</v>
      </c>
      <c r="F49" s="129">
        <v>8.7840000000000001E-2</v>
      </c>
      <c r="G49" s="44" t="s">
        <v>219</v>
      </c>
      <c r="H49" s="135">
        <f>_xlfn.XLOOKUP(C49,Tabla13[Value],Tabla13[Qty],0)</f>
        <v>1</v>
      </c>
      <c r="I49" s="74" t="str">
        <f>_xlfn.XLOOKUP(C49,Tabla13[Value],Tabla13[Part],"-")</f>
        <v>U8</v>
      </c>
      <c r="J49" s="74">
        <f>_xlfn.XLOOKUP(C49,Tabla13[Value],Tabla13[Position],"-")</f>
        <v>20</v>
      </c>
      <c r="K49" s="136">
        <f>_xlfn.XLOOKUP(C49,Tabla1[Value],Tabla1[Qty],0)</f>
        <v>0</v>
      </c>
      <c r="L49" s="74" t="str">
        <f>_xlfn.XLOOKUP(C49,Tabla1[Value],Tabla1[Part],"-")</f>
        <v>-</v>
      </c>
      <c r="M49" s="137" t="str">
        <f>_xlfn.XLOOKUP(C49,Tabla1[Value],Tabla1[Position],"-")</f>
        <v>-</v>
      </c>
      <c r="N49" s="136">
        <f>_xlfn.XLOOKUP(C49,Tabla15[Value],Tabla15[Qty],0)</f>
        <v>0</v>
      </c>
      <c r="O49" s="74" t="str">
        <f>_xlfn.XLOOKUP(C49,Tabla15[Value],Tabla15[Part],"-")</f>
        <v>-</v>
      </c>
      <c r="P49" s="137" t="str">
        <f>_xlfn.XLOOKUP(C49,Tabla15[Value],Tabla15[Position],"-")</f>
        <v>-</v>
      </c>
      <c r="Q49" s="134">
        <f>SUM(H49,K49,N49)*F49</f>
        <v>8.7840000000000001E-2</v>
      </c>
      <c r="R49" s="135">
        <f>_xlfn.XLOOKUP(C49,Tabla14[Value],Tabla14[Qty],0)</f>
        <v>0</v>
      </c>
      <c r="S49" s="74" t="str">
        <f>_xlfn.XLOOKUP(C49,Tabla14[Value],Tabla14[Part],"-")</f>
        <v>-</v>
      </c>
      <c r="T49" s="133" t="str">
        <f>_xlfn.XLOOKUP(C49,Tabla14[Value],Tabla14[Position],"-")</f>
        <v>-</v>
      </c>
      <c r="U49" s="136">
        <f>_xlfn.XLOOKUP(C49,Tabla156[Value],Tabla156[Qty],0)</f>
        <v>0</v>
      </c>
      <c r="V49" s="74" t="str">
        <f>_xlfn.XLOOKUP(C49,Tabla156[Value],Tabla156[Part],"-")</f>
        <v>-</v>
      </c>
      <c r="W49" s="137" t="str">
        <f>_xlfn.XLOOKUP(C49,Tabla156[Value],Tabla156[Position],"-")</f>
        <v>-</v>
      </c>
      <c r="X49" s="129">
        <f>(R49+U49)*F49</f>
        <v>0</v>
      </c>
    </row>
    <row r="50" spans="1:24" x14ac:dyDescent="0.2">
      <c r="A50" s="128">
        <v>45</v>
      </c>
      <c r="B50" s="128">
        <f>SUM(H50,K50,N50,R50,U50)</f>
        <v>2</v>
      </c>
      <c r="C50" s="128" t="s">
        <v>150</v>
      </c>
      <c r="D50" s="128" t="s">
        <v>13</v>
      </c>
      <c r="E50" s="128" t="s">
        <v>225</v>
      </c>
      <c r="F50" s="129">
        <v>0.30223</v>
      </c>
      <c r="G50" s="44" t="s">
        <v>220</v>
      </c>
      <c r="H50" s="135">
        <f>_xlfn.XLOOKUP(C50,Tabla13[Value],Tabla13[Qty],0)</f>
        <v>2</v>
      </c>
      <c r="I50" s="74" t="str">
        <f>_xlfn.XLOOKUP(C50,Tabla13[Value],Tabla13[Part],"-")</f>
        <v>U2,U3</v>
      </c>
      <c r="J50" s="74">
        <f>_xlfn.XLOOKUP(C50,Tabla13[Value],Tabla13[Position],"-")</f>
        <v>21</v>
      </c>
      <c r="K50" s="136">
        <f>_xlfn.XLOOKUP(C50,Tabla1[Value],Tabla1[Qty],0)</f>
        <v>0</v>
      </c>
      <c r="L50" s="74" t="str">
        <f>_xlfn.XLOOKUP(C50,Tabla1[Value],Tabla1[Part],"-")</f>
        <v>-</v>
      </c>
      <c r="M50" s="137" t="str">
        <f>_xlfn.XLOOKUP(C50,Tabla1[Value],Tabla1[Position],"-")</f>
        <v>-</v>
      </c>
      <c r="N50" s="136">
        <f>_xlfn.XLOOKUP(C50,Tabla15[Value],Tabla15[Qty],0)</f>
        <v>0</v>
      </c>
      <c r="O50" s="74" t="str">
        <f>_xlfn.XLOOKUP(C50,Tabla15[Value],Tabla15[Part],"-")</f>
        <v>-</v>
      </c>
      <c r="P50" s="137" t="str">
        <f>_xlfn.XLOOKUP(C50,Tabla15[Value],Tabla15[Position],"-")</f>
        <v>-</v>
      </c>
      <c r="Q50" s="134">
        <f>SUM(H50,K50,N50)*F50</f>
        <v>0.60446</v>
      </c>
      <c r="R50" s="135">
        <f>_xlfn.XLOOKUP(C50,Tabla14[Value],Tabla14[Qty],0)</f>
        <v>0</v>
      </c>
      <c r="S50" s="74" t="str">
        <f>_xlfn.XLOOKUP(C50,Tabla14[Value],Tabla14[Part],"-")</f>
        <v>-</v>
      </c>
      <c r="T50" s="133" t="str">
        <f>_xlfn.XLOOKUP(C50,Tabla14[Value],Tabla14[Position],"-")</f>
        <v>-</v>
      </c>
      <c r="U50" s="136">
        <f>_xlfn.XLOOKUP(C50,Tabla156[Value],Tabla156[Qty],0)</f>
        <v>0</v>
      </c>
      <c r="V50" s="74" t="str">
        <f>_xlfn.XLOOKUP(C50,Tabla156[Value],Tabla156[Part],"-")</f>
        <v>-</v>
      </c>
      <c r="W50" s="137" t="str">
        <f>_xlfn.XLOOKUP(C50,Tabla156[Value],Tabla156[Position],"-")</f>
        <v>-</v>
      </c>
      <c r="X50" s="129">
        <f>(R50+U50)*F50</f>
        <v>0</v>
      </c>
    </row>
    <row r="51" spans="1:24" x14ac:dyDescent="0.2">
      <c r="A51" s="128">
        <v>46</v>
      </c>
      <c r="B51" s="128">
        <f>SUM(H51,K51,N51,R51,U51)</f>
        <v>1</v>
      </c>
      <c r="C51" s="128" t="s">
        <v>149</v>
      </c>
      <c r="D51" s="128" t="s">
        <v>13</v>
      </c>
      <c r="E51" s="128" t="s">
        <v>226</v>
      </c>
      <c r="F51" s="129">
        <v>0.56488000000000005</v>
      </c>
      <c r="G51" s="44" t="s">
        <v>221</v>
      </c>
      <c r="H51" s="135">
        <f>_xlfn.XLOOKUP(C51,Tabla13[Value],Tabla13[Qty],0)</f>
        <v>1</v>
      </c>
      <c r="I51" s="74" t="str">
        <f>_xlfn.XLOOKUP(C51,Tabla13[Value],Tabla13[Part],"-")</f>
        <v>U4</v>
      </c>
      <c r="J51" s="74">
        <f>_xlfn.XLOOKUP(C51,Tabla13[Value],Tabla13[Position],"-")</f>
        <v>22</v>
      </c>
      <c r="K51" s="136">
        <f>_xlfn.XLOOKUP(C51,Tabla1[Value],Tabla1[Qty],0)</f>
        <v>0</v>
      </c>
      <c r="L51" s="74" t="str">
        <f>_xlfn.XLOOKUP(C51,Tabla1[Value],Tabla1[Part],"-")</f>
        <v>-</v>
      </c>
      <c r="M51" s="137" t="str">
        <f>_xlfn.XLOOKUP(C51,Tabla1[Value],Tabla1[Position],"-")</f>
        <v>-</v>
      </c>
      <c r="N51" s="136">
        <f>_xlfn.XLOOKUP(C51,Tabla15[Value],Tabla15[Qty],0)</f>
        <v>0</v>
      </c>
      <c r="O51" s="74" t="str">
        <f>_xlfn.XLOOKUP(C51,Tabla15[Value],Tabla15[Part],"-")</f>
        <v>-</v>
      </c>
      <c r="P51" s="137" t="str">
        <f>_xlfn.XLOOKUP(C51,Tabla15[Value],Tabla15[Position],"-")</f>
        <v>-</v>
      </c>
      <c r="Q51" s="134">
        <f>SUM(H51,K51,N51)*F51</f>
        <v>0.56488000000000005</v>
      </c>
      <c r="R51" s="135">
        <f>_xlfn.XLOOKUP(C51,Tabla14[Value],Tabla14[Qty],0)</f>
        <v>0</v>
      </c>
      <c r="S51" s="74" t="str">
        <f>_xlfn.XLOOKUP(C51,Tabla14[Value],Tabla14[Part],"-")</f>
        <v>-</v>
      </c>
      <c r="T51" s="133" t="str">
        <f>_xlfn.XLOOKUP(C51,Tabla14[Value],Tabla14[Position],"-")</f>
        <v>-</v>
      </c>
      <c r="U51" s="136">
        <f>_xlfn.XLOOKUP(C51,Tabla156[Value],Tabla156[Qty],0)</f>
        <v>0</v>
      </c>
      <c r="V51" s="74" t="str">
        <f>_xlfn.XLOOKUP(C51,Tabla156[Value],Tabla156[Part],"-")</f>
        <v>-</v>
      </c>
      <c r="W51" s="137" t="str">
        <f>_xlfn.XLOOKUP(C51,Tabla156[Value],Tabla156[Position],"-")</f>
        <v>-</v>
      </c>
      <c r="X51" s="129">
        <f>(R51+U51)*F51</f>
        <v>0</v>
      </c>
    </row>
    <row r="52" spans="1:24" x14ac:dyDescent="0.2">
      <c r="A52" s="128">
        <v>47</v>
      </c>
      <c r="B52" s="128">
        <f>SUM(H52,K52,N52,R52,U52)</f>
        <v>1</v>
      </c>
      <c r="C52" s="128" t="s">
        <v>156</v>
      </c>
      <c r="D52" s="128" t="s">
        <v>196</v>
      </c>
      <c r="E52" s="128" t="s">
        <v>199</v>
      </c>
      <c r="F52" s="129">
        <v>0.56999999999999995</v>
      </c>
      <c r="G52" s="44" t="s">
        <v>223</v>
      </c>
      <c r="H52" s="135">
        <f>_xlfn.XLOOKUP(C52,Tabla13[Value],Tabla13[Qty],0)</f>
        <v>1</v>
      </c>
      <c r="I52" s="74" t="str">
        <f>_xlfn.XLOOKUP(C52,Tabla13[Value],Tabla13[Part],"-")</f>
        <v xml:space="preserve">X2 </v>
      </c>
      <c r="J52" s="74">
        <f>_xlfn.XLOOKUP(C52,Tabla13[Value],Tabla13[Position],"-")</f>
        <v>23</v>
      </c>
      <c r="K52" s="136">
        <f>_xlfn.XLOOKUP(C52,Tabla1[Value],Tabla1[Qty],0)</f>
        <v>0</v>
      </c>
      <c r="L52" s="74" t="str">
        <f>_xlfn.XLOOKUP(C52,Tabla1[Value],Tabla1[Part],"-")</f>
        <v>-</v>
      </c>
      <c r="M52" s="137" t="str">
        <f>_xlfn.XLOOKUP(C52,Tabla1[Value],Tabla1[Position],"-")</f>
        <v>-</v>
      </c>
      <c r="N52" s="136">
        <f>_xlfn.XLOOKUP(C52,Tabla15[Value],Tabla15[Qty],0)</f>
        <v>0</v>
      </c>
      <c r="O52" s="74" t="str">
        <f>_xlfn.XLOOKUP(C52,Tabla15[Value],Tabla15[Part],"-")</f>
        <v>-</v>
      </c>
      <c r="P52" s="137" t="str">
        <f>_xlfn.XLOOKUP(C52,Tabla15[Value],Tabla15[Position],"-")</f>
        <v>-</v>
      </c>
      <c r="Q52" s="134">
        <f>SUM(H52,K52,N52)*F52</f>
        <v>0.56999999999999995</v>
      </c>
      <c r="R52" s="135">
        <f>_xlfn.XLOOKUP(C52,Tabla14[Value],Tabla14[Qty],0)</f>
        <v>0</v>
      </c>
      <c r="S52" s="74" t="str">
        <f>_xlfn.XLOOKUP(C52,Tabla14[Value],Tabla14[Part],"-")</f>
        <v>-</v>
      </c>
      <c r="T52" s="133" t="str">
        <f>_xlfn.XLOOKUP(C52,Tabla14[Value],Tabla14[Position],"-")</f>
        <v>-</v>
      </c>
      <c r="U52" s="136">
        <f>_xlfn.XLOOKUP(C52,Tabla156[Value],Tabla156[Qty],0)</f>
        <v>0</v>
      </c>
      <c r="V52" s="74" t="str">
        <f>_xlfn.XLOOKUP(C52,Tabla156[Value],Tabla156[Part],"-")</f>
        <v>-</v>
      </c>
      <c r="W52" s="137" t="str">
        <f>_xlfn.XLOOKUP(C52,Tabla156[Value],Tabla156[Position],"-")</f>
        <v>-</v>
      </c>
      <c r="X52" s="129">
        <f>(R52+U52)*F52</f>
        <v>0</v>
      </c>
    </row>
    <row r="53" spans="1:24" x14ac:dyDescent="0.2">
      <c r="A53" s="128">
        <v>48</v>
      </c>
      <c r="B53" s="128">
        <f>SUM(H53,K53,N53,R53,U53)</f>
        <v>1</v>
      </c>
      <c r="C53" s="128" t="s">
        <v>15</v>
      </c>
      <c r="D53" s="128" t="s">
        <v>16</v>
      </c>
      <c r="E53" s="128" t="s">
        <v>17</v>
      </c>
      <c r="F53" s="129">
        <v>0.17315</v>
      </c>
      <c r="G53" s="34" t="s">
        <v>112</v>
      </c>
      <c r="H53" s="135">
        <f>_xlfn.XLOOKUP(C53,Tabla13[Value],Tabla13[Qty],0)</f>
        <v>0</v>
      </c>
      <c r="I53" s="74" t="str">
        <f>_xlfn.XLOOKUP(C53,Tabla13[Value],Tabla13[Part],"-")</f>
        <v>-</v>
      </c>
      <c r="J53" s="74" t="str">
        <f>_xlfn.XLOOKUP(C53,Tabla13[Value],Tabla13[Position],"-")</f>
        <v>-</v>
      </c>
      <c r="K53" s="136">
        <f>_xlfn.XLOOKUP(C53,Tabla1[Value],Tabla1[Qty],0)</f>
        <v>1</v>
      </c>
      <c r="L53" s="74" t="str">
        <f>_xlfn.XLOOKUP(C53,Tabla1[Value],Tabla1[Part],"-")</f>
        <v>D2</v>
      </c>
      <c r="M53" s="137">
        <f>_xlfn.XLOOKUP(C53,Tabla1[Value],Tabla1[Position],"-")</f>
        <v>7</v>
      </c>
      <c r="N53" s="136">
        <f>_xlfn.XLOOKUP(C53,Tabla15[Value],Tabla15[Qty],0)</f>
        <v>0</v>
      </c>
      <c r="O53" s="74" t="str">
        <f>_xlfn.XLOOKUP(C53,Tabla15[Value],Tabla15[Part],"-")</f>
        <v>-</v>
      </c>
      <c r="P53" s="137" t="str">
        <f>_xlfn.XLOOKUP(C53,Tabla15[Value],Tabla15[Position],"-")</f>
        <v>-</v>
      </c>
      <c r="Q53" s="134">
        <f>SUM(H53,K53,N53)*F53</f>
        <v>0.17315</v>
      </c>
      <c r="R53" s="135">
        <f>_xlfn.XLOOKUP(C53,Tabla14[Value],Tabla14[Qty],0)</f>
        <v>0</v>
      </c>
      <c r="S53" s="74" t="str">
        <f>_xlfn.XLOOKUP(C53,Tabla14[Value],Tabla14[Part],"-")</f>
        <v>-</v>
      </c>
      <c r="T53" s="133" t="str">
        <f>_xlfn.XLOOKUP(C53,Tabla14[Value],Tabla14[Position],"-")</f>
        <v>-</v>
      </c>
      <c r="U53" s="136">
        <f>_xlfn.XLOOKUP(C53,Tabla156[Value],Tabla156[Qty],0)</f>
        <v>0</v>
      </c>
      <c r="V53" s="74" t="str">
        <f>_xlfn.XLOOKUP(C53,Tabla156[Value],Tabla156[Part],"-")</f>
        <v>-</v>
      </c>
      <c r="W53" s="137" t="str">
        <f>_xlfn.XLOOKUP(C53,Tabla156[Value],Tabla156[Position],"-")</f>
        <v>-</v>
      </c>
      <c r="X53" s="129">
        <f>(R53+U53)*F53</f>
        <v>0</v>
      </c>
    </row>
    <row r="54" spans="1:24" x14ac:dyDescent="0.2">
      <c r="A54" s="128">
        <v>49</v>
      </c>
      <c r="B54" s="128">
        <f>SUM(H54,K54,N54,R54,U54)</f>
        <v>1</v>
      </c>
      <c r="C54" s="128" t="s">
        <v>69</v>
      </c>
      <c r="D54" s="128" t="s">
        <v>9</v>
      </c>
      <c r="E54" s="128" t="s">
        <v>10</v>
      </c>
      <c r="F54" s="129">
        <v>1.1299999999999999</v>
      </c>
      <c r="G54" s="34" t="s">
        <v>227</v>
      </c>
      <c r="H54" s="135">
        <f>_xlfn.XLOOKUP(C54,Tabla13[Value],Tabla13[Qty],0)</f>
        <v>0</v>
      </c>
      <c r="I54" s="74" t="str">
        <f>_xlfn.XLOOKUP(C54,Tabla13[Value],Tabla13[Part],"-")</f>
        <v>-</v>
      </c>
      <c r="J54" s="74" t="str">
        <f>_xlfn.XLOOKUP(C54,Tabla13[Value],Tabla13[Position],"-")</f>
        <v>-</v>
      </c>
      <c r="K54" s="136">
        <f>_xlfn.XLOOKUP(C54,Tabla1[Value],Tabla1[Qty],0)</f>
        <v>1</v>
      </c>
      <c r="L54" s="74" t="str">
        <f>_xlfn.XLOOKUP(C54,Tabla1[Value],Tabla1[Part],"-")</f>
        <v>L1</v>
      </c>
      <c r="M54" s="137">
        <f>_xlfn.XLOOKUP(C54,Tabla1[Value],Tabla1[Position],"-")</f>
        <v>9</v>
      </c>
      <c r="N54" s="136">
        <f>_xlfn.XLOOKUP(C54,Tabla15[Value],Tabla15[Qty],0)</f>
        <v>0</v>
      </c>
      <c r="O54" s="74" t="str">
        <f>_xlfn.XLOOKUP(C54,Tabla15[Value],Tabla15[Part],"-")</f>
        <v>-</v>
      </c>
      <c r="P54" s="137" t="str">
        <f>_xlfn.XLOOKUP(C54,Tabla15[Value],Tabla15[Position],"-")</f>
        <v>-</v>
      </c>
      <c r="Q54" s="134">
        <f>SUM(H54,K54,N54)*F54</f>
        <v>1.1299999999999999</v>
      </c>
      <c r="R54" s="135">
        <f>_xlfn.XLOOKUP(C54,Tabla14[Value],Tabla14[Qty],0)</f>
        <v>0</v>
      </c>
      <c r="S54" s="74" t="str">
        <f>_xlfn.XLOOKUP(C54,Tabla14[Value],Tabla14[Part],"-")</f>
        <v>-</v>
      </c>
      <c r="T54" s="133" t="str">
        <f>_xlfn.XLOOKUP(C54,Tabla14[Value],Tabla14[Position],"-")</f>
        <v>-</v>
      </c>
      <c r="U54" s="136">
        <f>_xlfn.XLOOKUP(C54,Tabla156[Value],Tabla156[Qty],0)</f>
        <v>0</v>
      </c>
      <c r="V54" s="74" t="str">
        <f>_xlfn.XLOOKUP(C54,Tabla156[Value],Tabla156[Part],"-")</f>
        <v>-</v>
      </c>
      <c r="W54" s="137" t="str">
        <f>_xlfn.XLOOKUP(C54,Tabla156[Value],Tabla156[Position],"-")</f>
        <v>-</v>
      </c>
      <c r="X54" s="129">
        <f>(R54+U54)*F54</f>
        <v>0</v>
      </c>
    </row>
    <row r="55" spans="1:24" x14ac:dyDescent="0.2">
      <c r="A55" s="128">
        <v>50</v>
      </c>
      <c r="B55" s="128">
        <f>SUM(H55,K55,N55,R55,U55)</f>
        <v>1</v>
      </c>
      <c r="C55" s="128" t="s">
        <v>90</v>
      </c>
      <c r="D55" s="128" t="s">
        <v>21</v>
      </c>
      <c r="E55" s="128" t="s">
        <v>228</v>
      </c>
      <c r="F55" s="129">
        <v>0.47992000000000001</v>
      </c>
      <c r="G55" s="34" t="s">
        <v>113</v>
      </c>
      <c r="H55" s="135">
        <f>_xlfn.XLOOKUP(C55,Tabla13[Value],Tabla13[Qty],0)</f>
        <v>0</v>
      </c>
      <c r="I55" s="74" t="str">
        <f>_xlfn.XLOOKUP(C55,Tabla13[Value],Tabla13[Part],"-")</f>
        <v>-</v>
      </c>
      <c r="J55" s="74" t="str">
        <f>_xlfn.XLOOKUP(C55,Tabla13[Value],Tabla13[Position],"-")</f>
        <v>-</v>
      </c>
      <c r="K55" s="136">
        <f>_xlfn.XLOOKUP(C55,Tabla1[Value],Tabla1[Qty],0)</f>
        <v>1</v>
      </c>
      <c r="L55" s="74" t="str">
        <f>_xlfn.XLOOKUP(C55,Tabla1[Value],Tabla1[Part],"-")</f>
        <v>Q1</v>
      </c>
      <c r="M55" s="137">
        <f>_xlfn.XLOOKUP(C55,Tabla1[Value],Tabla1[Position],"-")</f>
        <v>10</v>
      </c>
      <c r="N55" s="136">
        <f>_xlfn.XLOOKUP(C55,Tabla15[Value],Tabla15[Qty],0)</f>
        <v>0</v>
      </c>
      <c r="O55" s="74" t="str">
        <f>_xlfn.XLOOKUP(C55,Tabla15[Value],Tabla15[Part],"-")</f>
        <v>-</v>
      </c>
      <c r="P55" s="137" t="str">
        <f>_xlfn.XLOOKUP(C55,Tabla15[Value],Tabla15[Position],"-")</f>
        <v>-</v>
      </c>
      <c r="Q55" s="134">
        <f>SUM(H55,K55,N55)*F55</f>
        <v>0.47992000000000001</v>
      </c>
      <c r="R55" s="135">
        <f>_xlfn.XLOOKUP(C55,Tabla14[Value],Tabla14[Qty],0)</f>
        <v>0</v>
      </c>
      <c r="S55" s="74" t="str">
        <f>_xlfn.XLOOKUP(C55,Tabla14[Value],Tabla14[Part],"-")</f>
        <v>-</v>
      </c>
      <c r="T55" s="133" t="str">
        <f>_xlfn.XLOOKUP(C55,Tabla14[Value],Tabla14[Position],"-")</f>
        <v>-</v>
      </c>
      <c r="U55" s="136">
        <f>_xlfn.XLOOKUP(C55,Tabla156[Value],Tabla156[Qty],0)</f>
        <v>0</v>
      </c>
      <c r="V55" s="74" t="str">
        <f>_xlfn.XLOOKUP(C55,Tabla156[Value],Tabla156[Part],"-")</f>
        <v>-</v>
      </c>
      <c r="W55" s="137" t="str">
        <f>_xlfn.XLOOKUP(C55,Tabla156[Value],Tabla156[Position],"-")</f>
        <v>-</v>
      </c>
      <c r="X55" s="129">
        <f>(R55+U55)*F55</f>
        <v>0</v>
      </c>
    </row>
    <row r="56" spans="1:24" x14ac:dyDescent="0.2">
      <c r="A56" s="128">
        <v>51</v>
      </c>
      <c r="B56" s="128">
        <f>SUM(H56,K56,N56,R56,U56)</f>
        <v>2</v>
      </c>
      <c r="C56" s="128" t="s">
        <v>20</v>
      </c>
      <c r="D56" s="128" t="s">
        <v>21</v>
      </c>
      <c r="E56" s="128" t="s">
        <v>22</v>
      </c>
      <c r="F56" s="129">
        <v>3.5970000000000002E-2</v>
      </c>
      <c r="G56" s="34" t="s">
        <v>114</v>
      </c>
      <c r="H56" s="135">
        <f>_xlfn.XLOOKUP(C56,Tabla13[Value],Tabla13[Qty],0)</f>
        <v>0</v>
      </c>
      <c r="I56" s="74" t="str">
        <f>_xlfn.XLOOKUP(C56,Tabla13[Value],Tabla13[Part],"-")</f>
        <v>-</v>
      </c>
      <c r="J56" s="74" t="str">
        <f>_xlfn.XLOOKUP(C56,Tabla13[Value],Tabla13[Position],"-")</f>
        <v>-</v>
      </c>
      <c r="K56" s="136">
        <f>_xlfn.XLOOKUP(C56,Tabla1[Value],Tabla1[Qty],0)</f>
        <v>2</v>
      </c>
      <c r="L56" s="74" t="str">
        <f>_xlfn.XLOOKUP(C56,Tabla1[Value],Tabla1[Part],"-")</f>
        <v>Q2, Q5</v>
      </c>
      <c r="M56" s="137">
        <f>_xlfn.XLOOKUP(C56,Tabla1[Value],Tabla1[Position],"-")</f>
        <v>11</v>
      </c>
      <c r="N56" s="136">
        <f>_xlfn.XLOOKUP(C56,Tabla15[Value],Tabla15[Qty],0)</f>
        <v>0</v>
      </c>
      <c r="O56" s="74" t="str">
        <f>_xlfn.XLOOKUP(C56,Tabla15[Value],Tabla15[Part],"-")</f>
        <v>-</v>
      </c>
      <c r="P56" s="137" t="str">
        <f>_xlfn.XLOOKUP(C56,Tabla15[Value],Tabla15[Position],"-")</f>
        <v>-</v>
      </c>
      <c r="Q56" s="134">
        <f>SUM(H56,K56,N56)*F56</f>
        <v>7.1940000000000004E-2</v>
      </c>
      <c r="R56" s="135">
        <f>_xlfn.XLOOKUP(C56,Tabla14[Value],Tabla14[Qty],0)</f>
        <v>0</v>
      </c>
      <c r="S56" s="74" t="str">
        <f>_xlfn.XLOOKUP(C56,Tabla14[Value],Tabla14[Part],"-")</f>
        <v>-</v>
      </c>
      <c r="T56" s="133" t="str">
        <f>_xlfn.XLOOKUP(C56,Tabla14[Value],Tabla14[Position],"-")</f>
        <v>-</v>
      </c>
      <c r="U56" s="136">
        <f>_xlfn.XLOOKUP(C56,Tabla156[Value],Tabla156[Qty],0)</f>
        <v>0</v>
      </c>
      <c r="V56" s="74" t="str">
        <f>_xlfn.XLOOKUP(C56,Tabla156[Value],Tabla156[Part],"-")</f>
        <v>-</v>
      </c>
      <c r="W56" s="137" t="str">
        <f>_xlfn.XLOOKUP(C56,Tabla156[Value],Tabla156[Position],"-")</f>
        <v>-</v>
      </c>
      <c r="X56" s="129">
        <f>(R56+U56)*F56</f>
        <v>0</v>
      </c>
    </row>
    <row r="57" spans="1:24" x14ac:dyDescent="0.2">
      <c r="A57" s="128">
        <v>52</v>
      </c>
      <c r="B57" s="128">
        <f>SUM(H57,K57,N57,R57,U57)</f>
        <v>1</v>
      </c>
      <c r="C57" s="128" t="s">
        <v>89</v>
      </c>
      <c r="D57" s="128" t="s">
        <v>13</v>
      </c>
      <c r="E57" s="128" t="s">
        <v>98</v>
      </c>
      <c r="F57" s="129">
        <v>0.38779999999999998</v>
      </c>
      <c r="G57" s="34" t="s">
        <v>115</v>
      </c>
      <c r="H57" s="135">
        <f>_xlfn.XLOOKUP(C57,Tabla13[Value],Tabla13[Qty],0)</f>
        <v>0</v>
      </c>
      <c r="I57" s="74" t="str">
        <f>_xlfn.XLOOKUP(C57,Tabla13[Value],Tabla13[Part],"-")</f>
        <v>-</v>
      </c>
      <c r="J57" s="74" t="str">
        <f>_xlfn.XLOOKUP(C57,Tabla13[Value],Tabla13[Position],"-")</f>
        <v>-</v>
      </c>
      <c r="K57" s="136">
        <f>_xlfn.XLOOKUP(C57,Tabla1[Value],Tabla1[Qty],0)</f>
        <v>1</v>
      </c>
      <c r="L57" s="74" t="str">
        <f>_xlfn.XLOOKUP(C57,Tabla1[Value],Tabla1[Part],"-")</f>
        <v>U1</v>
      </c>
      <c r="M57" s="137">
        <f>_xlfn.XLOOKUP(C57,Tabla1[Value],Tabla1[Position],"-")</f>
        <v>29</v>
      </c>
      <c r="N57" s="136">
        <f>_xlfn.XLOOKUP(C57,Tabla15[Value],Tabla15[Qty],0)</f>
        <v>0</v>
      </c>
      <c r="O57" s="74" t="str">
        <f>_xlfn.XLOOKUP(C57,Tabla15[Value],Tabla15[Part],"-")</f>
        <v>-</v>
      </c>
      <c r="P57" s="137" t="str">
        <f>_xlfn.XLOOKUP(C57,Tabla15[Value],Tabla15[Position],"-")</f>
        <v>-</v>
      </c>
      <c r="Q57" s="134">
        <f>SUM(H57,K57,N57)*F57</f>
        <v>0.38779999999999998</v>
      </c>
      <c r="R57" s="135">
        <f>_xlfn.XLOOKUP(C57,Tabla14[Value],Tabla14[Qty],0)</f>
        <v>0</v>
      </c>
      <c r="S57" s="74" t="str">
        <f>_xlfn.XLOOKUP(C57,Tabla14[Value],Tabla14[Part],"-")</f>
        <v>-</v>
      </c>
      <c r="T57" s="133" t="str">
        <f>_xlfn.XLOOKUP(C57,Tabla14[Value],Tabla14[Position],"-")</f>
        <v>-</v>
      </c>
      <c r="U57" s="136">
        <f>_xlfn.XLOOKUP(C57,Tabla156[Value],Tabla156[Qty],0)</f>
        <v>0</v>
      </c>
      <c r="V57" s="74" t="str">
        <f>_xlfn.XLOOKUP(C57,Tabla156[Value],Tabla156[Part],"-")</f>
        <v>-</v>
      </c>
      <c r="W57" s="137" t="str">
        <f>_xlfn.XLOOKUP(C57,Tabla156[Value],Tabla156[Position],"-")</f>
        <v>-</v>
      </c>
      <c r="X57" s="129">
        <f>(R57+U57)*F57</f>
        <v>0</v>
      </c>
    </row>
    <row r="58" spans="1:24" x14ac:dyDescent="0.2">
      <c r="A58" s="128">
        <v>53</v>
      </c>
      <c r="B58" s="128">
        <f>SUM(H58,K58,N58,R58,U58)</f>
        <v>1</v>
      </c>
      <c r="C58" s="128" t="s">
        <v>38</v>
      </c>
      <c r="D58" s="128" t="s">
        <v>13</v>
      </c>
      <c r="E58" s="128" t="s">
        <v>39</v>
      </c>
      <c r="F58" s="129">
        <v>1.7275</v>
      </c>
      <c r="G58" s="34" t="s">
        <v>116</v>
      </c>
      <c r="H58" s="135">
        <f>_xlfn.XLOOKUP(C58,Tabla13[Value],Tabla13[Qty],0)</f>
        <v>0</v>
      </c>
      <c r="I58" s="74" t="str">
        <f>_xlfn.XLOOKUP(C58,Tabla13[Value],Tabla13[Part],"-")</f>
        <v>-</v>
      </c>
      <c r="J58" s="74" t="str">
        <f>_xlfn.XLOOKUP(C58,Tabla13[Value],Tabla13[Position],"-")</f>
        <v>-</v>
      </c>
      <c r="K58" s="136">
        <f>_xlfn.XLOOKUP(C58,Tabla1[Value],Tabla1[Qty],0)</f>
        <v>1</v>
      </c>
      <c r="L58" s="74" t="str">
        <f>_xlfn.XLOOKUP(C58,Tabla1[Value],Tabla1[Part],"-")</f>
        <v>U3</v>
      </c>
      <c r="M58" s="137">
        <f>_xlfn.XLOOKUP(C58,Tabla1[Value],Tabla1[Position],"-")</f>
        <v>30</v>
      </c>
      <c r="N58" s="136">
        <f>_xlfn.XLOOKUP(C58,Tabla15[Value],Tabla15[Qty],0)</f>
        <v>0</v>
      </c>
      <c r="O58" s="74" t="str">
        <f>_xlfn.XLOOKUP(C58,Tabla15[Value],Tabla15[Part],"-")</f>
        <v>-</v>
      </c>
      <c r="P58" s="137" t="str">
        <f>_xlfn.XLOOKUP(C58,Tabla15[Value],Tabla15[Position],"-")</f>
        <v>-</v>
      </c>
      <c r="Q58" s="134">
        <f>SUM(H58,K58,N58)*F58</f>
        <v>1.7275</v>
      </c>
      <c r="R58" s="135">
        <f>_xlfn.XLOOKUP(C58,Tabla14[Value],Tabla14[Qty],0)</f>
        <v>0</v>
      </c>
      <c r="S58" s="74" t="str">
        <f>_xlfn.XLOOKUP(C58,Tabla14[Value],Tabla14[Part],"-")</f>
        <v>-</v>
      </c>
      <c r="T58" s="133" t="str">
        <f>_xlfn.XLOOKUP(C58,Tabla14[Value],Tabla14[Position],"-")</f>
        <v>-</v>
      </c>
      <c r="U58" s="136">
        <f>_xlfn.XLOOKUP(C58,Tabla156[Value],Tabla156[Qty],0)</f>
        <v>0</v>
      </c>
      <c r="V58" s="74" t="str">
        <f>_xlfn.XLOOKUP(C58,Tabla156[Value],Tabla156[Part],"-")</f>
        <v>-</v>
      </c>
      <c r="W58" s="137" t="str">
        <f>_xlfn.XLOOKUP(C58,Tabla156[Value],Tabla156[Position],"-")</f>
        <v>-</v>
      </c>
      <c r="X58" s="129">
        <f>(R58+U58)*F58</f>
        <v>0</v>
      </c>
    </row>
    <row r="59" spans="1:24" x14ac:dyDescent="0.2">
      <c r="A59" s="128">
        <v>54</v>
      </c>
      <c r="B59" s="128">
        <f>SUM(H59,K59,N59,R59,U59)</f>
        <v>1</v>
      </c>
      <c r="C59" s="128" t="s">
        <v>36</v>
      </c>
      <c r="D59" s="128" t="s">
        <v>13</v>
      </c>
      <c r="E59" s="128" t="s">
        <v>95</v>
      </c>
      <c r="F59" s="129">
        <v>0.54507000000000005</v>
      </c>
      <c r="G59" s="27" t="s">
        <v>117</v>
      </c>
      <c r="H59" s="135">
        <f>_xlfn.XLOOKUP(C59,Tabla13[Value],Tabla13[Qty],0)</f>
        <v>0</v>
      </c>
      <c r="I59" s="74" t="str">
        <f>_xlfn.XLOOKUP(C59,Tabla13[Value],Tabla13[Part],"-")</f>
        <v>-</v>
      </c>
      <c r="J59" s="74" t="str">
        <f>_xlfn.XLOOKUP(C59,Tabla13[Value],Tabla13[Position],"-")</f>
        <v>-</v>
      </c>
      <c r="K59" s="136">
        <f>_xlfn.XLOOKUP(C59,Tabla1[Value],Tabla1[Qty],0)</f>
        <v>1</v>
      </c>
      <c r="L59" s="74" t="str">
        <f>_xlfn.XLOOKUP(C59,Tabla1[Value],Tabla1[Part],"-")</f>
        <v>U7</v>
      </c>
      <c r="M59" s="137">
        <f>_xlfn.XLOOKUP(C59,Tabla1[Value],Tabla1[Position],"-")</f>
        <v>31</v>
      </c>
      <c r="N59" s="136">
        <f>_xlfn.XLOOKUP(C59,Tabla15[Value],Tabla15[Qty],0)</f>
        <v>0</v>
      </c>
      <c r="O59" s="74" t="str">
        <f>_xlfn.XLOOKUP(C59,Tabla15[Value],Tabla15[Part],"-")</f>
        <v>-</v>
      </c>
      <c r="P59" s="137" t="str">
        <f>_xlfn.XLOOKUP(C59,Tabla15[Value],Tabla15[Position],"-")</f>
        <v>-</v>
      </c>
      <c r="Q59" s="134">
        <f>SUM(H59,K59,N59)*F59</f>
        <v>0.54507000000000005</v>
      </c>
      <c r="R59" s="135">
        <f>_xlfn.XLOOKUP(C59,Tabla14[Value],Tabla14[Qty],0)</f>
        <v>0</v>
      </c>
      <c r="S59" s="74" t="str">
        <f>_xlfn.XLOOKUP(C59,Tabla14[Value],Tabla14[Part],"-")</f>
        <v>-</v>
      </c>
      <c r="T59" s="133" t="str">
        <f>_xlfn.XLOOKUP(C59,Tabla14[Value],Tabla14[Position],"-")</f>
        <v>-</v>
      </c>
      <c r="U59" s="136">
        <f>_xlfn.XLOOKUP(C59,Tabla156[Value],Tabla156[Qty],0)</f>
        <v>0</v>
      </c>
      <c r="V59" s="74" t="str">
        <f>_xlfn.XLOOKUP(C59,Tabla156[Value],Tabla156[Part],"-")</f>
        <v>-</v>
      </c>
      <c r="W59" s="137" t="str">
        <f>_xlfn.XLOOKUP(C59,Tabla156[Value],Tabla156[Position],"-")</f>
        <v>-</v>
      </c>
      <c r="X59" s="129">
        <f>(R59+U59)*F59</f>
        <v>0</v>
      </c>
    </row>
    <row r="60" spans="1:24" x14ac:dyDescent="0.2">
      <c r="A60" s="128">
        <v>55</v>
      </c>
      <c r="B60" s="128">
        <f>SUM(H60,K60,N60,R60,U60)</f>
        <v>1</v>
      </c>
      <c r="C60" s="128" t="s">
        <v>234</v>
      </c>
      <c r="D60" s="128" t="s">
        <v>13</v>
      </c>
      <c r="E60" s="128" t="s">
        <v>235</v>
      </c>
      <c r="F60" s="129">
        <v>0.67</v>
      </c>
      <c r="G60" s="27" t="s">
        <v>233</v>
      </c>
      <c r="H60" s="135">
        <f>_xlfn.XLOOKUP(C60,Tabla13[Value],Tabla13[Qty],0)</f>
        <v>0</v>
      </c>
      <c r="I60" s="74" t="str">
        <f>_xlfn.XLOOKUP(C60,Tabla13[Value],Tabla13[Part],"-")</f>
        <v>-</v>
      </c>
      <c r="J60" s="74" t="str">
        <f>_xlfn.XLOOKUP(C60,Tabla13[Value],Tabla13[Position],"-")</f>
        <v>-</v>
      </c>
      <c r="K60" s="136">
        <f>_xlfn.XLOOKUP(C60,Tabla1[Value],Tabla1[Qty],0)</f>
        <v>0</v>
      </c>
      <c r="L60" s="74" t="str">
        <f>_xlfn.XLOOKUP(C60,Tabla1[Value],Tabla1[Part],"-")</f>
        <v>-</v>
      </c>
      <c r="M60" s="137" t="str">
        <f>_xlfn.XLOOKUP(C60,Tabla1[Value],Tabla1[Position],"-")</f>
        <v>-</v>
      </c>
      <c r="N60" s="136">
        <f>_xlfn.XLOOKUP(C60,Tabla15[Value],Tabla15[Qty],0)</f>
        <v>1</v>
      </c>
      <c r="O60" s="74" t="str">
        <f>_xlfn.XLOOKUP(C60,Tabla15[Value],Tabla15[Part],"-")</f>
        <v xml:space="preserve"> U1 </v>
      </c>
      <c r="P60" s="137">
        <f>_xlfn.XLOOKUP(C60,Tabla15[Value],Tabla15[Position],"-")</f>
        <v>4</v>
      </c>
      <c r="Q60" s="134">
        <f>SUM(H60,K60,N60)*F60</f>
        <v>0.67</v>
      </c>
      <c r="R60" s="135">
        <f>_xlfn.XLOOKUP(C60,Tabla14[Value],Tabla14[Qty],0)</f>
        <v>0</v>
      </c>
      <c r="S60" s="74" t="str">
        <f>_xlfn.XLOOKUP(C60,Tabla14[Value],Tabla14[Part],"-")</f>
        <v>-</v>
      </c>
      <c r="T60" s="133" t="str">
        <f>_xlfn.XLOOKUP(C60,Tabla14[Value],Tabla14[Position],"-")</f>
        <v>-</v>
      </c>
      <c r="U60" s="136">
        <f>_xlfn.XLOOKUP(C60,Tabla156[Value],Tabla156[Qty],0)</f>
        <v>0</v>
      </c>
      <c r="V60" s="74" t="str">
        <f>_xlfn.XLOOKUP(C60,Tabla156[Value],Tabla156[Part],"-")</f>
        <v>-</v>
      </c>
      <c r="W60" s="137" t="str">
        <f>_xlfn.XLOOKUP(C60,Tabla156[Value],Tabla156[Position],"-")</f>
        <v>-</v>
      </c>
      <c r="X60" s="129">
        <f>(R60+U60)*F60</f>
        <v>0</v>
      </c>
    </row>
    <row r="61" spans="1:24" x14ac:dyDescent="0.2">
      <c r="A61" s="128">
        <v>56</v>
      </c>
      <c r="B61" s="128">
        <f>SUM(H61,K61,N61,R61,U61)</f>
        <v>2</v>
      </c>
      <c r="C61" s="128" t="s">
        <v>209</v>
      </c>
      <c r="D61" s="128" t="s">
        <v>210</v>
      </c>
      <c r="E61" s="128" t="s">
        <v>209</v>
      </c>
      <c r="F61" s="129">
        <v>9.7239999999999993E-2</v>
      </c>
      <c r="G61" s="27" t="s">
        <v>222</v>
      </c>
      <c r="H61" s="135">
        <f>_xlfn.XLOOKUP(C61,Tabla13[Value],Tabla13[Qty],0)</f>
        <v>0</v>
      </c>
      <c r="I61" s="74" t="str">
        <f>_xlfn.XLOOKUP(C61,Tabla13[Value],Tabla13[Part],"-")</f>
        <v>-</v>
      </c>
      <c r="J61" s="74" t="str">
        <f>_xlfn.XLOOKUP(C61,Tabla13[Value],Tabla13[Position],"-")</f>
        <v>-</v>
      </c>
      <c r="K61" s="136">
        <f>_xlfn.XLOOKUP(C61,Tabla1[Value],Tabla1[Qty],0)</f>
        <v>0</v>
      </c>
      <c r="L61" s="74" t="str">
        <f>_xlfn.XLOOKUP(C61,Tabla1[Value],Tabla1[Part],"-")</f>
        <v>-</v>
      </c>
      <c r="M61" s="137" t="str">
        <f>_xlfn.XLOOKUP(C61,Tabla1[Value],Tabla1[Position],"-")</f>
        <v>-</v>
      </c>
      <c r="N61" s="136">
        <f>_xlfn.XLOOKUP(C61,Tabla15[Value],Tabla15[Qty],0)</f>
        <v>2</v>
      </c>
      <c r="O61" s="74" t="str">
        <f>_xlfn.XLOOKUP(C61,Tabla15[Value],Tabla15[Part],"-")</f>
        <v xml:space="preserve">S1, S2 </v>
      </c>
      <c r="P61" s="137">
        <f>_xlfn.XLOOKUP(C61,Tabla15[Value],Tabla15[Position],"-")</f>
        <v>5</v>
      </c>
      <c r="Q61" s="134">
        <f>SUM(H61,K61,N61)*F61</f>
        <v>0.19447999999999999</v>
      </c>
      <c r="R61" s="135">
        <f>_xlfn.XLOOKUP(C61,Tabla14[Value],Tabla14[Qty],0)</f>
        <v>0</v>
      </c>
      <c r="S61" s="74" t="str">
        <f>_xlfn.XLOOKUP(C61,Tabla14[Value],Tabla14[Part],"-")</f>
        <v>-</v>
      </c>
      <c r="T61" s="133" t="str">
        <f>_xlfn.XLOOKUP(C61,Tabla14[Value],Tabla14[Position],"-")</f>
        <v>-</v>
      </c>
      <c r="U61" s="136">
        <f>_xlfn.XLOOKUP(C61,Tabla156[Value],Tabla156[Qty],0)</f>
        <v>0</v>
      </c>
      <c r="V61" s="74" t="str">
        <f>_xlfn.XLOOKUP(C61,Tabla156[Value],Tabla156[Part],"-")</f>
        <v>-</v>
      </c>
      <c r="W61" s="137" t="str">
        <f>_xlfn.XLOOKUP(C61,Tabla156[Value],Tabla156[Position],"-")</f>
        <v>-</v>
      </c>
      <c r="X61" s="129">
        <f>(R61+U61)*F61</f>
        <v>0</v>
      </c>
    </row>
    <row r="62" spans="1:24" ht="25.5" x14ac:dyDescent="0.2">
      <c r="A62" s="128">
        <v>57</v>
      </c>
      <c r="B62" s="128">
        <f>SUM(H62,K62,N62,R62,U62)</f>
        <v>90</v>
      </c>
      <c r="C62" s="30" t="s">
        <v>273</v>
      </c>
      <c r="D62" s="128" t="s">
        <v>167</v>
      </c>
      <c r="E62" s="128" t="s">
        <v>281</v>
      </c>
      <c r="F62" s="129">
        <v>3.1969999999999998E-2</v>
      </c>
      <c r="G62" s="40" t="s">
        <v>282</v>
      </c>
      <c r="H62" s="135">
        <f>_xlfn.XLOOKUP(C62,Tabla13[Value],Tabla13[Qty],0)</f>
        <v>0</v>
      </c>
      <c r="I62" s="74" t="str">
        <f>_xlfn.XLOOKUP(C62,Tabla13[Value],Tabla13[Part],"-")</f>
        <v>-</v>
      </c>
      <c r="J62" s="74" t="str">
        <f>_xlfn.XLOOKUP(C62,Tabla13[Value],Tabla13[Position],"-")</f>
        <v>-</v>
      </c>
      <c r="K62" s="136">
        <f>_xlfn.XLOOKUP(C62,Tabla1[Value],Tabla1[Qty],0)</f>
        <v>0</v>
      </c>
      <c r="L62" s="74" t="str">
        <f>_xlfn.XLOOKUP(C62,Tabla1[Value],Tabla1[Part],"-")</f>
        <v>-</v>
      </c>
      <c r="M62" s="137" t="str">
        <f>_xlfn.XLOOKUP(C62,Tabla1[Value],Tabla1[Position],"-")</f>
        <v>-</v>
      </c>
      <c r="N62" s="136">
        <f>_xlfn.XLOOKUP(C62,Tabla15[Value],Tabla15[Qty],0)</f>
        <v>90</v>
      </c>
      <c r="O62" s="150" t="str">
        <f>_xlfn.XLOOKUP(C62,Tabla15[Value],Tabla15[Part],"-")</f>
        <v>C1-3, C1-4, C1-5, C1-6, C1-7, C1-8,C2-3, C2-4, C2-5, C2-6, C2-7, C2-8, C2-9, C2-10, C2-11, C2-12, C2-13, C2-14, C3-3, C3-4, C3-5, C3-6, C3-7, C3-8, C3-9, C3-10, C3-11, C3-12, C3-13, C3-14, C4-3, C4-4, C4-5, C4-6, C4-7, C4-8, C4-9, C4-10, C4-11, C4-12, C4-13, C4-14, C5-3, C5-4, C5-5, C5-6, C5-7, C5-8, C5-9, C5-10, C5-11, C5-12, C5-13, C5-14, C6-3, C6-4, C6-5, C6-6, C6-7, C6-8, C6-9, C6-10, C6-11, C6-12, C6-13, C6-14, C7-3, C7-4, C7-5, C7-6, C7-7, C7-8, C7-9, C7-10, C7-11, C7-12, C7-13, C7-14,C8-3, C8-4, C8-5, C8-6, C8-7, C8-8, C8-9, C8-10, C8-11, C8-12, C8-13, C8-14</v>
      </c>
      <c r="P62" s="137">
        <f>_xlfn.XLOOKUP(C62,Tabla15[Value],Tabla15[Position],"-")</f>
        <v>6</v>
      </c>
      <c r="Q62" s="134">
        <f>SUM(H62,K62,N62)*F62</f>
        <v>2.8773</v>
      </c>
      <c r="R62" s="135">
        <f>_xlfn.XLOOKUP(C62,Tabla14[Value],Tabla14[Qty],0)</f>
        <v>0</v>
      </c>
      <c r="S62" s="74" t="str">
        <f>_xlfn.XLOOKUP(C62,Tabla14[Value],Tabla14[Part],"-")</f>
        <v>-</v>
      </c>
      <c r="T62" s="133" t="str">
        <f>_xlfn.XLOOKUP(C62,Tabla14[Value],Tabla14[Position],"-")</f>
        <v>-</v>
      </c>
      <c r="U62" s="136">
        <f>_xlfn.XLOOKUP(C62,Tabla156[Value],Tabla156[Qty],0)</f>
        <v>0</v>
      </c>
      <c r="V62" s="74" t="str">
        <f>_xlfn.XLOOKUP(C62,Tabla156[Value],Tabla156[Part],"-")</f>
        <v>-</v>
      </c>
      <c r="W62" s="137" t="str">
        <f>_xlfn.XLOOKUP(C62,Tabla156[Value],Tabla156[Position],"-")</f>
        <v>-</v>
      </c>
      <c r="X62" s="129">
        <f>(R62+U62)*F62</f>
        <v>0</v>
      </c>
    </row>
    <row r="63" spans="1:24" x14ac:dyDescent="0.2">
      <c r="A63" s="128">
        <v>58</v>
      </c>
      <c r="B63" s="128">
        <f>SUM(H63,K63,N63,R63,U63)</f>
        <v>1</v>
      </c>
      <c r="C63" s="128" t="s">
        <v>179</v>
      </c>
      <c r="D63" s="128" t="s">
        <v>180</v>
      </c>
      <c r="E63" s="128" t="s">
        <v>174</v>
      </c>
      <c r="F63" s="129">
        <v>0.66451000000000005</v>
      </c>
      <c r="G63" s="44" t="s">
        <v>181</v>
      </c>
      <c r="H63" s="135">
        <f>_xlfn.XLOOKUP(C63,Tabla13[Value],Tabla13[Qty],0)</f>
        <v>0</v>
      </c>
      <c r="I63" s="74" t="str">
        <f>_xlfn.XLOOKUP(C63,Tabla13[Value],Tabla13[Part],"-")</f>
        <v>-</v>
      </c>
      <c r="J63" s="74" t="str">
        <f>_xlfn.XLOOKUP(C63,Tabla13[Value],Tabla13[Position],"-")</f>
        <v>-</v>
      </c>
      <c r="K63" s="136">
        <f>_xlfn.XLOOKUP(C63,Tabla1[Value],Tabla1[Qty],0)</f>
        <v>0</v>
      </c>
      <c r="L63" s="74" t="str">
        <f>_xlfn.XLOOKUP(C63,Tabla1[Value],Tabla1[Part],"-")</f>
        <v>-</v>
      </c>
      <c r="M63" s="137" t="str">
        <f>_xlfn.XLOOKUP(C63,Tabla1[Value],Tabla1[Position],"-")</f>
        <v>-</v>
      </c>
      <c r="N63" s="136">
        <f>_xlfn.XLOOKUP(C63,Tabla15[Value],Tabla15[Qty],0)</f>
        <v>0</v>
      </c>
      <c r="O63" s="74" t="str">
        <f>_xlfn.XLOOKUP(C63,Tabla15[Value],Tabla15[Part],"-")</f>
        <v>-</v>
      </c>
      <c r="P63" s="137" t="str">
        <f>_xlfn.XLOOKUP(C63,Tabla15[Value],Tabla15[Position],"-")</f>
        <v>-</v>
      </c>
      <c r="Q63" s="134">
        <f>SUM(H63,K63,N63)*F63</f>
        <v>0</v>
      </c>
      <c r="R63" s="135">
        <f>_xlfn.XLOOKUP(C63,Tabla14[Value],Tabla14[Qty],0)</f>
        <v>1</v>
      </c>
      <c r="S63" s="74" t="str">
        <f>_xlfn.XLOOKUP(C63,Tabla14[Value],Tabla14[Part],"-")</f>
        <v>J1</v>
      </c>
      <c r="T63" s="133">
        <f>_xlfn.XLOOKUP(C63,Tabla14[Value],Tabla14[Position],"-")</f>
        <v>13</v>
      </c>
      <c r="U63" s="136">
        <f>_xlfn.XLOOKUP(C63,Tabla156[Value],Tabla156[Qty],0)</f>
        <v>0</v>
      </c>
      <c r="V63" s="74" t="str">
        <f>_xlfn.XLOOKUP(C63,Tabla156[Value],Tabla156[Part],"-")</f>
        <v>-</v>
      </c>
      <c r="W63" s="137" t="str">
        <f>_xlfn.XLOOKUP(C63,Tabla156[Value],Tabla156[Position],"-")</f>
        <v>-</v>
      </c>
      <c r="X63" s="129">
        <f>(R63+U63)*F63</f>
        <v>0.66451000000000005</v>
      </c>
    </row>
    <row r="64" spans="1:24" x14ac:dyDescent="0.2">
      <c r="A64" s="128">
        <v>59</v>
      </c>
      <c r="B64" s="128">
        <f>SUM(H64,K64,N64,R64,U64)</f>
        <v>1</v>
      </c>
      <c r="C64" s="128" t="s">
        <v>183</v>
      </c>
      <c r="D64" s="128" t="s">
        <v>13</v>
      </c>
      <c r="E64" s="128" t="s">
        <v>184</v>
      </c>
      <c r="F64" s="129">
        <v>0.88761999999999996</v>
      </c>
      <c r="G64" s="44" t="s">
        <v>185</v>
      </c>
      <c r="H64" s="135">
        <f>_xlfn.XLOOKUP(C64,Tabla13[Value],Tabla13[Qty],0)</f>
        <v>0</v>
      </c>
      <c r="I64" s="74" t="str">
        <f>_xlfn.XLOOKUP(C64,Tabla13[Value],Tabla13[Part],"-")</f>
        <v>-</v>
      </c>
      <c r="J64" s="74" t="str">
        <f>_xlfn.XLOOKUP(C64,Tabla13[Value],Tabla13[Position],"-")</f>
        <v>-</v>
      </c>
      <c r="K64" s="136">
        <f>_xlfn.XLOOKUP(C64,Tabla1[Value],Tabla1[Qty],0)</f>
        <v>0</v>
      </c>
      <c r="L64" s="74" t="str">
        <f>_xlfn.XLOOKUP(C64,Tabla1[Value],Tabla1[Part],"-")</f>
        <v>-</v>
      </c>
      <c r="M64" s="137" t="str">
        <f>_xlfn.XLOOKUP(C64,Tabla1[Value],Tabla1[Position],"-")</f>
        <v>-</v>
      </c>
      <c r="N64" s="136">
        <f>_xlfn.XLOOKUP(C64,Tabla15[Value],Tabla15[Qty],0)</f>
        <v>0</v>
      </c>
      <c r="O64" s="74" t="str">
        <f>_xlfn.XLOOKUP(C64,Tabla15[Value],Tabla15[Part],"-")</f>
        <v>-</v>
      </c>
      <c r="P64" s="137" t="str">
        <f>_xlfn.XLOOKUP(C64,Tabla15[Value],Tabla15[Position],"-")</f>
        <v>-</v>
      </c>
      <c r="Q64" s="134">
        <f>SUM(H64,K64,N64)*F64</f>
        <v>0</v>
      </c>
      <c r="R64" s="135">
        <f>_xlfn.XLOOKUP(C64,Tabla14[Value],Tabla14[Qty],0)</f>
        <v>1</v>
      </c>
      <c r="S64" s="74" t="str">
        <f>_xlfn.XLOOKUP(C64,Tabla14[Value],Tabla14[Part],"-")</f>
        <v>U5</v>
      </c>
      <c r="T64" s="133">
        <f>_xlfn.XLOOKUP(C64,Tabla14[Value],Tabla14[Position],"-")</f>
        <v>14</v>
      </c>
      <c r="U64" s="136">
        <f>_xlfn.XLOOKUP(C64,Tabla156[Value],Tabla156[Qty],0)</f>
        <v>0</v>
      </c>
      <c r="V64" s="74" t="str">
        <f>_xlfn.XLOOKUP(C64,Tabla156[Value],Tabla156[Part],"-")</f>
        <v>-</v>
      </c>
      <c r="W64" s="137" t="str">
        <f>_xlfn.XLOOKUP(C64,Tabla156[Value],Tabla156[Position],"-")</f>
        <v>-</v>
      </c>
      <c r="X64" s="129">
        <f>(R64+U64)*F64</f>
        <v>0.88761999999999996</v>
      </c>
    </row>
    <row r="65" spans="1:24" x14ac:dyDescent="0.2">
      <c r="A65" s="128">
        <v>60</v>
      </c>
      <c r="B65" s="128">
        <f>SUM(H65,K65,N65,R65,U65)</f>
        <v>2</v>
      </c>
      <c r="C65" s="128" t="s">
        <v>187</v>
      </c>
      <c r="D65" s="128" t="s">
        <v>21</v>
      </c>
      <c r="E65" s="128" t="s">
        <v>231</v>
      </c>
      <c r="F65" s="129">
        <v>0.42502000000000001</v>
      </c>
      <c r="G65" s="44" t="s">
        <v>188</v>
      </c>
      <c r="H65" s="135">
        <f>_xlfn.XLOOKUP(C65,Tabla13[Value],Tabla13[Qty],0)</f>
        <v>0</v>
      </c>
      <c r="I65" s="74" t="str">
        <f>_xlfn.XLOOKUP(C65,Tabla13[Value],Tabla13[Part],"-")</f>
        <v>-</v>
      </c>
      <c r="J65" s="74" t="str">
        <f>_xlfn.XLOOKUP(C65,Tabla13[Value],Tabla13[Position],"-")</f>
        <v>-</v>
      </c>
      <c r="K65" s="136">
        <f>_xlfn.XLOOKUP(C65,Tabla1[Value],Tabla1[Qty],0)</f>
        <v>0</v>
      </c>
      <c r="L65" s="74" t="str">
        <f>_xlfn.XLOOKUP(C65,Tabla1[Value],Tabla1[Part],"-")</f>
        <v>-</v>
      </c>
      <c r="M65" s="137" t="str">
        <f>_xlfn.XLOOKUP(C65,Tabla1[Value],Tabla1[Position],"-")</f>
        <v>-</v>
      </c>
      <c r="N65" s="136">
        <f>_xlfn.XLOOKUP(C65,Tabla15[Value],Tabla15[Qty],0)</f>
        <v>0</v>
      </c>
      <c r="O65" s="74" t="str">
        <f>_xlfn.XLOOKUP(C65,Tabla15[Value],Tabla15[Part],"-")</f>
        <v>-</v>
      </c>
      <c r="P65" s="137" t="str">
        <f>_xlfn.XLOOKUP(C65,Tabla15[Value],Tabla15[Position],"-")</f>
        <v>-</v>
      </c>
      <c r="Q65" s="134">
        <f>SUM(H65,K65,N65)*F65</f>
        <v>0</v>
      </c>
      <c r="R65" s="135">
        <f>_xlfn.XLOOKUP(C65,Tabla14[Value],Tabla14[Qty],0)</f>
        <v>2</v>
      </c>
      <c r="S65" s="74" t="str">
        <f>_xlfn.XLOOKUP(C65,Tabla14[Value],Tabla14[Part],"-")</f>
        <v>QD,QC</v>
      </c>
      <c r="T65" s="133">
        <f>_xlfn.XLOOKUP(C65,Tabla14[Value],Tabla14[Position],"-")</f>
        <v>15</v>
      </c>
      <c r="U65" s="136">
        <f>_xlfn.XLOOKUP(C65,Tabla156[Value],Tabla156[Qty],0)</f>
        <v>0</v>
      </c>
      <c r="V65" s="74" t="str">
        <f>_xlfn.XLOOKUP(C65,Tabla156[Value],Tabla156[Part],"-")</f>
        <v>-</v>
      </c>
      <c r="W65" s="137" t="str">
        <f>_xlfn.XLOOKUP(C65,Tabla156[Value],Tabla156[Position],"-")</f>
        <v>-</v>
      </c>
      <c r="X65" s="129">
        <f>(R65+U65)*F65</f>
        <v>0.85004000000000002</v>
      </c>
    </row>
    <row r="66" spans="1:24" x14ac:dyDescent="0.2">
      <c r="A66" s="128">
        <v>61</v>
      </c>
      <c r="B66" s="128">
        <f>SUM(H66,K66,N66,R66,U66)</f>
        <v>1</v>
      </c>
      <c r="C66" s="128" t="s">
        <v>190</v>
      </c>
      <c r="D66" s="128" t="s">
        <v>180</v>
      </c>
      <c r="E66" s="128" t="s">
        <v>191</v>
      </c>
      <c r="F66" s="129">
        <v>0.8085</v>
      </c>
      <c r="G66" s="44" t="s">
        <v>192</v>
      </c>
      <c r="H66" s="135">
        <f>_xlfn.XLOOKUP(C66,Tabla13[Value],Tabla13[Qty],0)</f>
        <v>0</v>
      </c>
      <c r="I66" s="74" t="str">
        <f>_xlfn.XLOOKUP(C66,Tabla13[Value],Tabla13[Part],"-")</f>
        <v>-</v>
      </c>
      <c r="J66" s="74" t="str">
        <f>_xlfn.XLOOKUP(C66,Tabla13[Value],Tabla13[Position],"-")</f>
        <v>-</v>
      </c>
      <c r="K66" s="136">
        <f>_xlfn.XLOOKUP(C66,Tabla1[Value],Tabla1[Qty],0)</f>
        <v>0</v>
      </c>
      <c r="L66" s="74" t="str">
        <f>_xlfn.XLOOKUP(C66,Tabla1[Value],Tabla1[Part],"-")</f>
        <v>-</v>
      </c>
      <c r="M66" s="137" t="str">
        <f>_xlfn.XLOOKUP(C66,Tabla1[Value],Tabla1[Position],"-")</f>
        <v>-</v>
      </c>
      <c r="N66" s="136">
        <f>_xlfn.XLOOKUP(C66,Tabla15[Value],Tabla15[Qty],0)</f>
        <v>0</v>
      </c>
      <c r="O66" s="74" t="str">
        <f>_xlfn.XLOOKUP(C66,Tabla15[Value],Tabla15[Part],"-")</f>
        <v>-</v>
      </c>
      <c r="P66" s="137" t="str">
        <f>_xlfn.XLOOKUP(C66,Tabla15[Value],Tabla15[Position],"-")</f>
        <v>-</v>
      </c>
      <c r="Q66" s="134">
        <f>SUM(H66,K66,N66)*F66</f>
        <v>0</v>
      </c>
      <c r="R66" s="135">
        <f>_xlfn.XLOOKUP(C66,Tabla14[Value],Tabla14[Qty],0)</f>
        <v>1</v>
      </c>
      <c r="S66" s="74" t="str">
        <f>_xlfn.XLOOKUP(C66,Tabla14[Value],Tabla14[Part],"-")</f>
        <v>J4</v>
      </c>
      <c r="T66" s="133">
        <f>_xlfn.XLOOKUP(C66,Tabla14[Value],Tabla14[Position],"-")</f>
        <v>16</v>
      </c>
      <c r="U66" s="136">
        <f>_xlfn.XLOOKUP(C66,Tabla156[Value],Tabla156[Qty],0)</f>
        <v>0</v>
      </c>
      <c r="V66" s="74" t="str">
        <f>_xlfn.XLOOKUP(C66,Tabla156[Value],Tabla156[Part],"-")</f>
        <v>-</v>
      </c>
      <c r="W66" s="137" t="str">
        <f>_xlfn.XLOOKUP(C66,Tabla156[Value],Tabla156[Position],"-")</f>
        <v>-</v>
      </c>
      <c r="X66" s="129">
        <f>(R66+U66)*F66</f>
        <v>0.8085</v>
      </c>
    </row>
    <row r="67" spans="1:24" s="30" customFormat="1" x14ac:dyDescent="0.2">
      <c r="A67" s="128">
        <v>62</v>
      </c>
      <c r="B67" s="128">
        <f>SUM(H67,K67,N67,R67,U67)</f>
        <v>1</v>
      </c>
      <c r="C67" s="128" t="s">
        <v>194</v>
      </c>
      <c r="D67" s="128" t="s">
        <v>13</v>
      </c>
      <c r="E67" s="128" t="s">
        <v>232</v>
      </c>
      <c r="F67" s="129">
        <v>0.19020000000000001</v>
      </c>
      <c r="G67" s="44" t="s">
        <v>195</v>
      </c>
      <c r="H67" s="135">
        <f>_xlfn.XLOOKUP(C67,Tabla13[Value],Tabla13[Qty],0)</f>
        <v>0</v>
      </c>
      <c r="I67" s="74" t="str">
        <f>_xlfn.XLOOKUP(C67,Tabla13[Value],Tabla13[Part],"-")</f>
        <v>-</v>
      </c>
      <c r="J67" s="74" t="str">
        <f>_xlfn.XLOOKUP(C67,Tabla13[Value],Tabla13[Position],"-")</f>
        <v>-</v>
      </c>
      <c r="K67" s="136">
        <f>_xlfn.XLOOKUP(C67,Tabla1[Value],Tabla1[Qty],0)</f>
        <v>0</v>
      </c>
      <c r="L67" s="74" t="str">
        <f>_xlfn.XLOOKUP(C67,Tabla1[Value],Tabla1[Part],"-")</f>
        <v>-</v>
      </c>
      <c r="M67" s="137" t="str">
        <f>_xlfn.XLOOKUP(C67,Tabla1[Value],Tabla1[Position],"-")</f>
        <v>-</v>
      </c>
      <c r="N67" s="136">
        <f>_xlfn.XLOOKUP(C67,Tabla15[Value],Tabla15[Qty],0)</f>
        <v>0</v>
      </c>
      <c r="O67" s="74" t="str">
        <f>_xlfn.XLOOKUP(C67,Tabla15[Value],Tabla15[Part],"-")</f>
        <v>-</v>
      </c>
      <c r="P67" s="137" t="str">
        <f>_xlfn.XLOOKUP(C67,Tabla15[Value],Tabla15[Position],"-")</f>
        <v>-</v>
      </c>
      <c r="Q67" s="134">
        <f>SUM(H67,K67,N67)*F67</f>
        <v>0</v>
      </c>
      <c r="R67" s="135">
        <f>_xlfn.XLOOKUP(C67,Tabla14[Value],Tabla14[Qty],0)</f>
        <v>1</v>
      </c>
      <c r="S67" s="74" t="str">
        <f>_xlfn.XLOOKUP(C67,Tabla14[Value],Tabla14[Part],"-")</f>
        <v>U9</v>
      </c>
      <c r="T67" s="133">
        <f>_xlfn.XLOOKUP(C67,Tabla14[Value],Tabla14[Position],"-")</f>
        <v>17</v>
      </c>
      <c r="U67" s="136">
        <f>_xlfn.XLOOKUP(C67,Tabla156[Value],Tabla156[Qty],0)</f>
        <v>0</v>
      </c>
      <c r="V67" s="74" t="str">
        <f>_xlfn.XLOOKUP(C67,Tabla156[Value],Tabla156[Part],"-")</f>
        <v>-</v>
      </c>
      <c r="W67" s="137" t="str">
        <f>_xlfn.XLOOKUP(C67,Tabla156[Value],Tabla156[Position],"-")</f>
        <v>-</v>
      </c>
      <c r="X67" s="129">
        <f>(R67+U67)*F67</f>
        <v>0.19020000000000001</v>
      </c>
    </row>
    <row r="68" spans="1:24" x14ac:dyDescent="0.2">
      <c r="A68" s="128">
        <v>63</v>
      </c>
      <c r="B68" s="128">
        <f>SUM(H68,K68,N68,R68,U68)</f>
        <v>5</v>
      </c>
      <c r="C68" s="31" t="s">
        <v>289</v>
      </c>
      <c r="D68" s="128" t="s">
        <v>167</v>
      </c>
      <c r="E68" s="128" t="s">
        <v>281</v>
      </c>
      <c r="F68" s="154">
        <v>0.152</v>
      </c>
      <c r="G68" s="151" t="s">
        <v>286</v>
      </c>
      <c r="H68" s="135">
        <f>_xlfn.XLOOKUP(C68,Tabla13[Value],Tabla13[Qty],0)</f>
        <v>0</v>
      </c>
      <c r="I68" s="74" t="str">
        <f>_xlfn.XLOOKUP(C68,Tabla13[Value],Tabla13[Part],"-")</f>
        <v>-</v>
      </c>
      <c r="J68" s="74" t="str">
        <f>_xlfn.XLOOKUP(C68,Tabla13[Value],Tabla13[Position],"-")</f>
        <v>-</v>
      </c>
      <c r="K68" s="136">
        <f>_xlfn.XLOOKUP(C68,Tabla1[Value],Tabla1[Qty],0)</f>
        <v>0</v>
      </c>
      <c r="L68" s="74" t="str">
        <f>_xlfn.XLOOKUP(C68,Tabla1[Value],Tabla1[Part],"-")</f>
        <v>-</v>
      </c>
      <c r="M68" s="137" t="str">
        <f>_xlfn.XLOOKUP(C68,Tabla1[Value],Tabla1[Position],"-")</f>
        <v>-</v>
      </c>
      <c r="N68" s="136">
        <f>_xlfn.XLOOKUP(C68,Tabla15[Value],Tabla15[Qty],0)</f>
        <v>5</v>
      </c>
      <c r="O68" s="74" t="str">
        <f>_xlfn.XLOOKUP(C68,Tabla15[Value],Tabla15[Part],"-")</f>
        <v>C8-2,C8-15,C7-15,C6-15,C2-15,C7-2</v>
      </c>
      <c r="P68" s="137">
        <f>_xlfn.XLOOKUP(C68,Tabla15[Value],Tabla15[Position],"-")</f>
        <v>8</v>
      </c>
      <c r="Q68" s="134">
        <f>SUM(H68,K68,N68)*F68</f>
        <v>0.76</v>
      </c>
      <c r="R68" s="135">
        <f>_xlfn.XLOOKUP(C68,Tabla14[Value],Tabla14[Qty],0)</f>
        <v>0</v>
      </c>
      <c r="S68" s="74" t="str">
        <f>_xlfn.XLOOKUP(C68,Tabla14[Value],Tabla14[Part],"-")</f>
        <v>-</v>
      </c>
      <c r="T68" s="133" t="str">
        <f>_xlfn.XLOOKUP(C68,Tabla14[Value],Tabla14[Position],"-")</f>
        <v>-</v>
      </c>
      <c r="U68" s="136">
        <f>_xlfn.XLOOKUP(C68,Tabla156[Value],Tabla156[Qty],0)</f>
        <v>0</v>
      </c>
      <c r="V68" s="74" t="str">
        <f>_xlfn.XLOOKUP(C68,Tabla156[Value],Tabla156[Part],"-")</f>
        <v>-</v>
      </c>
      <c r="W68" s="137" t="str">
        <f>_xlfn.XLOOKUP(C68,Tabla156[Value],Tabla156[Position],"-")</f>
        <v>-</v>
      </c>
      <c r="X68" s="129">
        <f>(R68+U68)*F68</f>
        <v>0</v>
      </c>
    </row>
    <row r="69" spans="1:24" x14ac:dyDescent="0.2">
      <c r="A69" s="128">
        <v>64</v>
      </c>
      <c r="B69" s="128">
        <f>SUM(H69,K69,N69,R69,U69)</f>
        <v>3</v>
      </c>
      <c r="C69" s="153" t="s">
        <v>290</v>
      </c>
      <c r="D69" s="128" t="s">
        <v>167</v>
      </c>
      <c r="E69" s="128" t="s">
        <v>281</v>
      </c>
      <c r="F69" s="154">
        <v>0.13</v>
      </c>
      <c r="G69" s="152" t="s">
        <v>287</v>
      </c>
      <c r="H69" s="135">
        <f>_xlfn.XLOOKUP(C69,Tabla13[Value],Tabla13[Qty],0)</f>
        <v>0</v>
      </c>
      <c r="I69" s="74" t="str">
        <f>_xlfn.XLOOKUP(C69,Tabla13[Value],Tabla13[Part],"-")</f>
        <v>-</v>
      </c>
      <c r="J69" s="74" t="str">
        <f>_xlfn.XLOOKUP(C69,Tabla13[Value],Tabla13[Position],"-")</f>
        <v>-</v>
      </c>
      <c r="K69" s="136">
        <f>_xlfn.XLOOKUP(C69,Tabla1[Value],Tabla1[Qty],0)</f>
        <v>0</v>
      </c>
      <c r="L69" s="74" t="str">
        <f>_xlfn.XLOOKUP(C69,Tabla1[Value],Tabla1[Part],"-")</f>
        <v>-</v>
      </c>
      <c r="M69" s="137" t="str">
        <f>_xlfn.XLOOKUP(C69,Tabla1[Value],Tabla1[Position],"-")</f>
        <v>-</v>
      </c>
      <c r="N69" s="136">
        <f>_xlfn.XLOOKUP(C69,Tabla15[Value],Tabla15[Qty],0)</f>
        <v>3</v>
      </c>
      <c r="O69" s="74" t="str">
        <f>_xlfn.XLOOKUP(C69,Tabla15[Value],Tabla15[Part],"-")</f>
        <v>C5-15,C4-15,C3-15,</v>
      </c>
      <c r="P69" s="137">
        <f>_xlfn.XLOOKUP(C69,Tabla15[Value],Tabla15[Position],"-")</f>
        <v>9</v>
      </c>
      <c r="Q69" s="134">
        <f>SUM(H69,K69,N69)*F69</f>
        <v>0.39</v>
      </c>
      <c r="R69" s="135">
        <f>_xlfn.XLOOKUP(C69,Tabla14[Value],Tabla14[Qty],0)</f>
        <v>0</v>
      </c>
      <c r="S69" s="74" t="str">
        <f>_xlfn.XLOOKUP(C69,Tabla14[Value],Tabla14[Part],"-")</f>
        <v>-</v>
      </c>
      <c r="T69" s="133" t="str">
        <f>_xlfn.XLOOKUP(C69,Tabla14[Value],Tabla14[Position],"-")</f>
        <v>-</v>
      </c>
      <c r="U69" s="136">
        <f>_xlfn.XLOOKUP(C69,Tabla156[Value],Tabla156[Qty],0)</f>
        <v>0</v>
      </c>
      <c r="V69" s="74" t="str">
        <f>_xlfn.XLOOKUP(C69,Tabla156[Value],Tabla156[Part],"-")</f>
        <v>-</v>
      </c>
      <c r="W69" s="137" t="str">
        <f>_xlfn.XLOOKUP(C69,Tabla156[Value],Tabla156[Position],"-")</f>
        <v>-</v>
      </c>
      <c r="X69" s="129">
        <f>(R69+U69)*F69</f>
        <v>0</v>
      </c>
    </row>
    <row r="70" spans="1:24" x14ac:dyDescent="0.2">
      <c r="A70" s="128">
        <v>65</v>
      </c>
      <c r="B70" s="128">
        <f>SUM(H70,K70,N70,R70,U70)</f>
        <v>7</v>
      </c>
      <c r="C70" s="153" t="s">
        <v>291</v>
      </c>
      <c r="D70" s="128" t="s">
        <v>167</v>
      </c>
      <c r="E70" s="128" t="s">
        <v>281</v>
      </c>
      <c r="F70" s="154">
        <v>0.152</v>
      </c>
      <c r="G70" s="152" t="s">
        <v>288</v>
      </c>
      <c r="H70" s="135">
        <f>_xlfn.XLOOKUP(C70,Tabla13[Value],Tabla13[Qty],0)</f>
        <v>0</v>
      </c>
      <c r="I70" s="74" t="str">
        <f>_xlfn.XLOOKUP(C70,Tabla13[Value],Tabla13[Part],"-")</f>
        <v>-</v>
      </c>
      <c r="J70" s="74" t="str">
        <f>_xlfn.XLOOKUP(C70,Tabla13[Value],Tabla13[Position],"-")</f>
        <v>-</v>
      </c>
      <c r="K70" s="136">
        <f>_xlfn.XLOOKUP(C70,Tabla1[Value],Tabla1[Qty],0)</f>
        <v>0</v>
      </c>
      <c r="L70" s="74" t="str">
        <f>_xlfn.XLOOKUP(C70,Tabla1[Value],Tabla1[Part],"-")</f>
        <v>-</v>
      </c>
      <c r="M70" s="137" t="str">
        <f>_xlfn.XLOOKUP(C70,Tabla1[Value],Tabla1[Position],"-")</f>
        <v>-</v>
      </c>
      <c r="N70" s="136">
        <f>_xlfn.XLOOKUP(C70,Tabla15[Value],Tabla15[Qty],0)</f>
        <v>7</v>
      </c>
      <c r="O70" s="74" t="str">
        <f>_xlfn.XLOOKUP(C70,Tabla15[Value],Tabla15[Part],"-")</f>
        <v>C1-2,C2-2,C3-2,C4-2,C5-2,C6-2,</v>
      </c>
      <c r="P70" s="137">
        <f>_xlfn.XLOOKUP(C70,Tabla15[Value],Tabla15[Position],"-")</f>
        <v>7</v>
      </c>
      <c r="Q70" s="134">
        <f>SUM(H70,K70,N70)*F70</f>
        <v>1.0640000000000001</v>
      </c>
      <c r="R70" s="135">
        <f>_xlfn.XLOOKUP(C70,Tabla14[Value],Tabla14[Qty],0)</f>
        <v>0</v>
      </c>
      <c r="S70" s="74" t="str">
        <f>_xlfn.XLOOKUP(C70,Tabla14[Value],Tabla14[Part],"-")</f>
        <v>-</v>
      </c>
      <c r="T70" s="133" t="str">
        <f>_xlfn.XLOOKUP(C70,Tabla14[Value],Tabla14[Position],"-")</f>
        <v>-</v>
      </c>
      <c r="U70" s="136">
        <f>_xlfn.XLOOKUP(C70,Tabla156[Value],Tabla156[Qty],0)</f>
        <v>0</v>
      </c>
      <c r="V70" s="74" t="str">
        <f>_xlfn.XLOOKUP(C70,Tabla156[Value],Tabla156[Part],"-")</f>
        <v>-</v>
      </c>
      <c r="W70" s="137" t="str">
        <f>_xlfn.XLOOKUP(C70,Tabla156[Value],Tabla156[Position],"-")</f>
        <v>-</v>
      </c>
      <c r="X70" s="129">
        <f>(R70+U70)*F70</f>
        <v>0</v>
      </c>
    </row>
    <row r="71" spans="1:24" x14ac:dyDescent="0.2">
      <c r="A71" s="128">
        <v>66</v>
      </c>
      <c r="B71" s="128">
        <f>SUM(H71,K71,N71,R71,U71)</f>
        <v>0</v>
      </c>
      <c r="C71" s="128"/>
      <c r="D71" s="128"/>
      <c r="E71" s="128"/>
      <c r="F71" s="128"/>
      <c r="G71" s="128"/>
      <c r="H71" s="135">
        <f>_xlfn.XLOOKUP(C71,Tabla13[Value],Tabla13[Qty],0)</f>
        <v>0</v>
      </c>
      <c r="I71" s="74" t="str">
        <f>_xlfn.XLOOKUP(C71,Tabla13[Value],Tabla13[Part],"-")</f>
        <v>-</v>
      </c>
      <c r="J71" s="74" t="str">
        <f>_xlfn.XLOOKUP(C71,Tabla13[Value],Tabla13[Position],"-")</f>
        <v>-</v>
      </c>
      <c r="K71" s="136">
        <f>_xlfn.XLOOKUP(C71,Tabla1[Value],Tabla1[Qty],0)</f>
        <v>0</v>
      </c>
      <c r="L71" s="74" t="str">
        <f>_xlfn.XLOOKUP(C71,Tabla1[Value],Tabla1[Part],"-")</f>
        <v>-</v>
      </c>
      <c r="M71" s="137" t="str">
        <f>_xlfn.XLOOKUP(C71,Tabla1[Value],Tabla1[Position],"-")</f>
        <v>-</v>
      </c>
      <c r="N71" s="136">
        <f>_xlfn.XLOOKUP(C71,Tabla15[Value],Tabla15[Qty],0)</f>
        <v>0</v>
      </c>
      <c r="O71" s="74" t="str">
        <f>_xlfn.XLOOKUP(C71,Tabla15[Value],Tabla15[Part],"-")</f>
        <v>-</v>
      </c>
      <c r="P71" s="137" t="str">
        <f>_xlfn.XLOOKUP(C71,Tabla15[Value],Tabla15[Position],"-")</f>
        <v>-</v>
      </c>
      <c r="Q71" s="134">
        <f>SUM(H71,K71,N71)*F71</f>
        <v>0</v>
      </c>
      <c r="R71" s="135">
        <f>_xlfn.XLOOKUP(C71,Tabla14[Value],Tabla14[Qty],0)</f>
        <v>0</v>
      </c>
      <c r="S71" s="74" t="str">
        <f>_xlfn.XLOOKUP(C71,Tabla14[Value],Tabla14[Part],"-")</f>
        <v>-</v>
      </c>
      <c r="T71" s="133" t="str">
        <f>_xlfn.XLOOKUP(C71,Tabla14[Value],Tabla14[Position],"-")</f>
        <v>-</v>
      </c>
      <c r="U71" s="136">
        <f>_xlfn.XLOOKUP(C71,Tabla156[Value],Tabla156[Qty],0)</f>
        <v>0</v>
      </c>
      <c r="V71" s="74">
        <f>_xlfn.XLOOKUP(C71,Tabla156[Value],Tabla156[Part],"-")</f>
        <v>0</v>
      </c>
      <c r="W71" s="137">
        <f>_xlfn.XLOOKUP(C71,Tabla156[Value],Tabla156[Position],"-")</f>
        <v>2</v>
      </c>
      <c r="X71" s="129">
        <f>(R71+U71)*F71</f>
        <v>0</v>
      </c>
    </row>
    <row r="72" spans="1:24" x14ac:dyDescent="0.2">
      <c r="A72" s="128">
        <v>67</v>
      </c>
      <c r="B72" s="128">
        <f>SUM(H72,K72,N72,R72,U72)</f>
        <v>0</v>
      </c>
      <c r="C72" s="128"/>
      <c r="D72" s="128"/>
      <c r="E72" s="128"/>
      <c r="F72" s="128"/>
      <c r="G72" s="128"/>
      <c r="H72" s="135">
        <f>_xlfn.XLOOKUP(C72,Tabla13[Value],Tabla13[Qty],0)</f>
        <v>0</v>
      </c>
      <c r="I72" s="74" t="str">
        <f>_xlfn.XLOOKUP(C72,Tabla13[Value],Tabla13[Part],"-")</f>
        <v>-</v>
      </c>
      <c r="J72" s="74" t="str">
        <f>_xlfn.XLOOKUP(C72,Tabla13[Value],Tabla13[Position],"-")</f>
        <v>-</v>
      </c>
      <c r="K72" s="136">
        <f>_xlfn.XLOOKUP(C72,Tabla1[Value],Tabla1[Qty],0)</f>
        <v>0</v>
      </c>
      <c r="L72" s="74" t="str">
        <f>_xlfn.XLOOKUP(C72,Tabla1[Value],Tabla1[Part],"-")</f>
        <v>-</v>
      </c>
      <c r="M72" s="137" t="str">
        <f>_xlfn.XLOOKUP(C72,Tabla1[Value],Tabla1[Position],"-")</f>
        <v>-</v>
      </c>
      <c r="N72" s="136">
        <f>_xlfn.XLOOKUP(C72,Tabla15[Value],Tabla15[Qty],0)</f>
        <v>0</v>
      </c>
      <c r="O72" s="74" t="str">
        <f>_xlfn.XLOOKUP(C72,Tabla15[Value],Tabla15[Part],"-")</f>
        <v>-</v>
      </c>
      <c r="P72" s="137" t="str">
        <f>_xlfn.XLOOKUP(C72,Tabla15[Value],Tabla15[Position],"-")</f>
        <v>-</v>
      </c>
      <c r="Q72" s="134">
        <f>SUM(H72,K72,N72)*F72</f>
        <v>0</v>
      </c>
      <c r="R72" s="135">
        <f>_xlfn.XLOOKUP(C72,Tabla14[Value],Tabla14[Qty],0)</f>
        <v>0</v>
      </c>
      <c r="S72" s="74" t="str">
        <f>_xlfn.XLOOKUP(C72,Tabla14[Value],Tabla14[Part],"-")</f>
        <v>-</v>
      </c>
      <c r="T72" s="133" t="str">
        <f>_xlfn.XLOOKUP(C72,Tabla14[Value],Tabla14[Position],"-")</f>
        <v>-</v>
      </c>
      <c r="U72" s="136">
        <f>_xlfn.XLOOKUP(C72,Tabla156[Value],Tabla156[Qty],0)</f>
        <v>0</v>
      </c>
      <c r="V72" s="74">
        <f>_xlfn.XLOOKUP(C72,Tabla156[Value],Tabla156[Part],"-")</f>
        <v>0</v>
      </c>
      <c r="W72" s="137">
        <f>_xlfn.XLOOKUP(C72,Tabla156[Value],Tabla156[Position],"-")</f>
        <v>2</v>
      </c>
      <c r="X72" s="129">
        <f>(R72+U72)*F72</f>
        <v>0</v>
      </c>
    </row>
    <row r="73" spans="1:24" x14ac:dyDescent="0.2">
      <c r="A73" s="128">
        <v>68</v>
      </c>
      <c r="B73" s="128">
        <f>SUM(H73,K73,N73,R73,U73)</f>
        <v>0</v>
      </c>
      <c r="C73" s="128"/>
      <c r="D73" s="128"/>
      <c r="E73" s="128"/>
      <c r="F73" s="128"/>
      <c r="G73" s="128"/>
      <c r="H73" s="135">
        <f>_xlfn.XLOOKUP(C73,Tabla13[Value],Tabla13[Qty],0)</f>
        <v>0</v>
      </c>
      <c r="I73" s="74" t="str">
        <f>_xlfn.XLOOKUP(C73,Tabla13[Value],Tabla13[Part],"-")</f>
        <v>-</v>
      </c>
      <c r="J73" s="74" t="str">
        <f>_xlfn.XLOOKUP(C73,Tabla13[Value],Tabla13[Position],"-")</f>
        <v>-</v>
      </c>
      <c r="K73" s="136">
        <f>_xlfn.XLOOKUP(C73,Tabla1[Value],Tabla1[Qty],0)</f>
        <v>0</v>
      </c>
      <c r="L73" s="74" t="str">
        <f>_xlfn.XLOOKUP(C73,Tabla1[Value],Tabla1[Part],"-")</f>
        <v>-</v>
      </c>
      <c r="M73" s="137" t="str">
        <f>_xlfn.XLOOKUP(C73,Tabla1[Value],Tabla1[Position],"-")</f>
        <v>-</v>
      </c>
      <c r="N73" s="136">
        <f>_xlfn.XLOOKUP(C73,Tabla15[Value],Tabla15[Qty],0)</f>
        <v>0</v>
      </c>
      <c r="O73" s="74" t="str">
        <f>_xlfn.XLOOKUP(C73,Tabla15[Value],Tabla15[Part],"-")</f>
        <v>-</v>
      </c>
      <c r="P73" s="137" t="str">
        <f>_xlfn.XLOOKUP(C73,Tabla15[Value],Tabla15[Position],"-")</f>
        <v>-</v>
      </c>
      <c r="Q73" s="134">
        <f>SUM(H73,K73,N73)*F73</f>
        <v>0</v>
      </c>
      <c r="R73" s="135">
        <f>_xlfn.XLOOKUP(C73,Tabla14[Value],Tabla14[Qty],0)</f>
        <v>0</v>
      </c>
      <c r="S73" s="74" t="str">
        <f>_xlfn.XLOOKUP(C73,Tabla14[Value],Tabla14[Part],"-")</f>
        <v>-</v>
      </c>
      <c r="T73" s="133" t="str">
        <f>_xlfn.XLOOKUP(C73,Tabla14[Value],Tabla14[Position],"-")</f>
        <v>-</v>
      </c>
      <c r="U73" s="136">
        <f>_xlfn.XLOOKUP(C73,Tabla156[Value],Tabla156[Qty],0)</f>
        <v>0</v>
      </c>
      <c r="V73" s="74">
        <f>_xlfn.XLOOKUP(C73,Tabla156[Value],Tabla156[Part],"-")</f>
        <v>0</v>
      </c>
      <c r="W73" s="137">
        <f>_xlfn.XLOOKUP(C73,Tabla156[Value],Tabla156[Position],"-")</f>
        <v>2</v>
      </c>
      <c r="X73" s="129">
        <f>(R73+U73)*F73</f>
        <v>0</v>
      </c>
    </row>
    <row r="74" spans="1:24" x14ac:dyDescent="0.2">
      <c r="A74" s="128">
        <v>69</v>
      </c>
      <c r="B74" s="128">
        <f>SUM(H74,K74,N74,R74,U74)</f>
        <v>0</v>
      </c>
      <c r="C74" s="128"/>
      <c r="D74" s="128"/>
      <c r="E74" s="128"/>
      <c r="F74" s="128"/>
      <c r="G74" s="128"/>
      <c r="H74" s="135">
        <f>_xlfn.XLOOKUP(C74,Tabla13[Value],Tabla13[Qty],0)</f>
        <v>0</v>
      </c>
      <c r="I74" s="74" t="str">
        <f>_xlfn.XLOOKUP(C74,Tabla13[Value],Tabla13[Part],"-")</f>
        <v>-</v>
      </c>
      <c r="J74" s="74" t="str">
        <f>_xlfn.XLOOKUP(C74,Tabla13[Value],Tabla13[Position],"-")</f>
        <v>-</v>
      </c>
      <c r="K74" s="136">
        <f>_xlfn.XLOOKUP(C74,Tabla1[Value],Tabla1[Qty],0)</f>
        <v>0</v>
      </c>
      <c r="L74" s="74" t="str">
        <f>_xlfn.XLOOKUP(C74,Tabla1[Value],Tabla1[Part],"-")</f>
        <v>-</v>
      </c>
      <c r="M74" s="137" t="str">
        <f>_xlfn.XLOOKUP(C74,Tabla1[Value],Tabla1[Position],"-")</f>
        <v>-</v>
      </c>
      <c r="N74" s="136">
        <f>_xlfn.XLOOKUP(C74,Tabla15[Value],Tabla15[Qty],0)</f>
        <v>0</v>
      </c>
      <c r="O74" s="74" t="str">
        <f>_xlfn.XLOOKUP(C74,Tabla15[Value],Tabla15[Part],"-")</f>
        <v>-</v>
      </c>
      <c r="P74" s="137" t="str">
        <f>_xlfn.XLOOKUP(C74,Tabla15[Value],Tabla15[Position],"-")</f>
        <v>-</v>
      </c>
      <c r="Q74" s="134">
        <f>SUM(H74,K74,N74)*F74</f>
        <v>0</v>
      </c>
      <c r="R74" s="135">
        <f>_xlfn.XLOOKUP(C74,Tabla14[Value],Tabla14[Qty],0)</f>
        <v>0</v>
      </c>
      <c r="S74" s="74" t="str">
        <f>_xlfn.XLOOKUP(C74,Tabla14[Value],Tabla14[Part],"-")</f>
        <v>-</v>
      </c>
      <c r="T74" s="133" t="str">
        <f>_xlfn.XLOOKUP(C74,Tabla14[Value],Tabla14[Position],"-")</f>
        <v>-</v>
      </c>
      <c r="U74" s="136">
        <f>_xlfn.XLOOKUP(C74,Tabla156[Value],Tabla156[Qty],0)</f>
        <v>0</v>
      </c>
      <c r="V74" s="74">
        <f>_xlfn.XLOOKUP(C74,Tabla156[Value],Tabla156[Part],"-")</f>
        <v>0</v>
      </c>
      <c r="W74" s="137">
        <f>_xlfn.XLOOKUP(C74,Tabla156[Value],Tabla156[Position],"-")</f>
        <v>2</v>
      </c>
      <c r="X74" s="129">
        <f>(R74+U74)*F74</f>
        <v>0</v>
      </c>
    </row>
    <row r="75" spans="1:24" x14ac:dyDescent="0.2">
      <c r="A75" s="128">
        <v>70</v>
      </c>
      <c r="B75" s="128">
        <f>SUM(H75,K75,N75,R75,U75)</f>
        <v>0</v>
      </c>
      <c r="C75" s="128"/>
      <c r="D75" s="128"/>
      <c r="E75" s="128"/>
      <c r="F75" s="128"/>
      <c r="G75" s="128"/>
      <c r="H75" s="135">
        <f>_xlfn.XLOOKUP(C75,Tabla13[Value],Tabla13[Qty],0)</f>
        <v>0</v>
      </c>
      <c r="I75" s="74" t="str">
        <f>_xlfn.XLOOKUP(C75,Tabla13[Value],Tabla13[Part],"-")</f>
        <v>-</v>
      </c>
      <c r="J75" s="74" t="str">
        <f>_xlfn.XLOOKUP(C75,Tabla13[Value],Tabla13[Position],"-")</f>
        <v>-</v>
      </c>
      <c r="K75" s="136">
        <f>_xlfn.XLOOKUP(C75,Tabla1[Value],Tabla1[Qty],0)</f>
        <v>0</v>
      </c>
      <c r="L75" s="74" t="str">
        <f>_xlfn.XLOOKUP(C75,Tabla1[Value],Tabla1[Part],"-")</f>
        <v>-</v>
      </c>
      <c r="M75" s="137" t="str">
        <f>_xlfn.XLOOKUP(C75,Tabla1[Value],Tabla1[Position],"-")</f>
        <v>-</v>
      </c>
      <c r="N75" s="136">
        <f>_xlfn.XLOOKUP(C75,Tabla15[Value],Tabla15[Qty],0)</f>
        <v>0</v>
      </c>
      <c r="O75" s="74" t="str">
        <f>_xlfn.XLOOKUP(C75,Tabla15[Value],Tabla15[Part],"-")</f>
        <v>-</v>
      </c>
      <c r="P75" s="137" t="str">
        <f>_xlfn.XLOOKUP(C75,Tabla15[Value],Tabla15[Position],"-")</f>
        <v>-</v>
      </c>
      <c r="Q75" s="134">
        <f>SUM(H75,K75,N75)*F75</f>
        <v>0</v>
      </c>
      <c r="R75" s="135">
        <f>_xlfn.XLOOKUP(C75,Tabla14[Value],Tabla14[Qty],0)</f>
        <v>0</v>
      </c>
      <c r="S75" s="74" t="str">
        <f>_xlfn.XLOOKUP(C75,Tabla14[Value],Tabla14[Part],"-")</f>
        <v>-</v>
      </c>
      <c r="T75" s="133" t="str">
        <f>_xlfn.XLOOKUP(C75,Tabla14[Value],Tabla14[Position],"-")</f>
        <v>-</v>
      </c>
      <c r="U75" s="136">
        <f>_xlfn.XLOOKUP(C75,Tabla156[Value],Tabla156[Qty],0)</f>
        <v>0</v>
      </c>
      <c r="V75" s="74">
        <f>_xlfn.XLOOKUP(C75,Tabla156[Value],Tabla156[Part],"-")</f>
        <v>0</v>
      </c>
      <c r="W75" s="137">
        <f>_xlfn.XLOOKUP(C75,Tabla156[Value],Tabla156[Position],"-")</f>
        <v>2</v>
      </c>
      <c r="X75" s="129">
        <f>(R75+U75)*F75</f>
        <v>0</v>
      </c>
    </row>
    <row r="76" spans="1:24" x14ac:dyDescent="0.2">
      <c r="A76" s="128">
        <v>71</v>
      </c>
      <c r="B76" s="128">
        <f>SUM(H76,K76,N76,R76,U76)</f>
        <v>0</v>
      </c>
      <c r="C76" s="128"/>
      <c r="D76" s="128"/>
      <c r="E76" s="128"/>
      <c r="F76" s="128"/>
      <c r="G76" s="128"/>
      <c r="H76" s="135">
        <f>_xlfn.XLOOKUP(C76,Tabla13[Value],Tabla13[Qty],0)</f>
        <v>0</v>
      </c>
      <c r="I76" s="74" t="str">
        <f>_xlfn.XLOOKUP(C76,Tabla13[Value],Tabla13[Part],"-")</f>
        <v>-</v>
      </c>
      <c r="J76" s="74" t="str">
        <f>_xlfn.XLOOKUP(C76,Tabla13[Value],Tabla13[Position],"-")</f>
        <v>-</v>
      </c>
      <c r="K76" s="136">
        <f>_xlfn.XLOOKUP(C76,Tabla1[Value],Tabla1[Qty],0)</f>
        <v>0</v>
      </c>
      <c r="L76" s="74" t="str">
        <f>_xlfn.XLOOKUP(C76,Tabla1[Value],Tabla1[Part],"-")</f>
        <v>-</v>
      </c>
      <c r="M76" s="137" t="str">
        <f>_xlfn.XLOOKUP(C76,Tabla1[Value],Tabla1[Position],"-")</f>
        <v>-</v>
      </c>
      <c r="N76" s="136">
        <f>_xlfn.XLOOKUP(C76,Tabla15[Value],Tabla15[Qty],0)</f>
        <v>0</v>
      </c>
      <c r="O76" s="74" t="str">
        <f>_xlfn.XLOOKUP(C76,Tabla15[Value],Tabla15[Part],"-")</f>
        <v>-</v>
      </c>
      <c r="P76" s="137" t="str">
        <f>_xlfn.XLOOKUP(C76,Tabla15[Value],Tabla15[Position],"-")</f>
        <v>-</v>
      </c>
      <c r="Q76" s="134">
        <f>SUM(H76,K76,N76)*F76</f>
        <v>0</v>
      </c>
      <c r="R76" s="135">
        <f>_xlfn.XLOOKUP(C76,Tabla14[Value],Tabla14[Qty],0)</f>
        <v>0</v>
      </c>
      <c r="S76" s="74" t="str">
        <f>_xlfn.XLOOKUP(C76,Tabla14[Value],Tabla14[Part],"-")</f>
        <v>-</v>
      </c>
      <c r="T76" s="133" t="str">
        <f>_xlfn.XLOOKUP(C76,Tabla14[Value],Tabla14[Position],"-")</f>
        <v>-</v>
      </c>
      <c r="U76" s="136">
        <f>_xlfn.XLOOKUP(C76,Tabla156[Value],Tabla156[Qty],0)</f>
        <v>0</v>
      </c>
      <c r="V76" s="74">
        <f>_xlfn.XLOOKUP(C76,Tabla156[Value],Tabla156[Part],"-")</f>
        <v>0</v>
      </c>
      <c r="W76" s="137">
        <f>_xlfn.XLOOKUP(C76,Tabla156[Value],Tabla156[Position],"-")</f>
        <v>2</v>
      </c>
      <c r="X76" s="129">
        <f>(R76+U76)*F76</f>
        <v>0</v>
      </c>
    </row>
    <row r="77" spans="1:24" x14ac:dyDescent="0.2">
      <c r="A77" s="128">
        <v>72</v>
      </c>
      <c r="B77" s="128">
        <f>SUM(H77,K77,N77,R77,U77)</f>
        <v>0</v>
      </c>
      <c r="C77" s="128"/>
      <c r="D77" s="128"/>
      <c r="E77" s="128"/>
      <c r="F77" s="128"/>
      <c r="G77" s="128"/>
      <c r="H77" s="135">
        <f>_xlfn.XLOOKUP(C77,Tabla13[Value],Tabla13[Qty],0)</f>
        <v>0</v>
      </c>
      <c r="I77" s="74" t="str">
        <f>_xlfn.XLOOKUP(C77,Tabla13[Value],Tabla13[Part],"-")</f>
        <v>-</v>
      </c>
      <c r="J77" s="74" t="str">
        <f>_xlfn.XLOOKUP(C77,Tabla13[Value],Tabla13[Position],"-")</f>
        <v>-</v>
      </c>
      <c r="K77" s="136">
        <f>_xlfn.XLOOKUP(C77,Tabla1[Value],Tabla1[Qty],0)</f>
        <v>0</v>
      </c>
      <c r="L77" s="74" t="str">
        <f>_xlfn.XLOOKUP(C77,Tabla1[Value],Tabla1[Part],"-")</f>
        <v>-</v>
      </c>
      <c r="M77" s="137" t="str">
        <f>_xlfn.XLOOKUP(C77,Tabla1[Value],Tabla1[Position],"-")</f>
        <v>-</v>
      </c>
      <c r="N77" s="136">
        <f>_xlfn.XLOOKUP(C77,Tabla15[Value],Tabla15[Qty],0)</f>
        <v>0</v>
      </c>
      <c r="O77" s="74" t="str">
        <f>_xlfn.XLOOKUP(C77,Tabla15[Value],Tabla15[Part],"-")</f>
        <v>-</v>
      </c>
      <c r="P77" s="137" t="str">
        <f>_xlfn.XLOOKUP(C77,Tabla15[Value],Tabla15[Position],"-")</f>
        <v>-</v>
      </c>
      <c r="Q77" s="134">
        <f>SUM(H77,K77,N77)*F77</f>
        <v>0</v>
      </c>
      <c r="R77" s="135">
        <f>_xlfn.XLOOKUP(C77,Tabla14[Value],Tabla14[Qty],0)</f>
        <v>0</v>
      </c>
      <c r="S77" s="74" t="str">
        <f>_xlfn.XLOOKUP(C77,Tabla14[Value],Tabla14[Part],"-")</f>
        <v>-</v>
      </c>
      <c r="T77" s="133" t="str">
        <f>_xlfn.XLOOKUP(C77,Tabla14[Value],Tabla14[Position],"-")</f>
        <v>-</v>
      </c>
      <c r="U77" s="136">
        <f>_xlfn.XLOOKUP(C77,Tabla156[Value],Tabla156[Qty],0)</f>
        <v>0</v>
      </c>
      <c r="V77" s="74">
        <f>_xlfn.XLOOKUP(C77,Tabla156[Value],Tabla156[Part],"-")</f>
        <v>0</v>
      </c>
      <c r="W77" s="137">
        <f>_xlfn.XLOOKUP(C77,Tabla156[Value],Tabla156[Position],"-")</f>
        <v>2</v>
      </c>
      <c r="X77" s="129">
        <f>(R77+U77)*F77</f>
        <v>0</v>
      </c>
    </row>
    <row r="78" spans="1:24" x14ac:dyDescent="0.2">
      <c r="A78" s="128">
        <v>73</v>
      </c>
      <c r="B78" s="128">
        <f>SUM(H78,K78,N78,R78,U78)</f>
        <v>0</v>
      </c>
      <c r="C78" s="128"/>
      <c r="D78" s="128"/>
      <c r="E78" s="128"/>
      <c r="F78" s="128"/>
      <c r="G78" s="128"/>
      <c r="H78" s="135">
        <f>_xlfn.XLOOKUP(C78,Tabla13[Value],Tabla13[Qty],0)</f>
        <v>0</v>
      </c>
      <c r="I78" s="74" t="str">
        <f>_xlfn.XLOOKUP(C78,Tabla13[Value],Tabla13[Part],"-")</f>
        <v>-</v>
      </c>
      <c r="J78" s="74" t="str">
        <f>_xlfn.XLOOKUP(C78,Tabla13[Value],Tabla13[Position],"-")</f>
        <v>-</v>
      </c>
      <c r="K78" s="136">
        <f>_xlfn.XLOOKUP(C78,Tabla1[Value],Tabla1[Qty],0)</f>
        <v>0</v>
      </c>
      <c r="L78" s="74" t="str">
        <f>_xlfn.XLOOKUP(C78,Tabla1[Value],Tabla1[Part],"-")</f>
        <v>-</v>
      </c>
      <c r="M78" s="137" t="str">
        <f>_xlfn.XLOOKUP(C78,Tabla1[Value],Tabla1[Position],"-")</f>
        <v>-</v>
      </c>
      <c r="N78" s="136">
        <f>_xlfn.XLOOKUP(C78,Tabla15[Value],Tabla15[Qty],0)</f>
        <v>0</v>
      </c>
      <c r="O78" s="74" t="str">
        <f>_xlfn.XLOOKUP(C78,Tabla15[Value],Tabla15[Part],"-")</f>
        <v>-</v>
      </c>
      <c r="P78" s="137" t="str">
        <f>_xlfn.XLOOKUP(C78,Tabla15[Value],Tabla15[Position],"-")</f>
        <v>-</v>
      </c>
      <c r="Q78" s="134">
        <f>SUM(H78,K78,N78)*F78</f>
        <v>0</v>
      </c>
      <c r="R78" s="135">
        <f>_xlfn.XLOOKUP(C78,Tabla14[Value],Tabla14[Qty],0)</f>
        <v>0</v>
      </c>
      <c r="S78" s="74" t="str">
        <f>_xlfn.XLOOKUP(C78,Tabla14[Value],Tabla14[Part],"-")</f>
        <v>-</v>
      </c>
      <c r="T78" s="133" t="str">
        <f>_xlfn.XLOOKUP(C78,Tabla14[Value],Tabla14[Position],"-")</f>
        <v>-</v>
      </c>
      <c r="U78" s="136">
        <f>_xlfn.XLOOKUP(C78,Tabla156[Value],Tabla156[Qty],0)</f>
        <v>0</v>
      </c>
      <c r="V78" s="74">
        <f>_xlfn.XLOOKUP(C78,Tabla156[Value],Tabla156[Part],"-")</f>
        <v>0</v>
      </c>
      <c r="W78" s="137">
        <f>_xlfn.XLOOKUP(C78,Tabla156[Value],Tabla156[Position],"-")</f>
        <v>2</v>
      </c>
      <c r="X78" s="129">
        <f>(R78+U78)*F78</f>
        <v>0</v>
      </c>
    </row>
    <row r="79" spans="1:24" x14ac:dyDescent="0.2">
      <c r="A79" s="128">
        <v>74</v>
      </c>
      <c r="B79" s="128">
        <f>SUM(H79,K79,N79,R79,U79)</f>
        <v>0</v>
      </c>
      <c r="C79" s="128"/>
      <c r="D79" s="128"/>
      <c r="E79" s="128"/>
      <c r="F79" s="128"/>
      <c r="G79" s="128"/>
      <c r="H79" s="135">
        <f>_xlfn.XLOOKUP(C79,Tabla13[Value],Tabla13[Qty],0)</f>
        <v>0</v>
      </c>
      <c r="I79" s="74" t="str">
        <f>_xlfn.XLOOKUP(C79,Tabla13[Value],Tabla13[Part],"-")</f>
        <v>-</v>
      </c>
      <c r="J79" s="74" t="str">
        <f>_xlfn.XLOOKUP(C79,Tabla13[Value],Tabla13[Position],"-")</f>
        <v>-</v>
      </c>
      <c r="K79" s="136">
        <f>_xlfn.XLOOKUP(C79,Tabla1[Value],Tabla1[Qty],0)</f>
        <v>0</v>
      </c>
      <c r="L79" s="74" t="str">
        <f>_xlfn.XLOOKUP(C79,Tabla1[Value],Tabla1[Part],"-")</f>
        <v>-</v>
      </c>
      <c r="M79" s="137" t="str">
        <f>_xlfn.XLOOKUP(C79,Tabla1[Value],Tabla1[Position],"-")</f>
        <v>-</v>
      </c>
      <c r="N79" s="136">
        <f>_xlfn.XLOOKUP(C79,Tabla15[Value],Tabla15[Qty],0)</f>
        <v>0</v>
      </c>
      <c r="O79" s="74" t="str">
        <f>_xlfn.XLOOKUP(C79,Tabla15[Value],Tabla15[Part],"-")</f>
        <v>-</v>
      </c>
      <c r="P79" s="137" t="str">
        <f>_xlfn.XLOOKUP(C79,Tabla15[Value],Tabla15[Position],"-")</f>
        <v>-</v>
      </c>
      <c r="Q79" s="134">
        <f>SUM(H79,K79,N79)*F79</f>
        <v>0</v>
      </c>
      <c r="R79" s="135">
        <f>_xlfn.XLOOKUP(C79,Tabla14[Value],Tabla14[Qty],0)</f>
        <v>0</v>
      </c>
      <c r="S79" s="74" t="str">
        <f>_xlfn.XLOOKUP(C79,Tabla14[Value],Tabla14[Part],"-")</f>
        <v>-</v>
      </c>
      <c r="T79" s="133" t="str">
        <f>_xlfn.XLOOKUP(C79,Tabla14[Value],Tabla14[Position],"-")</f>
        <v>-</v>
      </c>
      <c r="U79" s="136">
        <f>_xlfn.XLOOKUP(C79,Tabla156[Value],Tabla156[Qty],0)</f>
        <v>0</v>
      </c>
      <c r="V79" s="74">
        <f>_xlfn.XLOOKUP(C79,Tabla156[Value],Tabla156[Part],"-")</f>
        <v>0</v>
      </c>
      <c r="W79" s="137">
        <f>_xlfn.XLOOKUP(C79,Tabla156[Value],Tabla156[Position],"-")</f>
        <v>2</v>
      </c>
      <c r="X79" s="129">
        <f>(R79+U79)*F79</f>
        <v>0</v>
      </c>
    </row>
    <row r="80" spans="1:24" x14ac:dyDescent="0.2">
      <c r="A80" s="128">
        <v>75</v>
      </c>
      <c r="B80" s="128">
        <f>SUM(H80,K80,N80,R80,U80)</f>
        <v>0</v>
      </c>
      <c r="C80" s="128"/>
      <c r="D80" s="128"/>
      <c r="E80" s="128"/>
      <c r="F80" s="128"/>
      <c r="G80" s="128"/>
      <c r="H80" s="135">
        <f>_xlfn.XLOOKUP(C80,Tabla13[Value],Tabla13[Qty],0)</f>
        <v>0</v>
      </c>
      <c r="I80" s="74" t="str">
        <f>_xlfn.XLOOKUP(C80,Tabla13[Value],Tabla13[Part],"-")</f>
        <v>-</v>
      </c>
      <c r="J80" s="74" t="str">
        <f>_xlfn.XLOOKUP(C80,Tabla13[Value],Tabla13[Position],"-")</f>
        <v>-</v>
      </c>
      <c r="K80" s="136">
        <f>_xlfn.XLOOKUP(C80,Tabla1[Value],Tabla1[Qty],0)</f>
        <v>0</v>
      </c>
      <c r="L80" s="74" t="str">
        <f>_xlfn.XLOOKUP(C80,Tabla1[Value],Tabla1[Part],"-")</f>
        <v>-</v>
      </c>
      <c r="M80" s="137" t="str">
        <f>_xlfn.XLOOKUP(C80,Tabla1[Value],Tabla1[Position],"-")</f>
        <v>-</v>
      </c>
      <c r="N80" s="136">
        <f>_xlfn.XLOOKUP(C80,Tabla15[Value],Tabla15[Qty],0)</f>
        <v>0</v>
      </c>
      <c r="O80" s="74" t="str">
        <f>_xlfn.XLOOKUP(C80,Tabla15[Value],Tabla15[Part],"-")</f>
        <v>-</v>
      </c>
      <c r="P80" s="137" t="str">
        <f>_xlfn.XLOOKUP(C80,Tabla15[Value],Tabla15[Position],"-")</f>
        <v>-</v>
      </c>
      <c r="Q80" s="134">
        <f>SUM(H80,K80,N80)*F80</f>
        <v>0</v>
      </c>
      <c r="R80" s="135">
        <f>_xlfn.XLOOKUP(C80,Tabla14[Value],Tabla14[Qty],0)</f>
        <v>0</v>
      </c>
      <c r="S80" s="74" t="str">
        <f>_xlfn.XLOOKUP(C80,Tabla14[Value],Tabla14[Part],"-")</f>
        <v>-</v>
      </c>
      <c r="T80" s="133" t="str">
        <f>_xlfn.XLOOKUP(C80,Tabla14[Value],Tabla14[Position],"-")</f>
        <v>-</v>
      </c>
      <c r="U80" s="136">
        <f>_xlfn.XLOOKUP(C80,Tabla156[Value],Tabla156[Qty],0)</f>
        <v>0</v>
      </c>
      <c r="V80" s="74">
        <f>_xlfn.XLOOKUP(C80,Tabla156[Value],Tabla156[Part],"-")</f>
        <v>0</v>
      </c>
      <c r="W80" s="137">
        <f>_xlfn.XLOOKUP(C80,Tabla156[Value],Tabla156[Position],"-")</f>
        <v>2</v>
      </c>
      <c r="X80" s="129">
        <f>(R80+U80)*F80</f>
        <v>0</v>
      </c>
    </row>
    <row r="81" spans="1:24" x14ac:dyDescent="0.2">
      <c r="A81" s="128">
        <v>76</v>
      </c>
      <c r="B81" s="128">
        <f>SUM(H81,K81,N81,R81,U81)</f>
        <v>0</v>
      </c>
      <c r="C81" s="128"/>
      <c r="D81" s="128"/>
      <c r="E81" s="128"/>
      <c r="F81" s="128"/>
      <c r="G81" s="128"/>
      <c r="H81" s="135">
        <f>_xlfn.XLOOKUP(C81,Tabla13[Value],Tabla13[Qty],0)</f>
        <v>0</v>
      </c>
      <c r="I81" s="74" t="str">
        <f>_xlfn.XLOOKUP(C81,Tabla13[Value],Tabla13[Part],"-")</f>
        <v>-</v>
      </c>
      <c r="J81" s="74" t="str">
        <f>_xlfn.XLOOKUP(C81,Tabla13[Value],Tabla13[Position],"-")</f>
        <v>-</v>
      </c>
      <c r="K81" s="136">
        <f>_xlfn.XLOOKUP(C81,Tabla1[Value],Tabla1[Qty],0)</f>
        <v>0</v>
      </c>
      <c r="L81" s="74" t="str">
        <f>_xlfn.XLOOKUP(C81,Tabla1[Value],Tabla1[Part],"-")</f>
        <v>-</v>
      </c>
      <c r="M81" s="137" t="str">
        <f>_xlfn.XLOOKUP(C81,Tabla1[Value],Tabla1[Position],"-")</f>
        <v>-</v>
      </c>
      <c r="N81" s="136">
        <f>_xlfn.XLOOKUP(C81,Tabla15[Value],Tabla15[Qty],0)</f>
        <v>0</v>
      </c>
      <c r="O81" s="74" t="str">
        <f>_xlfn.XLOOKUP(C81,Tabla15[Value],Tabla15[Part],"-")</f>
        <v>-</v>
      </c>
      <c r="P81" s="137" t="str">
        <f>_xlfn.XLOOKUP(C81,Tabla15[Value],Tabla15[Position],"-")</f>
        <v>-</v>
      </c>
      <c r="Q81" s="134">
        <f>SUM(H81,K81,N81)*F81</f>
        <v>0</v>
      </c>
      <c r="R81" s="135">
        <f>_xlfn.XLOOKUP(C81,Tabla14[Value],Tabla14[Qty],0)</f>
        <v>0</v>
      </c>
      <c r="S81" s="74" t="str">
        <f>_xlfn.XLOOKUP(C81,Tabla14[Value],Tabla14[Part],"-")</f>
        <v>-</v>
      </c>
      <c r="T81" s="133" t="str">
        <f>_xlfn.XLOOKUP(C81,Tabla14[Value],Tabla14[Position],"-")</f>
        <v>-</v>
      </c>
      <c r="U81" s="136">
        <f>_xlfn.XLOOKUP(C81,Tabla156[Value],Tabla156[Qty],0)</f>
        <v>0</v>
      </c>
      <c r="V81" s="74">
        <f>_xlfn.XLOOKUP(C81,Tabla156[Value],Tabla156[Part],"-")</f>
        <v>0</v>
      </c>
      <c r="W81" s="137">
        <f>_xlfn.XLOOKUP(C81,Tabla156[Value],Tabla156[Position],"-")</f>
        <v>2</v>
      </c>
      <c r="X81" s="129">
        <f>(R81+U81)*F81</f>
        <v>0</v>
      </c>
    </row>
    <row r="82" spans="1:24" x14ac:dyDescent="0.2">
      <c r="A82" s="128">
        <v>77</v>
      </c>
      <c r="B82" s="128">
        <f>SUM(H82,K82,N82,R82,U82)</f>
        <v>0</v>
      </c>
      <c r="C82" s="128"/>
      <c r="D82" s="128"/>
      <c r="E82" s="128"/>
      <c r="F82" s="128"/>
      <c r="G82" s="128"/>
      <c r="H82" s="135">
        <f>_xlfn.XLOOKUP(C82,Tabla13[Value],Tabla13[Qty],0)</f>
        <v>0</v>
      </c>
      <c r="I82" s="74" t="str">
        <f>_xlfn.XLOOKUP(C82,Tabla13[Value],Tabla13[Part],"-")</f>
        <v>-</v>
      </c>
      <c r="J82" s="74" t="str">
        <f>_xlfn.XLOOKUP(C82,Tabla13[Value],Tabla13[Position],"-")</f>
        <v>-</v>
      </c>
      <c r="K82" s="136">
        <f>_xlfn.XLOOKUP(C82,Tabla1[Value],Tabla1[Qty],0)</f>
        <v>0</v>
      </c>
      <c r="L82" s="74" t="str">
        <f>_xlfn.XLOOKUP(C82,Tabla1[Value],Tabla1[Part],"-")</f>
        <v>-</v>
      </c>
      <c r="M82" s="137" t="str">
        <f>_xlfn.XLOOKUP(C82,Tabla1[Value],Tabla1[Position],"-")</f>
        <v>-</v>
      </c>
      <c r="N82" s="136">
        <f>_xlfn.XLOOKUP(C82,Tabla15[Value],Tabla15[Qty],0)</f>
        <v>0</v>
      </c>
      <c r="O82" s="74" t="str">
        <f>_xlfn.XLOOKUP(C82,Tabla15[Value],Tabla15[Part],"-")</f>
        <v>-</v>
      </c>
      <c r="P82" s="137" t="str">
        <f>_xlfn.XLOOKUP(C82,Tabla15[Value],Tabla15[Position],"-")</f>
        <v>-</v>
      </c>
      <c r="Q82" s="134">
        <f>SUM(H82,K82,N82)*F82</f>
        <v>0</v>
      </c>
      <c r="R82" s="135">
        <f>_xlfn.XLOOKUP(C82,Tabla14[Value],Tabla14[Qty],0)</f>
        <v>0</v>
      </c>
      <c r="S82" s="74" t="str">
        <f>_xlfn.XLOOKUP(C82,Tabla14[Value],Tabla14[Part],"-")</f>
        <v>-</v>
      </c>
      <c r="T82" s="133" t="str">
        <f>_xlfn.XLOOKUP(C82,Tabla14[Value],Tabla14[Position],"-")</f>
        <v>-</v>
      </c>
      <c r="U82" s="136">
        <f>_xlfn.XLOOKUP(C82,Tabla156[Value],Tabla156[Qty],0)</f>
        <v>0</v>
      </c>
      <c r="V82" s="74">
        <f>_xlfn.XLOOKUP(C82,Tabla156[Value],Tabla156[Part],"-")</f>
        <v>0</v>
      </c>
      <c r="W82" s="137">
        <f>_xlfn.XLOOKUP(C82,Tabla156[Value],Tabla156[Position],"-")</f>
        <v>2</v>
      </c>
      <c r="X82" s="129">
        <f>(R82+U82)*F82</f>
        <v>0</v>
      </c>
    </row>
    <row r="83" spans="1:24" x14ac:dyDescent="0.2">
      <c r="A83" s="128">
        <v>78</v>
      </c>
      <c r="B83" s="128">
        <f>SUM(H83,K83,N83,R83,U83)</f>
        <v>0</v>
      </c>
      <c r="C83" s="128"/>
      <c r="D83" s="128"/>
      <c r="E83" s="128"/>
      <c r="F83" s="128"/>
      <c r="G83" s="128"/>
      <c r="H83" s="135">
        <f>_xlfn.XLOOKUP(C83,Tabla13[Value],Tabla13[Qty],0)</f>
        <v>0</v>
      </c>
      <c r="I83" s="74" t="str">
        <f>_xlfn.XLOOKUP(C83,Tabla13[Value],Tabla13[Part],"-")</f>
        <v>-</v>
      </c>
      <c r="J83" s="74" t="str">
        <f>_xlfn.XLOOKUP(C83,Tabla13[Value],Tabla13[Position],"-")</f>
        <v>-</v>
      </c>
      <c r="K83" s="136">
        <f>_xlfn.XLOOKUP(C83,Tabla1[Value],Tabla1[Qty],0)</f>
        <v>0</v>
      </c>
      <c r="L83" s="74" t="str">
        <f>_xlfn.XLOOKUP(C83,Tabla1[Value],Tabla1[Part],"-")</f>
        <v>-</v>
      </c>
      <c r="M83" s="137" t="str">
        <f>_xlfn.XLOOKUP(C83,Tabla1[Value],Tabla1[Position],"-")</f>
        <v>-</v>
      </c>
      <c r="N83" s="136">
        <f>_xlfn.XLOOKUP(C83,Tabla15[Value],Tabla15[Qty],0)</f>
        <v>0</v>
      </c>
      <c r="O83" s="74" t="str">
        <f>_xlfn.XLOOKUP(C83,Tabla15[Value],Tabla15[Part],"-")</f>
        <v>-</v>
      </c>
      <c r="P83" s="137" t="str">
        <f>_xlfn.XLOOKUP(C83,Tabla15[Value],Tabla15[Position],"-")</f>
        <v>-</v>
      </c>
      <c r="Q83" s="134">
        <f>SUM(H83,K83,N83)*F83</f>
        <v>0</v>
      </c>
      <c r="R83" s="135">
        <f>_xlfn.XLOOKUP(C83,Tabla14[Value],Tabla14[Qty],0)</f>
        <v>0</v>
      </c>
      <c r="S83" s="74" t="str">
        <f>_xlfn.XLOOKUP(C83,Tabla14[Value],Tabla14[Part],"-")</f>
        <v>-</v>
      </c>
      <c r="T83" s="133" t="str">
        <f>_xlfn.XLOOKUP(C83,Tabla14[Value],Tabla14[Position],"-")</f>
        <v>-</v>
      </c>
      <c r="U83" s="136">
        <f>_xlfn.XLOOKUP(C83,Tabla156[Value],Tabla156[Qty],0)</f>
        <v>0</v>
      </c>
      <c r="V83" s="74">
        <f>_xlfn.XLOOKUP(C83,Tabla156[Value],Tabla156[Part],"-")</f>
        <v>0</v>
      </c>
      <c r="W83" s="137">
        <f>_xlfn.XLOOKUP(C83,Tabla156[Value],Tabla156[Position],"-")</f>
        <v>2</v>
      </c>
      <c r="X83" s="129">
        <f>(R83+U83)*F83</f>
        <v>0</v>
      </c>
    </row>
    <row r="84" spans="1:24" x14ac:dyDescent="0.2">
      <c r="A84" s="128">
        <v>79</v>
      </c>
      <c r="B84" s="128">
        <f>SUM(H84,K84,N84,R84,U84)</f>
        <v>0</v>
      </c>
      <c r="C84" s="128"/>
      <c r="D84" s="128"/>
      <c r="E84" s="128"/>
      <c r="F84" s="128"/>
      <c r="G84" s="128"/>
      <c r="H84" s="135">
        <f>_xlfn.XLOOKUP(C84,Tabla13[Value],Tabla13[Qty],0)</f>
        <v>0</v>
      </c>
      <c r="I84" s="74" t="str">
        <f>_xlfn.XLOOKUP(C84,Tabla13[Value],Tabla13[Part],"-")</f>
        <v>-</v>
      </c>
      <c r="J84" s="74" t="str">
        <f>_xlfn.XLOOKUP(C84,Tabla13[Value],Tabla13[Position],"-")</f>
        <v>-</v>
      </c>
      <c r="K84" s="136">
        <f>_xlfn.XLOOKUP(C84,Tabla1[Value],Tabla1[Qty],0)</f>
        <v>0</v>
      </c>
      <c r="L84" s="74" t="str">
        <f>_xlfn.XLOOKUP(C84,Tabla1[Value],Tabla1[Part],"-")</f>
        <v>-</v>
      </c>
      <c r="M84" s="137" t="str">
        <f>_xlfn.XLOOKUP(C84,Tabla1[Value],Tabla1[Position],"-")</f>
        <v>-</v>
      </c>
      <c r="N84" s="136">
        <f>_xlfn.XLOOKUP(C84,Tabla15[Value],Tabla15[Qty],0)</f>
        <v>0</v>
      </c>
      <c r="O84" s="74" t="str">
        <f>_xlfn.XLOOKUP(C84,Tabla15[Value],Tabla15[Part],"-")</f>
        <v>-</v>
      </c>
      <c r="P84" s="137" t="str">
        <f>_xlfn.XLOOKUP(C84,Tabla15[Value],Tabla15[Position],"-")</f>
        <v>-</v>
      </c>
      <c r="Q84" s="134">
        <f>SUM(H84,K84,N84)*F84</f>
        <v>0</v>
      </c>
      <c r="R84" s="135">
        <f>_xlfn.XLOOKUP(C84,Tabla14[Value],Tabla14[Qty],0)</f>
        <v>0</v>
      </c>
      <c r="S84" s="74" t="str">
        <f>_xlfn.XLOOKUP(C84,Tabla14[Value],Tabla14[Part],"-")</f>
        <v>-</v>
      </c>
      <c r="T84" s="133" t="str">
        <f>_xlfn.XLOOKUP(C84,Tabla14[Value],Tabla14[Position],"-")</f>
        <v>-</v>
      </c>
      <c r="U84" s="136">
        <f>_xlfn.XLOOKUP(C84,Tabla156[Value],Tabla156[Qty],0)</f>
        <v>0</v>
      </c>
      <c r="V84" s="74">
        <f>_xlfn.XLOOKUP(C84,Tabla156[Value],Tabla156[Part],"-")</f>
        <v>0</v>
      </c>
      <c r="W84" s="137">
        <f>_xlfn.XLOOKUP(C84,Tabla156[Value],Tabla156[Position],"-")</f>
        <v>2</v>
      </c>
      <c r="X84" s="129">
        <f>(R84+U84)*F84</f>
        <v>0</v>
      </c>
    </row>
    <row r="85" spans="1:24" x14ac:dyDescent="0.2">
      <c r="A85" s="128">
        <v>80</v>
      </c>
      <c r="B85" s="128">
        <f>SUM(H85,K85,N85,R85,U85)</f>
        <v>0</v>
      </c>
      <c r="C85" s="128"/>
      <c r="D85" s="128"/>
      <c r="E85" s="128"/>
      <c r="F85" s="128"/>
      <c r="G85" s="128"/>
      <c r="H85" s="135">
        <f>_xlfn.XLOOKUP(C85,Tabla13[Value],Tabla13[Qty],0)</f>
        <v>0</v>
      </c>
      <c r="I85" s="74" t="str">
        <f>_xlfn.XLOOKUP(C85,Tabla13[Value],Tabla13[Part],"-")</f>
        <v>-</v>
      </c>
      <c r="J85" s="74" t="str">
        <f>_xlfn.XLOOKUP(C85,Tabla13[Value],Tabla13[Position],"-")</f>
        <v>-</v>
      </c>
      <c r="K85" s="136">
        <f>_xlfn.XLOOKUP(C85,Tabla1[Value],Tabla1[Qty],0)</f>
        <v>0</v>
      </c>
      <c r="L85" s="74" t="str">
        <f>_xlfn.XLOOKUP(C85,Tabla1[Value],Tabla1[Part],"-")</f>
        <v>-</v>
      </c>
      <c r="M85" s="137" t="str">
        <f>_xlfn.XLOOKUP(C85,Tabla1[Value],Tabla1[Position],"-")</f>
        <v>-</v>
      </c>
      <c r="N85" s="136">
        <f>_xlfn.XLOOKUP(C85,Tabla15[Value],Tabla15[Qty],0)</f>
        <v>0</v>
      </c>
      <c r="O85" s="74" t="str">
        <f>_xlfn.XLOOKUP(C85,Tabla15[Value],Tabla15[Part],"-")</f>
        <v>-</v>
      </c>
      <c r="P85" s="137" t="str">
        <f>_xlfn.XLOOKUP(C85,Tabla15[Value],Tabla15[Position],"-")</f>
        <v>-</v>
      </c>
      <c r="Q85" s="134">
        <f>SUM(H85,K85,N85)*F85</f>
        <v>0</v>
      </c>
      <c r="R85" s="135">
        <f>_xlfn.XLOOKUP(C85,Tabla14[Value],Tabla14[Qty],0)</f>
        <v>0</v>
      </c>
      <c r="S85" s="74" t="str">
        <f>_xlfn.XLOOKUP(C85,Tabla14[Value],Tabla14[Part],"-")</f>
        <v>-</v>
      </c>
      <c r="T85" s="133" t="str">
        <f>_xlfn.XLOOKUP(C85,Tabla14[Value],Tabla14[Position],"-")</f>
        <v>-</v>
      </c>
      <c r="U85" s="136">
        <f>_xlfn.XLOOKUP(C85,Tabla156[Value],Tabla156[Qty],0)</f>
        <v>0</v>
      </c>
      <c r="V85" s="74">
        <f>_xlfn.XLOOKUP(C85,Tabla156[Value],Tabla156[Part],"-")</f>
        <v>0</v>
      </c>
      <c r="W85" s="137">
        <f>_xlfn.XLOOKUP(C85,Tabla156[Value],Tabla156[Position],"-")</f>
        <v>2</v>
      </c>
      <c r="X85" s="129">
        <f>(R85+U85)*F85</f>
        <v>0</v>
      </c>
    </row>
    <row r="86" spans="1:24" x14ac:dyDescent="0.2">
      <c r="A86" s="128">
        <v>81</v>
      </c>
      <c r="B86" s="128">
        <f>SUM(H86,K86,N86,R86,U86)</f>
        <v>0</v>
      </c>
      <c r="C86" s="128"/>
      <c r="D86" s="128"/>
      <c r="E86" s="128"/>
      <c r="F86" s="128"/>
      <c r="G86" s="128"/>
      <c r="H86" s="135">
        <f>_xlfn.XLOOKUP(C86,Tabla13[Value],Tabla13[Qty],0)</f>
        <v>0</v>
      </c>
      <c r="I86" s="74" t="str">
        <f>_xlfn.XLOOKUP(C86,Tabla13[Value],Tabla13[Part],"-")</f>
        <v>-</v>
      </c>
      <c r="J86" s="74" t="str">
        <f>_xlfn.XLOOKUP(C86,Tabla13[Value],Tabla13[Position],"-")</f>
        <v>-</v>
      </c>
      <c r="K86" s="136">
        <f>_xlfn.XLOOKUP(C86,Tabla1[Value],Tabla1[Qty],0)</f>
        <v>0</v>
      </c>
      <c r="L86" s="74" t="str">
        <f>_xlfn.XLOOKUP(C86,Tabla1[Value],Tabla1[Part],"-")</f>
        <v>-</v>
      </c>
      <c r="M86" s="137" t="str">
        <f>_xlfn.XLOOKUP(C86,Tabla1[Value],Tabla1[Position],"-")</f>
        <v>-</v>
      </c>
      <c r="N86" s="136">
        <f>_xlfn.XLOOKUP(C86,Tabla15[Value],Tabla15[Qty],0)</f>
        <v>0</v>
      </c>
      <c r="O86" s="74" t="str">
        <f>_xlfn.XLOOKUP(C86,Tabla15[Value],Tabla15[Part],"-")</f>
        <v>-</v>
      </c>
      <c r="P86" s="137" t="str">
        <f>_xlfn.XLOOKUP(C86,Tabla15[Value],Tabla15[Position],"-")</f>
        <v>-</v>
      </c>
      <c r="Q86" s="134">
        <f>SUM(H86,K86,N86)*F86</f>
        <v>0</v>
      </c>
      <c r="R86" s="135">
        <f>_xlfn.XLOOKUP(C86,Tabla14[Value],Tabla14[Qty],0)</f>
        <v>0</v>
      </c>
      <c r="S86" s="74" t="str">
        <f>_xlfn.XLOOKUP(C86,Tabla14[Value],Tabla14[Part],"-")</f>
        <v>-</v>
      </c>
      <c r="T86" s="133" t="str">
        <f>_xlfn.XLOOKUP(C86,Tabla14[Value],Tabla14[Position],"-")</f>
        <v>-</v>
      </c>
      <c r="U86" s="136">
        <f>_xlfn.XLOOKUP(C86,Tabla156[Value],Tabla156[Qty],0)</f>
        <v>0</v>
      </c>
      <c r="V86" s="74">
        <f>_xlfn.XLOOKUP(C86,Tabla156[Value],Tabla156[Part],"-")</f>
        <v>0</v>
      </c>
      <c r="W86" s="137">
        <f>_xlfn.XLOOKUP(C86,Tabla156[Value],Tabla156[Position],"-")</f>
        <v>2</v>
      </c>
      <c r="X86" s="129">
        <f>(R86+U86)*F86</f>
        <v>0</v>
      </c>
    </row>
    <row r="87" spans="1:24" x14ac:dyDescent="0.2">
      <c r="A87" s="128">
        <v>82</v>
      </c>
      <c r="B87" s="128">
        <f>SUM(H87,K87,N87,R87,U87)</f>
        <v>0</v>
      </c>
      <c r="C87" s="128"/>
      <c r="D87" s="128"/>
      <c r="E87" s="128"/>
      <c r="F87" s="128"/>
      <c r="G87" s="128"/>
      <c r="H87" s="135">
        <f>_xlfn.XLOOKUP(C87,Tabla13[Value],Tabla13[Qty],0)</f>
        <v>0</v>
      </c>
      <c r="I87" s="74" t="str">
        <f>_xlfn.XLOOKUP(C87,Tabla13[Value],Tabla13[Part],"-")</f>
        <v>-</v>
      </c>
      <c r="J87" s="74" t="str">
        <f>_xlfn.XLOOKUP(C87,Tabla13[Value],Tabla13[Position],"-")</f>
        <v>-</v>
      </c>
      <c r="K87" s="136">
        <f>_xlfn.XLOOKUP(C87,Tabla1[Value],Tabla1[Qty],0)</f>
        <v>0</v>
      </c>
      <c r="L87" s="74" t="str">
        <f>_xlfn.XLOOKUP(C87,Tabla1[Value],Tabla1[Part],"-")</f>
        <v>-</v>
      </c>
      <c r="M87" s="137" t="str">
        <f>_xlfn.XLOOKUP(C87,Tabla1[Value],Tabla1[Position],"-")</f>
        <v>-</v>
      </c>
      <c r="N87" s="136">
        <f>_xlfn.XLOOKUP(C87,Tabla15[Value],Tabla15[Qty],0)</f>
        <v>0</v>
      </c>
      <c r="O87" s="74" t="str">
        <f>_xlfn.XLOOKUP(C87,Tabla15[Value],Tabla15[Part],"-")</f>
        <v>-</v>
      </c>
      <c r="P87" s="137" t="str">
        <f>_xlfn.XLOOKUP(C87,Tabla15[Value],Tabla15[Position],"-")</f>
        <v>-</v>
      </c>
      <c r="Q87" s="134">
        <f>SUM(H87,K87,N87)*F87</f>
        <v>0</v>
      </c>
      <c r="R87" s="135">
        <f>_xlfn.XLOOKUP(C87,Tabla14[Value],Tabla14[Qty],0)</f>
        <v>0</v>
      </c>
      <c r="S87" s="74" t="str">
        <f>_xlfn.XLOOKUP(C87,Tabla14[Value],Tabla14[Part],"-")</f>
        <v>-</v>
      </c>
      <c r="T87" s="133" t="str">
        <f>_xlfn.XLOOKUP(C87,Tabla14[Value],Tabla14[Position],"-")</f>
        <v>-</v>
      </c>
      <c r="U87" s="136">
        <f>_xlfn.XLOOKUP(C87,Tabla156[Value],Tabla156[Qty],0)</f>
        <v>0</v>
      </c>
      <c r="V87" s="74">
        <f>_xlfn.XLOOKUP(C87,Tabla156[Value],Tabla156[Part],"-")</f>
        <v>0</v>
      </c>
      <c r="W87" s="137">
        <f>_xlfn.XLOOKUP(C87,Tabla156[Value],Tabla156[Position],"-")</f>
        <v>2</v>
      </c>
      <c r="X87" s="129">
        <f>(R87+U87)*F87</f>
        <v>0</v>
      </c>
    </row>
    <row r="88" spans="1:24" x14ac:dyDescent="0.2">
      <c r="A88" s="128">
        <v>83</v>
      </c>
      <c r="B88" s="128">
        <f>SUM(H88,K88,N88,R88,U88)</f>
        <v>0</v>
      </c>
      <c r="C88" s="128"/>
      <c r="D88" s="128"/>
      <c r="E88" s="128"/>
      <c r="F88" s="128"/>
      <c r="G88" s="128"/>
      <c r="H88" s="135">
        <f>_xlfn.XLOOKUP(C88,Tabla13[Value],Tabla13[Qty],0)</f>
        <v>0</v>
      </c>
      <c r="I88" s="74" t="str">
        <f>_xlfn.XLOOKUP(C88,Tabla13[Value],Tabla13[Part],"-")</f>
        <v>-</v>
      </c>
      <c r="J88" s="74" t="str">
        <f>_xlfn.XLOOKUP(C88,Tabla13[Value],Tabla13[Position],"-")</f>
        <v>-</v>
      </c>
      <c r="K88" s="136">
        <f>_xlfn.XLOOKUP(C88,Tabla1[Value],Tabla1[Qty],0)</f>
        <v>0</v>
      </c>
      <c r="L88" s="74" t="str">
        <f>_xlfn.XLOOKUP(C88,Tabla1[Value],Tabla1[Part],"-")</f>
        <v>-</v>
      </c>
      <c r="M88" s="137" t="str">
        <f>_xlfn.XLOOKUP(C88,Tabla1[Value],Tabla1[Position],"-")</f>
        <v>-</v>
      </c>
      <c r="N88" s="136">
        <f>_xlfn.XLOOKUP(C88,Tabla15[Value],Tabla15[Qty],0)</f>
        <v>0</v>
      </c>
      <c r="O88" s="74" t="str">
        <f>_xlfn.XLOOKUP(C88,Tabla15[Value],Tabla15[Part],"-")</f>
        <v>-</v>
      </c>
      <c r="P88" s="137" t="str">
        <f>_xlfn.XLOOKUP(C88,Tabla15[Value],Tabla15[Position],"-")</f>
        <v>-</v>
      </c>
      <c r="Q88" s="134">
        <f>SUM(H88,K88,N88)*F88</f>
        <v>0</v>
      </c>
      <c r="R88" s="135">
        <f>_xlfn.XLOOKUP(C88,Tabla14[Value],Tabla14[Qty],0)</f>
        <v>0</v>
      </c>
      <c r="S88" s="74" t="str">
        <f>_xlfn.XLOOKUP(C88,Tabla14[Value],Tabla14[Part],"-")</f>
        <v>-</v>
      </c>
      <c r="T88" s="133" t="str">
        <f>_xlfn.XLOOKUP(C88,Tabla14[Value],Tabla14[Position],"-")</f>
        <v>-</v>
      </c>
      <c r="U88" s="136">
        <f>_xlfn.XLOOKUP(C88,Tabla156[Value],Tabla156[Qty],0)</f>
        <v>0</v>
      </c>
      <c r="V88" s="74">
        <f>_xlfn.XLOOKUP(C88,Tabla156[Value],Tabla156[Part],"-")</f>
        <v>0</v>
      </c>
      <c r="W88" s="137">
        <f>_xlfn.XLOOKUP(C88,Tabla156[Value],Tabla156[Position],"-")</f>
        <v>2</v>
      </c>
      <c r="X88" s="129">
        <f>(R88+U88)*F88</f>
        <v>0</v>
      </c>
    </row>
    <row r="89" spans="1:24" x14ac:dyDescent="0.2">
      <c r="A89" s="128">
        <v>84</v>
      </c>
      <c r="B89" s="128">
        <f>SUM(H89,K89,N89,R89,U89)</f>
        <v>0</v>
      </c>
      <c r="C89" s="128"/>
      <c r="D89" s="128"/>
      <c r="E89" s="128"/>
      <c r="F89" s="128"/>
      <c r="G89" s="128"/>
      <c r="H89" s="135">
        <f>_xlfn.XLOOKUP(C89,Tabla13[Value],Tabla13[Qty],0)</f>
        <v>0</v>
      </c>
      <c r="I89" s="74" t="str">
        <f>_xlfn.XLOOKUP(C89,Tabla13[Value],Tabla13[Part],"-")</f>
        <v>-</v>
      </c>
      <c r="J89" s="74" t="str">
        <f>_xlfn.XLOOKUP(C89,Tabla13[Value],Tabla13[Position],"-")</f>
        <v>-</v>
      </c>
      <c r="K89" s="136">
        <f>_xlfn.XLOOKUP(C89,Tabla1[Value],Tabla1[Qty],0)</f>
        <v>0</v>
      </c>
      <c r="L89" s="74" t="str">
        <f>_xlfn.XLOOKUP(C89,Tabla1[Value],Tabla1[Part],"-")</f>
        <v>-</v>
      </c>
      <c r="M89" s="137" t="str">
        <f>_xlfn.XLOOKUP(C89,Tabla1[Value],Tabla1[Position],"-")</f>
        <v>-</v>
      </c>
      <c r="N89" s="136">
        <f>_xlfn.XLOOKUP(C89,Tabla15[Value],Tabla15[Qty],0)</f>
        <v>0</v>
      </c>
      <c r="O89" s="74" t="str">
        <f>_xlfn.XLOOKUP(C89,Tabla15[Value],Tabla15[Part],"-")</f>
        <v>-</v>
      </c>
      <c r="P89" s="137" t="str">
        <f>_xlfn.XLOOKUP(C89,Tabla15[Value],Tabla15[Position],"-")</f>
        <v>-</v>
      </c>
      <c r="Q89" s="134">
        <f>SUM(H89,K89,N89)*F89</f>
        <v>0</v>
      </c>
      <c r="R89" s="135">
        <f>_xlfn.XLOOKUP(C89,Tabla14[Value],Tabla14[Qty],0)</f>
        <v>0</v>
      </c>
      <c r="S89" s="74" t="str">
        <f>_xlfn.XLOOKUP(C89,Tabla14[Value],Tabla14[Part],"-")</f>
        <v>-</v>
      </c>
      <c r="T89" s="133" t="str">
        <f>_xlfn.XLOOKUP(C89,Tabla14[Value],Tabla14[Position],"-")</f>
        <v>-</v>
      </c>
      <c r="U89" s="136">
        <f>_xlfn.XLOOKUP(C89,Tabla156[Value],Tabla156[Qty],0)</f>
        <v>0</v>
      </c>
      <c r="V89" s="74">
        <f>_xlfn.XLOOKUP(C89,Tabla156[Value],Tabla156[Part],"-")</f>
        <v>0</v>
      </c>
      <c r="W89" s="137">
        <f>_xlfn.XLOOKUP(C89,Tabla156[Value],Tabla156[Position],"-")</f>
        <v>2</v>
      </c>
      <c r="X89" s="129">
        <f>(R89+U89)*F89</f>
        <v>0</v>
      </c>
    </row>
    <row r="90" spans="1:24" x14ac:dyDescent="0.2">
      <c r="A90" s="128">
        <v>85</v>
      </c>
      <c r="B90" s="128">
        <f>SUM(H90,K90,N90,R90,U90)</f>
        <v>0</v>
      </c>
      <c r="C90" s="128"/>
      <c r="D90" s="128"/>
      <c r="E90" s="128"/>
      <c r="F90" s="128"/>
      <c r="G90" s="128"/>
      <c r="H90" s="135">
        <f>_xlfn.XLOOKUP(C90,Tabla13[Value],Tabla13[Qty],0)</f>
        <v>0</v>
      </c>
      <c r="I90" s="74" t="str">
        <f>_xlfn.XLOOKUP(C90,Tabla13[Value],Tabla13[Part],"-")</f>
        <v>-</v>
      </c>
      <c r="J90" s="74" t="str">
        <f>_xlfn.XLOOKUP(C90,Tabla13[Value],Tabla13[Position],"-")</f>
        <v>-</v>
      </c>
      <c r="K90" s="136">
        <f>_xlfn.XLOOKUP(C90,Tabla1[Value],Tabla1[Qty],0)</f>
        <v>0</v>
      </c>
      <c r="L90" s="74" t="str">
        <f>_xlfn.XLOOKUP(C90,Tabla1[Value],Tabla1[Part],"-")</f>
        <v>-</v>
      </c>
      <c r="M90" s="137" t="str">
        <f>_xlfn.XLOOKUP(C90,Tabla1[Value],Tabla1[Position],"-")</f>
        <v>-</v>
      </c>
      <c r="N90" s="136">
        <f>_xlfn.XLOOKUP(C90,Tabla15[Value],Tabla15[Qty],0)</f>
        <v>0</v>
      </c>
      <c r="O90" s="74" t="str">
        <f>_xlfn.XLOOKUP(C90,Tabla15[Value],Tabla15[Part],"-")</f>
        <v>-</v>
      </c>
      <c r="P90" s="137" t="str">
        <f>_xlfn.XLOOKUP(C90,Tabla15[Value],Tabla15[Position],"-")</f>
        <v>-</v>
      </c>
      <c r="Q90" s="134">
        <f>SUM(H90,K90,N90)*F90</f>
        <v>0</v>
      </c>
      <c r="R90" s="135">
        <f>_xlfn.XLOOKUP(C90,Tabla14[Value],Tabla14[Qty],0)</f>
        <v>0</v>
      </c>
      <c r="S90" s="74" t="str">
        <f>_xlfn.XLOOKUP(C90,Tabla14[Value],Tabla14[Part],"-")</f>
        <v>-</v>
      </c>
      <c r="T90" s="133" t="str">
        <f>_xlfn.XLOOKUP(C90,Tabla14[Value],Tabla14[Position],"-")</f>
        <v>-</v>
      </c>
      <c r="U90" s="136">
        <f>_xlfn.XLOOKUP(C90,Tabla156[Value],Tabla156[Qty],0)</f>
        <v>0</v>
      </c>
      <c r="V90" s="74">
        <f>_xlfn.XLOOKUP(C90,Tabla156[Value],Tabla156[Part],"-")</f>
        <v>0</v>
      </c>
      <c r="W90" s="137">
        <f>_xlfn.XLOOKUP(C90,Tabla156[Value],Tabla156[Position],"-")</f>
        <v>2</v>
      </c>
      <c r="X90" s="129">
        <f>(R90+U90)*F90</f>
        <v>0</v>
      </c>
    </row>
    <row r="91" spans="1:24" x14ac:dyDescent="0.2">
      <c r="A91" s="128">
        <v>86</v>
      </c>
      <c r="B91" s="128">
        <f>SUM(H91,K91,N91,R91,U91)</f>
        <v>0</v>
      </c>
      <c r="C91" s="128"/>
      <c r="D91" s="128"/>
      <c r="E91" s="128"/>
      <c r="F91" s="128"/>
      <c r="G91" s="128"/>
      <c r="H91" s="135">
        <f>_xlfn.XLOOKUP(C91,Tabla13[Value],Tabla13[Qty],0)</f>
        <v>0</v>
      </c>
      <c r="I91" s="74" t="str">
        <f>_xlfn.XLOOKUP(C91,Tabla13[Value],Tabla13[Part],"-")</f>
        <v>-</v>
      </c>
      <c r="J91" s="74" t="str">
        <f>_xlfn.XLOOKUP(C91,Tabla13[Value],Tabla13[Position],"-")</f>
        <v>-</v>
      </c>
      <c r="K91" s="136">
        <f>_xlfn.XLOOKUP(C91,Tabla1[Value],Tabla1[Qty],0)</f>
        <v>0</v>
      </c>
      <c r="L91" s="74" t="str">
        <f>_xlfn.XLOOKUP(C91,Tabla1[Value],Tabla1[Part],"-")</f>
        <v>-</v>
      </c>
      <c r="M91" s="137" t="str">
        <f>_xlfn.XLOOKUP(C91,Tabla1[Value],Tabla1[Position],"-")</f>
        <v>-</v>
      </c>
      <c r="N91" s="136">
        <f>_xlfn.XLOOKUP(C91,Tabla15[Value],Tabla15[Qty],0)</f>
        <v>0</v>
      </c>
      <c r="O91" s="74" t="str">
        <f>_xlfn.XLOOKUP(C91,Tabla15[Value],Tabla15[Part],"-")</f>
        <v>-</v>
      </c>
      <c r="P91" s="137" t="str">
        <f>_xlfn.XLOOKUP(C91,Tabla15[Value],Tabla15[Position],"-")</f>
        <v>-</v>
      </c>
      <c r="Q91" s="134">
        <f>SUM(H91,K91,N91)*F91</f>
        <v>0</v>
      </c>
      <c r="R91" s="135">
        <f>_xlfn.XLOOKUP(C91,Tabla14[Value],Tabla14[Qty],0)</f>
        <v>0</v>
      </c>
      <c r="S91" s="74" t="str">
        <f>_xlfn.XLOOKUP(C91,Tabla14[Value],Tabla14[Part],"-")</f>
        <v>-</v>
      </c>
      <c r="T91" s="133" t="str">
        <f>_xlfn.XLOOKUP(C91,Tabla14[Value],Tabla14[Position],"-")</f>
        <v>-</v>
      </c>
      <c r="U91" s="136">
        <f>_xlfn.XLOOKUP(C91,Tabla156[Value],Tabla156[Qty],0)</f>
        <v>0</v>
      </c>
      <c r="V91" s="74">
        <f>_xlfn.XLOOKUP(C91,Tabla156[Value],Tabla156[Part],"-")</f>
        <v>0</v>
      </c>
      <c r="W91" s="137">
        <f>_xlfn.XLOOKUP(C91,Tabla156[Value],Tabla156[Position],"-")</f>
        <v>2</v>
      </c>
      <c r="X91" s="129">
        <f>(R91+U91)*F91</f>
        <v>0</v>
      </c>
    </row>
    <row r="92" spans="1:24" x14ac:dyDescent="0.2">
      <c r="A92" s="128">
        <v>87</v>
      </c>
      <c r="B92" s="128">
        <f>SUM(H92,K92,N92,R92,U92)</f>
        <v>0</v>
      </c>
      <c r="C92" s="128"/>
      <c r="D92" s="128"/>
      <c r="E92" s="128"/>
      <c r="F92" s="128"/>
      <c r="G92" s="128"/>
      <c r="H92" s="135">
        <f>_xlfn.XLOOKUP(C92,Tabla13[Value],Tabla13[Qty],0)</f>
        <v>0</v>
      </c>
      <c r="I92" s="74" t="str">
        <f>_xlfn.XLOOKUP(C92,Tabla13[Value],Tabla13[Part],"-")</f>
        <v>-</v>
      </c>
      <c r="J92" s="74" t="str">
        <f>_xlfn.XLOOKUP(C92,Tabla13[Value],Tabla13[Position],"-")</f>
        <v>-</v>
      </c>
      <c r="K92" s="136">
        <f>_xlfn.XLOOKUP(C92,Tabla1[Value],Tabla1[Qty],0)</f>
        <v>0</v>
      </c>
      <c r="L92" s="74" t="str">
        <f>_xlfn.XLOOKUP(C92,Tabla1[Value],Tabla1[Part],"-")</f>
        <v>-</v>
      </c>
      <c r="M92" s="137" t="str">
        <f>_xlfn.XLOOKUP(C92,Tabla1[Value],Tabla1[Position],"-")</f>
        <v>-</v>
      </c>
      <c r="N92" s="136">
        <f>_xlfn.XLOOKUP(C92,Tabla15[Value],Tabla15[Qty],0)</f>
        <v>0</v>
      </c>
      <c r="O92" s="74" t="str">
        <f>_xlfn.XLOOKUP(C92,Tabla15[Value],Tabla15[Part],"-")</f>
        <v>-</v>
      </c>
      <c r="P92" s="137" t="str">
        <f>_xlfn.XLOOKUP(C92,Tabla15[Value],Tabla15[Position],"-")</f>
        <v>-</v>
      </c>
      <c r="Q92" s="134">
        <f>SUM(H92,K92,N92)*F92</f>
        <v>0</v>
      </c>
      <c r="R92" s="135">
        <f>_xlfn.XLOOKUP(C92,Tabla14[Value],Tabla14[Qty],0)</f>
        <v>0</v>
      </c>
      <c r="S92" s="74" t="str">
        <f>_xlfn.XLOOKUP(C92,Tabla14[Value],Tabla14[Part],"-")</f>
        <v>-</v>
      </c>
      <c r="T92" s="133" t="str">
        <f>_xlfn.XLOOKUP(C92,Tabla14[Value],Tabla14[Position],"-")</f>
        <v>-</v>
      </c>
      <c r="U92" s="136">
        <f>_xlfn.XLOOKUP(C92,Tabla156[Value],Tabla156[Qty],0)</f>
        <v>0</v>
      </c>
      <c r="V92" s="74">
        <f>_xlfn.XLOOKUP(C92,Tabla156[Value],Tabla156[Part],"-")</f>
        <v>0</v>
      </c>
      <c r="W92" s="137">
        <f>_xlfn.XLOOKUP(C92,Tabla156[Value],Tabla156[Position],"-")</f>
        <v>2</v>
      </c>
      <c r="X92" s="129">
        <f>(R92+U92)*F92</f>
        <v>0</v>
      </c>
    </row>
    <row r="93" spans="1:24" x14ac:dyDescent="0.2">
      <c r="A93" s="128">
        <v>88</v>
      </c>
      <c r="B93" s="128">
        <f>SUM(H93,K93,N93,R93,U93)</f>
        <v>0</v>
      </c>
      <c r="C93" s="128"/>
      <c r="D93" s="128"/>
      <c r="E93" s="128"/>
      <c r="F93" s="128"/>
      <c r="G93" s="128"/>
      <c r="H93" s="135">
        <f>_xlfn.XLOOKUP(C93,Tabla13[Value],Tabla13[Qty],0)</f>
        <v>0</v>
      </c>
      <c r="I93" s="74" t="str">
        <f>_xlfn.XLOOKUP(C93,Tabla13[Value],Tabla13[Part],"-")</f>
        <v>-</v>
      </c>
      <c r="J93" s="74" t="str">
        <f>_xlfn.XLOOKUP(C93,Tabla13[Value],Tabla13[Position],"-")</f>
        <v>-</v>
      </c>
      <c r="K93" s="136">
        <f>_xlfn.XLOOKUP(C93,Tabla1[Value],Tabla1[Qty],0)</f>
        <v>0</v>
      </c>
      <c r="L93" s="74" t="str">
        <f>_xlfn.XLOOKUP(C93,Tabla1[Value],Tabla1[Part],"-")</f>
        <v>-</v>
      </c>
      <c r="M93" s="137" t="str">
        <f>_xlfn.XLOOKUP(C93,Tabla1[Value],Tabla1[Position],"-")</f>
        <v>-</v>
      </c>
      <c r="N93" s="136">
        <f>_xlfn.XLOOKUP(C93,Tabla15[Value],Tabla15[Qty],0)</f>
        <v>0</v>
      </c>
      <c r="O93" s="74" t="str">
        <f>_xlfn.XLOOKUP(C93,Tabla15[Value],Tabla15[Part],"-")</f>
        <v>-</v>
      </c>
      <c r="P93" s="137" t="str">
        <f>_xlfn.XLOOKUP(C93,Tabla15[Value],Tabla15[Position],"-")</f>
        <v>-</v>
      </c>
      <c r="Q93" s="134">
        <f>SUM(H93,K93,N93)*F93</f>
        <v>0</v>
      </c>
      <c r="R93" s="135">
        <f>_xlfn.XLOOKUP(C93,Tabla14[Value],Tabla14[Qty],0)</f>
        <v>0</v>
      </c>
      <c r="S93" s="74" t="str">
        <f>_xlfn.XLOOKUP(C93,Tabla14[Value],Tabla14[Part],"-")</f>
        <v>-</v>
      </c>
      <c r="T93" s="133" t="str">
        <f>_xlfn.XLOOKUP(C93,Tabla14[Value],Tabla14[Position],"-")</f>
        <v>-</v>
      </c>
      <c r="U93" s="136">
        <f>_xlfn.XLOOKUP(C93,Tabla156[Value],Tabla156[Qty],0)</f>
        <v>0</v>
      </c>
      <c r="V93" s="74">
        <f>_xlfn.XLOOKUP(C93,Tabla156[Value],Tabla156[Part],"-")</f>
        <v>0</v>
      </c>
      <c r="W93" s="137">
        <f>_xlfn.XLOOKUP(C93,Tabla156[Value],Tabla156[Position],"-")</f>
        <v>2</v>
      </c>
      <c r="X93" s="129">
        <f>(R93+U93)*F93</f>
        <v>0</v>
      </c>
    </row>
    <row r="94" spans="1:24" x14ac:dyDescent="0.2">
      <c r="A94" s="128">
        <v>89</v>
      </c>
      <c r="B94" s="128">
        <f>SUM(H94,K94,N94,R94,U94)</f>
        <v>0</v>
      </c>
      <c r="C94" s="128"/>
      <c r="D94" s="128"/>
      <c r="E94" s="128"/>
      <c r="F94" s="128"/>
      <c r="G94" s="128"/>
      <c r="H94" s="135">
        <f>_xlfn.XLOOKUP(C94,Tabla13[Value],Tabla13[Qty],0)</f>
        <v>0</v>
      </c>
      <c r="I94" s="74" t="str">
        <f>_xlfn.XLOOKUP(C94,Tabla13[Value],Tabla13[Part],"-")</f>
        <v>-</v>
      </c>
      <c r="J94" s="74" t="str">
        <f>_xlfn.XLOOKUP(C94,Tabla13[Value],Tabla13[Position],"-")</f>
        <v>-</v>
      </c>
      <c r="K94" s="136">
        <f>_xlfn.XLOOKUP(C94,Tabla1[Value],Tabla1[Qty],0)</f>
        <v>0</v>
      </c>
      <c r="L94" s="74" t="str">
        <f>_xlfn.XLOOKUP(C94,Tabla1[Value],Tabla1[Part],"-")</f>
        <v>-</v>
      </c>
      <c r="M94" s="137" t="str">
        <f>_xlfn.XLOOKUP(C94,Tabla1[Value],Tabla1[Position],"-")</f>
        <v>-</v>
      </c>
      <c r="N94" s="136">
        <f>_xlfn.XLOOKUP(C94,Tabla15[Value],Tabla15[Qty],0)</f>
        <v>0</v>
      </c>
      <c r="O94" s="74" t="str">
        <f>_xlfn.XLOOKUP(C94,Tabla15[Value],Tabla15[Part],"-")</f>
        <v>-</v>
      </c>
      <c r="P94" s="137" t="str">
        <f>_xlfn.XLOOKUP(C94,Tabla15[Value],Tabla15[Position],"-")</f>
        <v>-</v>
      </c>
      <c r="Q94" s="134">
        <f>SUM(H94,K94,N94)*F94</f>
        <v>0</v>
      </c>
      <c r="R94" s="135">
        <f>_xlfn.XLOOKUP(C94,Tabla14[Value],Tabla14[Qty],0)</f>
        <v>0</v>
      </c>
      <c r="S94" s="74" t="str">
        <f>_xlfn.XLOOKUP(C94,Tabla14[Value],Tabla14[Part],"-")</f>
        <v>-</v>
      </c>
      <c r="T94" s="133" t="str">
        <f>_xlfn.XLOOKUP(C94,Tabla14[Value],Tabla14[Position],"-")</f>
        <v>-</v>
      </c>
      <c r="U94" s="136">
        <f>_xlfn.XLOOKUP(C94,Tabla156[Value],Tabla156[Qty],0)</f>
        <v>0</v>
      </c>
      <c r="V94" s="74">
        <f>_xlfn.XLOOKUP(C94,Tabla156[Value],Tabla156[Part],"-")</f>
        <v>0</v>
      </c>
      <c r="W94" s="137">
        <f>_xlfn.XLOOKUP(C94,Tabla156[Value],Tabla156[Position],"-")</f>
        <v>2</v>
      </c>
      <c r="X94" s="129">
        <f>(R94+U94)*F94</f>
        <v>0</v>
      </c>
    </row>
    <row r="95" spans="1:24" x14ac:dyDescent="0.2">
      <c r="A95" s="128">
        <v>90</v>
      </c>
      <c r="B95" s="128">
        <f>SUM(H95,K95,N95,R95,U95)</f>
        <v>0</v>
      </c>
      <c r="C95" s="128"/>
      <c r="D95" s="128"/>
      <c r="E95" s="128"/>
      <c r="F95" s="128"/>
      <c r="G95" s="128"/>
      <c r="H95" s="135">
        <f>_xlfn.XLOOKUP(C95,Tabla13[Value],Tabla13[Qty],0)</f>
        <v>0</v>
      </c>
      <c r="I95" s="74" t="str">
        <f>_xlfn.XLOOKUP(C95,Tabla13[Value],Tabla13[Part],"-")</f>
        <v>-</v>
      </c>
      <c r="J95" s="74" t="str">
        <f>_xlfn.XLOOKUP(C95,Tabla13[Value],Tabla13[Position],"-")</f>
        <v>-</v>
      </c>
      <c r="K95" s="136">
        <f>_xlfn.XLOOKUP(C95,Tabla1[Value],Tabla1[Qty],0)</f>
        <v>0</v>
      </c>
      <c r="L95" s="74" t="str">
        <f>_xlfn.XLOOKUP(C95,Tabla1[Value],Tabla1[Part],"-")</f>
        <v>-</v>
      </c>
      <c r="M95" s="137" t="str">
        <f>_xlfn.XLOOKUP(C95,Tabla1[Value],Tabla1[Position],"-")</f>
        <v>-</v>
      </c>
      <c r="N95" s="136">
        <f>_xlfn.XLOOKUP(C95,Tabla15[Value],Tabla15[Qty],0)</f>
        <v>0</v>
      </c>
      <c r="O95" s="74" t="str">
        <f>_xlfn.XLOOKUP(C95,Tabla15[Value],Tabla15[Part],"-")</f>
        <v>-</v>
      </c>
      <c r="P95" s="137" t="str">
        <f>_xlfn.XLOOKUP(C95,Tabla15[Value],Tabla15[Position],"-")</f>
        <v>-</v>
      </c>
      <c r="Q95" s="134">
        <f>SUM(H95,K95,N95)*F95</f>
        <v>0</v>
      </c>
      <c r="R95" s="135">
        <f>_xlfn.XLOOKUP(C95,Tabla14[Value],Tabla14[Qty],0)</f>
        <v>0</v>
      </c>
      <c r="S95" s="74" t="str">
        <f>_xlfn.XLOOKUP(C95,Tabla14[Value],Tabla14[Part],"-")</f>
        <v>-</v>
      </c>
      <c r="T95" s="133" t="str">
        <f>_xlfn.XLOOKUP(C95,Tabla14[Value],Tabla14[Position],"-")</f>
        <v>-</v>
      </c>
      <c r="U95" s="136">
        <f>_xlfn.XLOOKUP(C95,Tabla156[Value],Tabla156[Qty],0)</f>
        <v>0</v>
      </c>
      <c r="V95" s="74">
        <f>_xlfn.XLOOKUP(C95,Tabla156[Value],Tabla156[Part],"-")</f>
        <v>0</v>
      </c>
      <c r="W95" s="137">
        <f>_xlfn.XLOOKUP(C95,Tabla156[Value],Tabla156[Position],"-")</f>
        <v>2</v>
      </c>
      <c r="X95" s="129">
        <f>(R95+U95)*F95</f>
        <v>0</v>
      </c>
    </row>
    <row r="96" spans="1:24" x14ac:dyDescent="0.2">
      <c r="A96" s="128">
        <v>91</v>
      </c>
      <c r="B96" s="128">
        <f>SUM(H96,K96,N96,R96,U96)</f>
        <v>0</v>
      </c>
      <c r="C96" s="128"/>
      <c r="D96" s="128"/>
      <c r="E96" s="128"/>
      <c r="F96" s="128"/>
      <c r="G96" s="128"/>
      <c r="H96" s="135">
        <f>_xlfn.XLOOKUP(C96,Tabla13[Value],Tabla13[Qty],0)</f>
        <v>0</v>
      </c>
      <c r="I96" s="74" t="str">
        <f>_xlfn.XLOOKUP(C96,Tabla13[Value],Tabla13[Part],"-")</f>
        <v>-</v>
      </c>
      <c r="J96" s="74" t="str">
        <f>_xlfn.XLOOKUP(C96,Tabla13[Value],Tabla13[Position],"-")</f>
        <v>-</v>
      </c>
      <c r="K96" s="136">
        <f>_xlfn.XLOOKUP(C96,Tabla1[Value],Tabla1[Qty],0)</f>
        <v>0</v>
      </c>
      <c r="L96" s="74" t="str">
        <f>_xlfn.XLOOKUP(C96,Tabla1[Value],Tabla1[Part],"-")</f>
        <v>-</v>
      </c>
      <c r="M96" s="137" t="str">
        <f>_xlfn.XLOOKUP(C96,Tabla1[Value],Tabla1[Position],"-")</f>
        <v>-</v>
      </c>
      <c r="N96" s="136">
        <f>_xlfn.XLOOKUP(C96,Tabla15[Value],Tabla15[Qty],0)</f>
        <v>0</v>
      </c>
      <c r="O96" s="74" t="str">
        <f>_xlfn.XLOOKUP(C96,Tabla15[Value],Tabla15[Part],"-")</f>
        <v>-</v>
      </c>
      <c r="P96" s="137" t="str">
        <f>_xlfn.XLOOKUP(C96,Tabla15[Value],Tabla15[Position],"-")</f>
        <v>-</v>
      </c>
      <c r="Q96" s="134">
        <f>SUM(H96,K96,N96)*F96</f>
        <v>0</v>
      </c>
      <c r="R96" s="135">
        <f>_xlfn.XLOOKUP(C96,Tabla14[Value],Tabla14[Qty],0)</f>
        <v>0</v>
      </c>
      <c r="S96" s="74" t="str">
        <f>_xlfn.XLOOKUP(C96,Tabla14[Value],Tabla14[Part],"-")</f>
        <v>-</v>
      </c>
      <c r="T96" s="133" t="str">
        <f>_xlfn.XLOOKUP(C96,Tabla14[Value],Tabla14[Position],"-")</f>
        <v>-</v>
      </c>
      <c r="U96" s="136">
        <f>_xlfn.XLOOKUP(C96,Tabla156[Value],Tabla156[Qty],0)</f>
        <v>0</v>
      </c>
      <c r="V96" s="74">
        <f>_xlfn.XLOOKUP(C96,Tabla156[Value],Tabla156[Part],"-")</f>
        <v>0</v>
      </c>
      <c r="W96" s="137">
        <f>_xlfn.XLOOKUP(C96,Tabla156[Value],Tabla156[Position],"-")</f>
        <v>2</v>
      </c>
      <c r="X96" s="129">
        <f>(R96+U96)*F96</f>
        <v>0</v>
      </c>
    </row>
    <row r="97" spans="1:24" x14ac:dyDescent="0.2">
      <c r="A97" s="128">
        <v>92</v>
      </c>
      <c r="B97" s="128">
        <f>SUM(H97,K97,N97,R97,U97)</f>
        <v>0</v>
      </c>
      <c r="C97" s="128"/>
      <c r="D97" s="128"/>
      <c r="E97" s="128"/>
      <c r="F97" s="128"/>
      <c r="G97" s="128"/>
      <c r="H97" s="135">
        <f>_xlfn.XLOOKUP(C97,Tabla13[Value],Tabla13[Qty],0)</f>
        <v>0</v>
      </c>
      <c r="I97" s="74" t="str">
        <f>_xlfn.XLOOKUP(C97,Tabla13[Value],Tabla13[Part],"-")</f>
        <v>-</v>
      </c>
      <c r="J97" s="74" t="str">
        <f>_xlfn.XLOOKUP(C97,Tabla13[Value],Tabla13[Position],"-")</f>
        <v>-</v>
      </c>
      <c r="K97" s="136">
        <f>_xlfn.XLOOKUP(C97,Tabla1[Value],Tabla1[Qty],0)</f>
        <v>0</v>
      </c>
      <c r="L97" s="74" t="str">
        <f>_xlfn.XLOOKUP(C97,Tabla1[Value],Tabla1[Part],"-")</f>
        <v>-</v>
      </c>
      <c r="M97" s="137" t="str">
        <f>_xlfn.XLOOKUP(C97,Tabla1[Value],Tabla1[Position],"-")</f>
        <v>-</v>
      </c>
      <c r="N97" s="136">
        <f>_xlfn.XLOOKUP(C97,Tabla15[Value],Tabla15[Qty],0)</f>
        <v>0</v>
      </c>
      <c r="O97" s="74" t="str">
        <f>_xlfn.XLOOKUP(C97,Tabla15[Value],Tabla15[Part],"-")</f>
        <v>-</v>
      </c>
      <c r="P97" s="137" t="str">
        <f>_xlfn.XLOOKUP(C97,Tabla15[Value],Tabla15[Position],"-")</f>
        <v>-</v>
      </c>
      <c r="Q97" s="134">
        <f>SUM(H97,K97,N97)*F97</f>
        <v>0</v>
      </c>
      <c r="R97" s="135">
        <f>_xlfn.XLOOKUP(C97,Tabla14[Value],Tabla14[Qty],0)</f>
        <v>0</v>
      </c>
      <c r="S97" s="74" t="str">
        <f>_xlfn.XLOOKUP(C97,Tabla14[Value],Tabla14[Part],"-")</f>
        <v>-</v>
      </c>
      <c r="T97" s="133" t="str">
        <f>_xlfn.XLOOKUP(C97,Tabla14[Value],Tabla14[Position],"-")</f>
        <v>-</v>
      </c>
      <c r="U97" s="136">
        <f>_xlfn.XLOOKUP(C97,Tabla156[Value],Tabla156[Qty],0)</f>
        <v>0</v>
      </c>
      <c r="V97" s="74">
        <f>_xlfn.XLOOKUP(C97,Tabla156[Value],Tabla156[Part],"-")</f>
        <v>0</v>
      </c>
      <c r="W97" s="137">
        <f>_xlfn.XLOOKUP(C97,Tabla156[Value],Tabla156[Position],"-")</f>
        <v>2</v>
      </c>
      <c r="X97" s="129">
        <f>(R97+U97)*F97</f>
        <v>0</v>
      </c>
    </row>
    <row r="98" spans="1:24" x14ac:dyDescent="0.2">
      <c r="A98" s="128">
        <v>93</v>
      </c>
      <c r="B98" s="128">
        <f>SUM(H98,K98,N98,R98,U98)</f>
        <v>0</v>
      </c>
      <c r="C98" s="128"/>
      <c r="D98" s="128"/>
      <c r="E98" s="128"/>
      <c r="F98" s="128"/>
      <c r="G98" s="128"/>
      <c r="H98" s="135">
        <f>_xlfn.XLOOKUP(C98,Tabla13[Value],Tabla13[Qty],0)</f>
        <v>0</v>
      </c>
      <c r="I98" s="74" t="str">
        <f>_xlfn.XLOOKUP(C98,Tabla13[Value],Tabla13[Part],"-")</f>
        <v>-</v>
      </c>
      <c r="J98" s="74" t="str">
        <f>_xlfn.XLOOKUP(C98,Tabla13[Value],Tabla13[Position],"-")</f>
        <v>-</v>
      </c>
      <c r="K98" s="136">
        <f>_xlfn.XLOOKUP(C98,Tabla1[Value],Tabla1[Qty],0)</f>
        <v>0</v>
      </c>
      <c r="L98" s="74" t="str">
        <f>_xlfn.XLOOKUP(C98,Tabla1[Value],Tabla1[Part],"-")</f>
        <v>-</v>
      </c>
      <c r="M98" s="137" t="str">
        <f>_xlfn.XLOOKUP(C98,Tabla1[Value],Tabla1[Position],"-")</f>
        <v>-</v>
      </c>
      <c r="N98" s="136">
        <f>_xlfn.XLOOKUP(C98,Tabla15[Value],Tabla15[Qty],0)</f>
        <v>0</v>
      </c>
      <c r="O98" s="74" t="str">
        <f>_xlfn.XLOOKUP(C98,Tabla15[Value],Tabla15[Part],"-")</f>
        <v>-</v>
      </c>
      <c r="P98" s="137" t="str">
        <f>_xlfn.XLOOKUP(C98,Tabla15[Value],Tabla15[Position],"-")</f>
        <v>-</v>
      </c>
      <c r="Q98" s="134">
        <f>SUM(H98,K98,N98)*F98</f>
        <v>0</v>
      </c>
      <c r="R98" s="135">
        <f>_xlfn.XLOOKUP(C98,Tabla14[Value],Tabla14[Qty],0)</f>
        <v>0</v>
      </c>
      <c r="S98" s="74" t="str">
        <f>_xlfn.XLOOKUP(C98,Tabla14[Value],Tabla14[Part],"-")</f>
        <v>-</v>
      </c>
      <c r="T98" s="133" t="str">
        <f>_xlfn.XLOOKUP(C98,Tabla14[Value],Tabla14[Position],"-")</f>
        <v>-</v>
      </c>
      <c r="U98" s="136">
        <f>_xlfn.XLOOKUP(C98,Tabla156[Value],Tabla156[Qty],0)</f>
        <v>0</v>
      </c>
      <c r="V98" s="74">
        <f>_xlfn.XLOOKUP(C98,Tabla156[Value],Tabla156[Part],"-")</f>
        <v>0</v>
      </c>
      <c r="W98" s="137">
        <f>_xlfn.XLOOKUP(C98,Tabla156[Value],Tabla156[Position],"-")</f>
        <v>2</v>
      </c>
      <c r="X98" s="129">
        <f>(R98+U98)*F98</f>
        <v>0</v>
      </c>
    </row>
    <row r="99" spans="1:24" ht="13.5" thickBot="1" x14ac:dyDescent="0.25">
      <c r="A99" s="139">
        <v>94</v>
      </c>
      <c r="B99" s="139">
        <f>SUM(H99,K99,N99,R99,U99)</f>
        <v>0</v>
      </c>
      <c r="C99" s="139"/>
      <c r="D99" s="139"/>
      <c r="E99" s="139"/>
      <c r="F99" s="139"/>
      <c r="G99" s="128"/>
      <c r="H99" s="140">
        <f>_xlfn.XLOOKUP(C99,Tabla13[Value],Tabla13[Qty],0)</f>
        <v>0</v>
      </c>
      <c r="I99" s="141" t="str">
        <f>_xlfn.XLOOKUP(C99,Tabla13[Value],Tabla13[Part],"-")</f>
        <v>-</v>
      </c>
      <c r="J99" s="141" t="str">
        <f>_xlfn.XLOOKUP(C99,Tabla13[Value],Tabla13[Position],"-")</f>
        <v>-</v>
      </c>
      <c r="K99" s="142">
        <f>_xlfn.XLOOKUP(C99,Tabla1[Value],Tabla1[Qty],0)</f>
        <v>0</v>
      </c>
      <c r="L99" s="141" t="str">
        <f>_xlfn.XLOOKUP(C99,Tabla1[Value],Tabla1[Part],"-")</f>
        <v>-</v>
      </c>
      <c r="M99" s="143" t="str">
        <f>_xlfn.XLOOKUP(C99,Tabla1[Value],Tabla1[Position],"-")</f>
        <v>-</v>
      </c>
      <c r="N99" s="142">
        <f>_xlfn.XLOOKUP(C99,Tabla15[Value],Tabla15[Qty],0)</f>
        <v>0</v>
      </c>
      <c r="O99" s="141" t="str">
        <f>_xlfn.XLOOKUP(C99,Tabla15[Value],Tabla15[Part],"-")</f>
        <v>-</v>
      </c>
      <c r="P99" s="143" t="str">
        <f>_xlfn.XLOOKUP(C99,Tabla15[Value],Tabla15[Position],"-")</f>
        <v>-</v>
      </c>
      <c r="Q99" s="134">
        <f>SUM(H99,K99,N99)*F99</f>
        <v>0</v>
      </c>
      <c r="R99" s="140">
        <f>_xlfn.XLOOKUP(C99,Tabla14[Value],Tabla14[Qty],0)</f>
        <v>0</v>
      </c>
      <c r="S99" s="141" t="str">
        <f>_xlfn.XLOOKUP(C99,Tabla14[Value],Tabla14[Part],"-")</f>
        <v>-</v>
      </c>
      <c r="T99" s="144" t="str">
        <f>_xlfn.XLOOKUP(C99,Tabla14[Value],Tabla14[Position],"-")</f>
        <v>-</v>
      </c>
      <c r="U99" s="142">
        <f>_xlfn.XLOOKUP(C99,Tabla156[Value],Tabla156[Qty],0)</f>
        <v>0</v>
      </c>
      <c r="V99" s="141">
        <f>_xlfn.XLOOKUP(C99,Tabla156[Value],Tabla156[Part],"-")</f>
        <v>0</v>
      </c>
      <c r="W99" s="143">
        <f>_xlfn.XLOOKUP(C99,Tabla156[Value],Tabla156[Position],"-")</f>
        <v>2</v>
      </c>
      <c r="X99" s="145">
        <f>(R99+U99)*F99</f>
        <v>0</v>
      </c>
    </row>
  </sheetData>
  <mergeCells count="14">
    <mergeCell ref="Z2:AA3"/>
    <mergeCell ref="O2:P2"/>
    <mergeCell ref="AB2:AB3"/>
    <mergeCell ref="H2:L3"/>
    <mergeCell ref="V3:W3"/>
    <mergeCell ref="R2:U3"/>
    <mergeCell ref="B2:D3"/>
    <mergeCell ref="V2:W2"/>
    <mergeCell ref="O3:P3"/>
    <mergeCell ref="H4:J4"/>
    <mergeCell ref="K4:M4"/>
    <mergeCell ref="N4:P4"/>
    <mergeCell ref="R4:T4"/>
    <mergeCell ref="U4:W4"/>
  </mergeCells>
  <hyperlinks>
    <hyperlink ref="G9" r:id="rId1" xr:uid="{9EB24C2C-9EC9-423B-9F70-F1E43C60CAD3}"/>
    <hyperlink ref="G45" r:id="rId2" xr:uid="{032D2E61-0352-456B-8D7F-102C007E9BC6}"/>
    <hyperlink ref="G46" r:id="rId3" xr:uid="{AB53E0C8-48E6-46B9-9355-F39C9C8D3396}"/>
    <hyperlink ref="G47" r:id="rId4" xr:uid="{A7D10E39-2627-424E-A48A-D85ECF25DF82}"/>
    <hyperlink ref="G48" r:id="rId5" xr:uid="{6A6C5EC8-146F-41C8-B267-CEF79FBAF590}"/>
    <hyperlink ref="G49" r:id="rId6" xr:uid="{14277501-769A-4A53-8783-A3F4AEC12A23}"/>
    <hyperlink ref="G50" r:id="rId7" xr:uid="{8514B228-FF7F-470B-9005-9499A1AC34E6}"/>
    <hyperlink ref="G51" r:id="rId8" xr:uid="{1DEFFFF5-56C7-41C8-BC70-1B98EBDDDF49}"/>
    <hyperlink ref="G52" r:id="rId9" xr:uid="{0D233497-CB1F-44C6-8159-23C843B78365}"/>
    <hyperlink ref="G44" r:id="rId10" xr:uid="{A6466075-6A1B-4679-B75E-506509E0EBAC}"/>
    <hyperlink ref="G10" r:id="rId11" xr:uid="{D5DDE397-F357-494C-8E92-F9005748BEFD}"/>
    <hyperlink ref="G15" r:id="rId12" xr:uid="{53559286-71D6-4A4F-B3FB-0BBE56070DCA}"/>
    <hyperlink ref="G14" r:id="rId13" xr:uid="{AF8C6BF9-AD5B-482F-8D8B-8F1A733D4973}"/>
    <hyperlink ref="G7" r:id="rId14" xr:uid="{1F0293F9-F157-4863-AD2D-1AADE477A92B}"/>
    <hyperlink ref="G8" r:id="rId15" xr:uid="{6DE0982A-4FC9-4118-9D0C-1E2C2F267DD5}"/>
    <hyperlink ref="G53" r:id="rId16" xr:uid="{2DBCF721-E75F-4EEE-BF83-6D2A0B9A7700}"/>
    <hyperlink ref="G55" r:id="rId17" xr:uid="{6E4207DC-856F-491B-905D-75C16C7C2CC0}"/>
    <hyperlink ref="G56" r:id="rId18" xr:uid="{ECD60784-119B-4CA2-8436-442387B368E8}"/>
    <hyperlink ref="G57" r:id="rId19" xr:uid="{AC414391-7C28-49DB-BE93-76E7AFB905CE}"/>
    <hyperlink ref="G58" r:id="rId20" xr:uid="{97C7478A-C6D6-4FC8-B32F-EEC180F56F20}"/>
    <hyperlink ref="G59" r:id="rId21" xr:uid="{A5B5322C-C4CA-4BF7-85FE-A12FA5BBA190}"/>
    <hyperlink ref="G13" r:id="rId22" xr:uid="{33476162-AC01-4899-BF00-90F6E2AA34ED}"/>
    <hyperlink ref="G63" r:id="rId23" xr:uid="{7B8A10B5-6509-4261-B7C9-ED0F7199B020}"/>
    <hyperlink ref="G64" r:id="rId24" xr:uid="{5172F5E1-2E13-49B3-AB04-8DC9911AF8CE}"/>
    <hyperlink ref="G65" r:id="rId25" xr:uid="{F9132F20-DB4A-4C4B-B9B9-CA0CE6A08C26}"/>
    <hyperlink ref="G67" r:id="rId26" xr:uid="{F90FA305-EB6C-46DD-83B2-64161ED0BDAD}"/>
    <hyperlink ref="G66" r:id="rId27" xr:uid="{B80DA3BC-8BAA-4F93-864E-129AE8CCDE96}"/>
    <hyperlink ref="G68" r:id="rId28" xr:uid="{BE223400-EEEA-4C09-8DCA-94F0342C4EBA}"/>
    <hyperlink ref="G69" r:id="rId29" xr:uid="{5F024D99-0D6A-4157-8D40-338A6527CD28}"/>
    <hyperlink ref="G70" r:id="rId30" xr:uid="{DE543449-0A75-41BB-8DF6-BFDCF4020A5B}"/>
  </hyperlinks>
  <pageMargins left="0.7" right="0.7" top="0.75" bottom="0.75" header="0.3" footer="0.3"/>
  <pageSetup paperSize="9" orientation="portrait" r:id="rId31"/>
  <legacyDrawing r:id="rId32"/>
  <tableParts count="1">
    <tablePart r:id="rId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D7E4-EAA0-4B8F-8E6F-7C601ED50860}">
  <dimension ref="A1:J30"/>
  <sheetViews>
    <sheetView workbookViewId="0"/>
  </sheetViews>
  <sheetFormatPr baseColWidth="10" defaultRowHeight="12.75" x14ac:dyDescent="0.2"/>
  <cols>
    <col min="1" max="1" width="15.42578125" bestFit="1" customWidth="1"/>
    <col min="2" max="2" width="4.28515625" bestFit="1" customWidth="1"/>
    <col min="3" max="3" width="38.140625" bestFit="1" customWidth="1"/>
    <col min="4" max="4" width="28.42578125" bestFit="1" customWidth="1"/>
    <col min="5" max="5" width="20.85546875" bestFit="1" customWidth="1"/>
    <col min="6" max="6" width="18.42578125" bestFit="1" customWidth="1"/>
    <col min="7" max="7" width="9.85546875" bestFit="1" customWidth="1"/>
    <col min="8" max="8" width="14.85546875" bestFit="1" customWidth="1"/>
    <col min="9" max="9" width="106.7109375" bestFit="1" customWidth="1"/>
    <col min="10" max="10" width="9.425781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61" t="s">
        <v>203</v>
      </c>
      <c r="C4" s="62"/>
      <c r="D4" s="62"/>
      <c r="E4" s="63"/>
    </row>
    <row r="5" spans="1:10" x14ac:dyDescent="0.2">
      <c r="A5" s="6"/>
      <c r="B5" s="1"/>
    </row>
    <row r="6" spans="1:10" x14ac:dyDescent="0.2">
      <c r="A6" s="33" t="s">
        <v>1</v>
      </c>
      <c r="B6" s="33" t="s">
        <v>2</v>
      </c>
      <c r="C6" s="33" t="s">
        <v>3</v>
      </c>
      <c r="D6" s="33" t="s">
        <v>4</v>
      </c>
      <c r="E6" s="33" t="s">
        <v>5</v>
      </c>
      <c r="F6" s="33" t="s">
        <v>6</v>
      </c>
      <c r="G6" s="33" t="s">
        <v>118</v>
      </c>
      <c r="H6" s="33" t="s">
        <v>119</v>
      </c>
      <c r="I6" s="33" t="s">
        <v>100</v>
      </c>
      <c r="J6" s="33" t="s">
        <v>7</v>
      </c>
    </row>
    <row r="7" spans="1:10" x14ac:dyDescent="0.2">
      <c r="A7" s="6">
        <v>1</v>
      </c>
      <c r="B7" s="22">
        <v>1</v>
      </c>
      <c r="C7" s="37" t="s">
        <v>122</v>
      </c>
      <c r="D7" s="37" t="s">
        <v>157</v>
      </c>
      <c r="E7" s="47" t="s">
        <v>201</v>
      </c>
      <c r="F7" s="31" t="s">
        <v>197</v>
      </c>
      <c r="G7" s="31">
        <v>0.43964999999999999</v>
      </c>
      <c r="H7" s="31">
        <f>Tabla13[[#This Row],[Unit Price]]*Tabla13[[#This Row],[Qty]]</f>
        <v>0.43964999999999999</v>
      </c>
      <c r="I7" s="40" t="str">
        <f>_xlfn.XLOOKUP(Tabla13[[#This Row],[Value]],Tabla8[Value],Tabla8[Links],"-")</f>
        <v>https://www.digikey.es/product-detail/en/murata-electronics/PKMCS0909E4000-R1/490-9647-1-ND/4878401</v>
      </c>
      <c r="J7" s="6"/>
    </row>
    <row r="8" spans="1:10" x14ac:dyDescent="0.2">
      <c r="A8" s="6">
        <v>2</v>
      </c>
      <c r="B8" s="22">
        <v>9</v>
      </c>
      <c r="C8" s="47" t="s">
        <v>123</v>
      </c>
      <c r="D8" s="71" t="s">
        <v>102</v>
      </c>
      <c r="E8" s="72" t="s">
        <v>19</v>
      </c>
      <c r="F8" s="73" t="s">
        <v>96</v>
      </c>
      <c r="G8" s="73">
        <v>4.5700000000000003E-3</v>
      </c>
      <c r="H8" s="31">
        <f>Tabla13[[#This Row],[Unit Price]]*Tabla13[[#This Row],[Qty]]</f>
        <v>4.113E-2</v>
      </c>
      <c r="I8" s="40" t="str">
        <f>_xlfn.XLOOKUP(Tabla13[[#This Row],[Value]],Tabla8[Value],Tabla8[Links],"-")</f>
        <v>https://www.digikey.es/product-detail/en/samsung-electro-mechanics/CL10B104KA8NNNC/1276-1006-1-ND/3889092</v>
      </c>
      <c r="J8" s="6"/>
    </row>
    <row r="9" spans="1:10" ht="15" x14ac:dyDescent="0.2">
      <c r="A9" s="6">
        <v>3</v>
      </c>
      <c r="B9" s="22">
        <v>2</v>
      </c>
      <c r="C9" s="47" t="s">
        <v>124</v>
      </c>
      <c r="D9" s="38" t="s">
        <v>249</v>
      </c>
      <c r="E9" s="22" t="s">
        <v>19</v>
      </c>
      <c r="F9" s="31" t="s">
        <v>160</v>
      </c>
      <c r="G9" s="39">
        <v>7.1900000000000002E-3</v>
      </c>
      <c r="H9" s="31">
        <f>Tabla13[[#This Row],[Unit Price]]*Tabla13[[#This Row],[Qty]]</f>
        <v>1.438E-2</v>
      </c>
      <c r="I9" s="40" t="str">
        <f>_xlfn.XLOOKUP(Tabla13[[#This Row],[Value]],Tabla8[Value],Tabla8[Links],"-")</f>
        <v>https://www.digikey.es/product-detail/en/samsung-electro-mechanics/CL10A105KA8NNNC/1276-1102-1-ND/3889188</v>
      </c>
      <c r="J9" s="6"/>
    </row>
    <row r="10" spans="1:10" ht="15" x14ac:dyDescent="0.2">
      <c r="A10" s="6">
        <v>4</v>
      </c>
      <c r="B10" s="22">
        <v>6</v>
      </c>
      <c r="C10" s="47" t="s">
        <v>125</v>
      </c>
      <c r="D10" s="37" t="s">
        <v>251</v>
      </c>
      <c r="E10" s="22" t="s">
        <v>19</v>
      </c>
      <c r="F10" s="31" t="s">
        <v>212</v>
      </c>
      <c r="G10" s="39">
        <v>3.526E-2</v>
      </c>
      <c r="H10" s="31">
        <f>Tabla13[[#This Row],[Unit Price]]*Tabla13[[#This Row],[Qty]]</f>
        <v>0.21156</v>
      </c>
      <c r="I10" s="40" t="str">
        <f>_xlfn.XLOOKUP(Tabla13[[#This Row],[Value]],Tabla8[Value],Tabla8[Links],"-")</f>
        <v>https://www.digikey.es/product-detail/en/samsung-electro-mechanics/CL21B225KAFNFNE/1276-2953-1-ND/3891039</v>
      </c>
      <c r="J10" s="6"/>
    </row>
    <row r="11" spans="1:10" x14ac:dyDescent="0.2">
      <c r="A11" s="6">
        <v>5</v>
      </c>
      <c r="B11" s="22">
        <v>2</v>
      </c>
      <c r="C11" s="47" t="s">
        <v>126</v>
      </c>
      <c r="D11" s="37" t="s">
        <v>252</v>
      </c>
      <c r="E11" s="22" t="s">
        <v>19</v>
      </c>
      <c r="F11" s="31" t="s">
        <v>96</v>
      </c>
      <c r="G11" s="29">
        <v>8.7600000000000004E-3</v>
      </c>
      <c r="H11" s="31">
        <f>Tabla13[[#This Row],[Unit Price]]*Tabla13[[#This Row],[Qty]]</f>
        <v>1.7520000000000001E-2</v>
      </c>
      <c r="I11" s="40" t="str">
        <f>_xlfn.XLOOKUP(Tabla13[[#This Row],[Value]],Tabla8[Value],Tabla8[Links],"-")</f>
        <v>https://www.digikey.es/product-detail/en/samsung-electro-mechanics/CL10C220JB81PNC/1276-2226-1-ND/3890312</v>
      </c>
      <c r="J11" s="6"/>
    </row>
    <row r="12" spans="1:10" x14ac:dyDescent="0.2">
      <c r="A12" s="6">
        <v>6</v>
      </c>
      <c r="B12" s="22">
        <v>4</v>
      </c>
      <c r="C12" s="47" t="s">
        <v>128</v>
      </c>
      <c r="D12" s="47" t="s">
        <v>127</v>
      </c>
      <c r="E12" s="22" t="s">
        <v>25</v>
      </c>
      <c r="F12" s="35" t="s">
        <v>97</v>
      </c>
      <c r="G12" s="29"/>
      <c r="H12" s="31">
        <f>Tabla13[[#This Row],[Unit Price]]*Tabla13[[#This Row],[Qty]]</f>
        <v>0</v>
      </c>
      <c r="I12" s="40" t="str">
        <f>_xlfn.XLOOKUP(Tabla13[[#This Row],[Value]],Tabla8[Value],Tabla8[Links],"-")</f>
        <v>-</v>
      </c>
      <c r="J12" s="6"/>
    </row>
    <row r="13" spans="1:10" x14ac:dyDescent="0.2">
      <c r="A13" s="6">
        <v>7</v>
      </c>
      <c r="B13" s="22">
        <v>1</v>
      </c>
      <c r="C13" s="47" t="s">
        <v>129</v>
      </c>
      <c r="D13" s="37" t="s">
        <v>253</v>
      </c>
      <c r="E13" s="22" t="s">
        <v>25</v>
      </c>
      <c r="F13" s="35" t="s">
        <v>97</v>
      </c>
      <c r="G13" s="29"/>
      <c r="H13" s="31">
        <f>Tabla13[[#This Row],[Unit Price]]*Tabla13[[#This Row],[Qty]]</f>
        <v>0</v>
      </c>
      <c r="I13" s="40" t="str">
        <f>_xlfn.XLOOKUP(Tabla13[[#This Row],[Value]],Tabla8[Value],Tabla8[Links],"-")</f>
        <v>-</v>
      </c>
      <c r="J13" s="6"/>
    </row>
    <row r="14" spans="1:10" x14ac:dyDescent="0.2">
      <c r="A14" s="6">
        <v>8</v>
      </c>
      <c r="B14" s="22">
        <v>2</v>
      </c>
      <c r="C14" s="47" t="s">
        <v>130</v>
      </c>
      <c r="D14" s="37" t="s">
        <v>254</v>
      </c>
      <c r="E14" s="22" t="s">
        <v>25</v>
      </c>
      <c r="F14" s="35" t="s">
        <v>97</v>
      </c>
      <c r="G14" s="29"/>
      <c r="H14" s="31">
        <f>Tabla13[[#This Row],[Unit Price]]*Tabla13[[#This Row],[Qty]]</f>
        <v>0</v>
      </c>
      <c r="I14" s="40" t="str">
        <f>_xlfn.XLOOKUP(Tabla13[[#This Row],[Value]],Tabla8[Value],Tabla8[Links],"-")</f>
        <v>-</v>
      </c>
      <c r="J14" s="6"/>
    </row>
    <row r="15" spans="1:10" x14ac:dyDescent="0.2">
      <c r="A15" s="6">
        <v>9</v>
      </c>
      <c r="B15" s="22">
        <v>2</v>
      </c>
      <c r="C15" s="47" t="s">
        <v>131</v>
      </c>
      <c r="D15" s="37" t="s">
        <v>132</v>
      </c>
      <c r="E15" s="22" t="s">
        <v>25</v>
      </c>
      <c r="F15" s="35" t="s">
        <v>97</v>
      </c>
      <c r="G15" s="29"/>
      <c r="H15" s="31">
        <f>Tabla13[[#This Row],[Unit Price]]*Tabla13[[#This Row],[Qty]]</f>
        <v>0</v>
      </c>
      <c r="I15" s="40" t="str">
        <f>_xlfn.XLOOKUP(Tabla13[[#This Row],[Value]],Tabla8[Value],Tabla8[Links],"-")</f>
        <v>-</v>
      </c>
      <c r="J15" s="6"/>
    </row>
    <row r="16" spans="1:10" x14ac:dyDescent="0.2">
      <c r="A16" s="6">
        <v>10</v>
      </c>
      <c r="B16" s="22">
        <v>1</v>
      </c>
      <c r="C16" s="47" t="s">
        <v>133</v>
      </c>
      <c r="D16" s="37" t="s">
        <v>134</v>
      </c>
      <c r="E16" s="22" t="s">
        <v>25</v>
      </c>
      <c r="F16" s="35" t="s">
        <v>97</v>
      </c>
      <c r="G16" s="29"/>
      <c r="H16" s="31">
        <f>Tabla13[[#This Row],[Unit Price]]*Tabla13[[#This Row],[Qty]]</f>
        <v>0</v>
      </c>
      <c r="I16" s="40" t="str">
        <f>_xlfn.XLOOKUP(Tabla13[[#This Row],[Value]],Tabla8[Value],Tabla8[Links],"-")</f>
        <v>-</v>
      </c>
      <c r="J16" s="6"/>
    </row>
    <row r="17" spans="1:10" x14ac:dyDescent="0.2">
      <c r="A17" s="6">
        <v>11</v>
      </c>
      <c r="B17" s="22">
        <v>2</v>
      </c>
      <c r="C17" s="47" t="s">
        <v>135</v>
      </c>
      <c r="D17" s="37" t="s">
        <v>136</v>
      </c>
      <c r="E17" s="22" t="s">
        <v>25</v>
      </c>
      <c r="F17" s="35" t="s">
        <v>97</v>
      </c>
      <c r="G17" s="29"/>
      <c r="H17" s="31">
        <f>Tabla13[[#This Row],[Unit Price]]*Tabla13[[#This Row],[Qty]]</f>
        <v>0</v>
      </c>
      <c r="I17" s="40" t="str">
        <f>_xlfn.XLOOKUP(Tabla13[[#This Row],[Value]],Tabla8[Value],Tabla8[Links],"-")</f>
        <v>-</v>
      </c>
      <c r="J17" s="6"/>
    </row>
    <row r="18" spans="1:10" x14ac:dyDescent="0.2">
      <c r="A18" s="6">
        <v>12</v>
      </c>
      <c r="B18" s="22">
        <v>1</v>
      </c>
      <c r="C18" s="47" t="s">
        <v>137</v>
      </c>
      <c r="D18" s="47">
        <v>330</v>
      </c>
      <c r="E18" s="22" t="s">
        <v>25</v>
      </c>
      <c r="F18" s="35" t="s">
        <v>97</v>
      </c>
      <c r="G18" s="29"/>
      <c r="H18" s="31">
        <f>Tabla13[[#This Row],[Unit Price]]*Tabla13[[#This Row],[Qty]]</f>
        <v>0</v>
      </c>
      <c r="I18" s="40" t="str">
        <f>_xlfn.XLOOKUP(Tabla13[[#This Row],[Value]],Tabla8[Value],Tabla8[Links],"-")</f>
        <v>-</v>
      </c>
      <c r="J18" s="6"/>
    </row>
    <row r="19" spans="1:10" x14ac:dyDescent="0.2">
      <c r="A19" s="6">
        <v>13</v>
      </c>
      <c r="B19" s="22">
        <v>1</v>
      </c>
      <c r="C19" s="47" t="s">
        <v>138</v>
      </c>
      <c r="D19" s="47" t="s">
        <v>139</v>
      </c>
      <c r="E19" s="22" t="s">
        <v>25</v>
      </c>
      <c r="F19" s="35" t="s">
        <v>97</v>
      </c>
      <c r="G19" s="29"/>
      <c r="H19" s="31">
        <f>Tabla13[[#This Row],[Unit Price]]*Tabla13[[#This Row],[Qty]]</f>
        <v>0</v>
      </c>
      <c r="I19" s="40" t="str">
        <f>_xlfn.XLOOKUP(Tabla13[[#This Row],[Value]],Tabla8[Value],Tabla8[Links],"-")</f>
        <v>-</v>
      </c>
      <c r="J19" s="6"/>
    </row>
    <row r="20" spans="1:10" x14ac:dyDescent="0.2">
      <c r="A20" s="6">
        <v>14</v>
      </c>
      <c r="B20" s="22">
        <v>1</v>
      </c>
      <c r="C20" s="47" t="s">
        <v>140</v>
      </c>
      <c r="D20" s="47" t="s">
        <v>141</v>
      </c>
      <c r="E20" s="22" t="s">
        <v>25</v>
      </c>
      <c r="F20" s="35" t="s">
        <v>97</v>
      </c>
      <c r="G20" s="29"/>
      <c r="H20" s="31">
        <f>Tabla13[[#This Row],[Unit Price]]*Tabla13[[#This Row],[Qty]]</f>
        <v>0</v>
      </c>
      <c r="I20" s="40" t="str">
        <f>_xlfn.XLOOKUP(Tabla13[[#This Row],[Value]],Tabla8[Value],Tabla8[Links],"-")</f>
        <v>-</v>
      </c>
      <c r="J20" s="6"/>
    </row>
    <row r="21" spans="1:10" x14ac:dyDescent="0.2">
      <c r="A21" s="6">
        <v>15</v>
      </c>
      <c r="B21" s="22">
        <v>1</v>
      </c>
      <c r="C21" s="47" t="s">
        <v>142</v>
      </c>
      <c r="D21" s="37" t="s">
        <v>255</v>
      </c>
      <c r="E21" s="22" t="s">
        <v>25</v>
      </c>
      <c r="F21" s="35" t="s">
        <v>97</v>
      </c>
      <c r="G21" s="29"/>
      <c r="H21" s="31">
        <f>Tabla13[[#This Row],[Unit Price]]*Tabla13[[#This Row],[Qty]]</f>
        <v>0</v>
      </c>
      <c r="I21" s="40" t="str">
        <f>_xlfn.XLOOKUP(Tabla13[[#This Row],[Value]],Tabla8[Value],Tabla8[Links],"-")</f>
        <v>-</v>
      </c>
      <c r="J21" s="6"/>
    </row>
    <row r="22" spans="1:10" x14ac:dyDescent="0.2">
      <c r="A22" s="6">
        <v>16</v>
      </c>
      <c r="B22" s="22">
        <v>1</v>
      </c>
      <c r="C22" s="47" t="s">
        <v>37</v>
      </c>
      <c r="D22" s="37" t="s">
        <v>143</v>
      </c>
      <c r="E22" s="22" t="s">
        <v>13</v>
      </c>
      <c r="F22" s="29" t="s">
        <v>200</v>
      </c>
      <c r="G22" s="29">
        <v>2.68</v>
      </c>
      <c r="H22" s="31">
        <f>Tabla13[[#This Row],[Unit Price]]*Tabla13[[#This Row],[Qty]]</f>
        <v>2.68</v>
      </c>
      <c r="I22" s="40" t="str">
        <f>_xlfn.XLOOKUP(Tabla13[[#This Row],[Value]],Tabla8[Value],Tabla8[Links],"-")</f>
        <v>https://www.digikey.es/product-detail/en/microchip-technology/ATSAMD21G18A-MFT/ATSAMD21G18A-MFTCT-ND/5119077</v>
      </c>
      <c r="J22" s="6"/>
    </row>
    <row r="23" spans="1:10" x14ac:dyDescent="0.2">
      <c r="A23" s="6">
        <v>17</v>
      </c>
      <c r="B23" s="22">
        <v>2</v>
      </c>
      <c r="C23" s="47" t="s">
        <v>144</v>
      </c>
      <c r="D23" s="37" t="s">
        <v>154</v>
      </c>
      <c r="E23" s="22" t="s">
        <v>13</v>
      </c>
      <c r="F23" s="29" t="s">
        <v>198</v>
      </c>
      <c r="G23" s="29">
        <v>0.39683000000000002</v>
      </c>
      <c r="H23" s="31">
        <f>Tabla13[[#This Row],[Unit Price]]*Tabla13[[#This Row],[Qty]]</f>
        <v>0.79366000000000003</v>
      </c>
      <c r="I23" s="40" t="str">
        <f>_xlfn.XLOOKUP(Tabla13[[#This Row],[Value]],Tabla8[Value],Tabla8[Links],"-")</f>
        <v>https://www.digikey.es/product-detail/en/maxim-integrated/MAX9062EUK-T/MAX9062EUK-TCT-ND/2234693</v>
      </c>
      <c r="J23" s="6"/>
    </row>
    <row r="24" spans="1:10" x14ac:dyDescent="0.2">
      <c r="A24" s="6">
        <v>18</v>
      </c>
      <c r="B24" s="22">
        <v>1</v>
      </c>
      <c r="C24" s="47" t="s">
        <v>35</v>
      </c>
      <c r="D24" s="37" t="s">
        <v>153</v>
      </c>
      <c r="E24" s="22" t="s">
        <v>13</v>
      </c>
      <c r="F24" s="29" t="s">
        <v>225</v>
      </c>
      <c r="G24" s="29">
        <v>0.38779999999999998</v>
      </c>
      <c r="H24" s="31">
        <f>Tabla13[[#This Row],[Unit Price]]*Tabla13[[#This Row],[Qty]]</f>
        <v>0.38779999999999998</v>
      </c>
      <c r="I24" s="40" t="str">
        <f>_xlfn.XLOOKUP(Tabla13[[#This Row],[Value]],Tabla8[Value],Tabla8[Links],"-")</f>
        <v>https://www.digikey.es/product-detail/en/microchip-technology/MCP6071T-E-OT/MCP6071T-E-OTCT-ND/2618481</v>
      </c>
      <c r="J24" s="6"/>
    </row>
    <row r="25" spans="1:10" x14ac:dyDescent="0.2">
      <c r="A25" s="6">
        <v>19</v>
      </c>
      <c r="B25" s="22">
        <v>1</v>
      </c>
      <c r="C25" s="47" t="s">
        <v>145</v>
      </c>
      <c r="D25" s="50" t="s">
        <v>152</v>
      </c>
      <c r="E25" s="22" t="s">
        <v>9</v>
      </c>
      <c r="F25" s="29" t="s">
        <v>96</v>
      </c>
      <c r="G25" s="29">
        <v>2.112E-2</v>
      </c>
      <c r="H25" s="31">
        <f>Tabla13[[#This Row],[Unit Price]]*Tabla13[[#This Row],[Qty]]</f>
        <v>2.112E-2</v>
      </c>
      <c r="I25" s="40" t="str">
        <f>_xlfn.XLOOKUP(Tabla13[[#This Row],[Value]],Tabla8[Value],Tabla8[Links],"-")</f>
        <v>https://www.digikey.es/product-detail/en/tdk-corporation/MMZ2012Y202BT000/445-1561-1-ND/571891</v>
      </c>
      <c r="J25" s="6"/>
    </row>
    <row r="26" spans="1:10" x14ac:dyDescent="0.2">
      <c r="A26" s="6">
        <v>20</v>
      </c>
      <c r="B26" s="22">
        <v>1</v>
      </c>
      <c r="C26" s="47" t="s">
        <v>146</v>
      </c>
      <c r="D26" s="37" t="s">
        <v>151</v>
      </c>
      <c r="E26" s="22" t="s">
        <v>13</v>
      </c>
      <c r="F26" s="29" t="s">
        <v>224</v>
      </c>
      <c r="G26" s="29">
        <v>8.7840000000000001E-2</v>
      </c>
      <c r="H26" s="31">
        <f>Tabla13[[#This Row],[Unit Price]]*Tabla13[[#This Row],[Qty]]</f>
        <v>8.7840000000000001E-2</v>
      </c>
      <c r="I26" s="40" t="str">
        <f>_xlfn.XLOOKUP(Tabla13[[#This Row],[Value]],Tabla8[Value],Tabla8[Links],"-")</f>
        <v>https://www.digikey.es/product-detail/en/texas-instruments/SN74LVC1G19DBVR/296-16982-1-ND/654766</v>
      </c>
      <c r="J26" s="6"/>
    </row>
    <row r="27" spans="1:10" x14ac:dyDescent="0.2">
      <c r="A27" s="6">
        <v>21</v>
      </c>
      <c r="B27" s="22">
        <v>2</v>
      </c>
      <c r="C27" s="47" t="s">
        <v>147</v>
      </c>
      <c r="D27" s="47" t="s">
        <v>150</v>
      </c>
      <c r="E27" s="22" t="s">
        <v>13</v>
      </c>
      <c r="F27" s="29" t="s">
        <v>225</v>
      </c>
      <c r="G27" s="29">
        <v>0.30223</v>
      </c>
      <c r="H27" s="31">
        <f>Tabla13[[#This Row],[Unit Price]]*Tabla13[[#This Row],[Qty]]</f>
        <v>0.60446</v>
      </c>
      <c r="I27" s="40" t="str">
        <f>_xlfn.XLOOKUP(Tabla13[[#This Row],[Value]],Tabla8[Value],Tabla8[Links],"-")</f>
        <v>https://www.digikey.es/product-detail/en/texas-instruments/TPS78230DDCR/296-24372-1-ND/2051750</v>
      </c>
      <c r="J27" s="6"/>
    </row>
    <row r="28" spans="1:10" x14ac:dyDescent="0.2">
      <c r="A28" s="6">
        <v>22</v>
      </c>
      <c r="B28" s="22">
        <v>1</v>
      </c>
      <c r="C28" s="47" t="s">
        <v>148</v>
      </c>
      <c r="D28" s="49" t="s">
        <v>149</v>
      </c>
      <c r="E28" s="22" t="s">
        <v>13</v>
      </c>
      <c r="F28" s="29" t="s">
        <v>226</v>
      </c>
      <c r="G28" s="29">
        <v>0.56488000000000005</v>
      </c>
      <c r="H28" s="31">
        <f>Tabla13[[#This Row],[Unit Price]]*Tabla13[[#This Row],[Qty]]</f>
        <v>0.56488000000000005</v>
      </c>
      <c r="I28" s="40" t="str">
        <f>_xlfn.XLOOKUP(Tabla13[[#This Row],[Value]],Tabla8[Value],Tabla8[Links],"-")</f>
        <v>https://www.digikey.es/product-detail/en/texas-instruments/TS3USB221AQRSERQ1/296-27719-1-ND/2356140</v>
      </c>
      <c r="J28" s="6"/>
    </row>
    <row r="29" spans="1:10" x14ac:dyDescent="0.2">
      <c r="A29" s="6">
        <v>23</v>
      </c>
      <c r="B29" s="22">
        <v>1</v>
      </c>
      <c r="C29" s="47" t="s">
        <v>155</v>
      </c>
      <c r="D29" s="45" t="s">
        <v>156</v>
      </c>
      <c r="E29" s="22" t="s">
        <v>196</v>
      </c>
      <c r="F29" s="31" t="s">
        <v>199</v>
      </c>
      <c r="G29" s="29">
        <v>0.56999999999999995</v>
      </c>
      <c r="H29" s="31">
        <f>Tabla13[[#This Row],[Unit Price]]*Tabla13[[#This Row],[Qty]]</f>
        <v>0.56999999999999995</v>
      </c>
      <c r="I29" s="40" t="str">
        <f>_xlfn.XLOOKUP(Tabla13[[#This Row],[Value]],Tabla8[Value],Tabla8[Links],"-")</f>
        <v>https://www.mouser.es/ProductDetail/ECS/ECS-327-125-12RR-TR?qs=9r4v7xj2Lnlp2XtvX%2FZgxw%3D%3D</v>
      </c>
      <c r="J29" s="6"/>
    </row>
    <row r="30" spans="1:10" ht="15" x14ac:dyDescent="0.25">
      <c r="A30" s="6" t="s">
        <v>121</v>
      </c>
      <c r="C30" s="22"/>
      <c r="D30" s="32"/>
      <c r="E30" s="8"/>
      <c r="F30" s="22"/>
      <c r="G30" s="22"/>
      <c r="H30" s="32">
        <f>SUBTOTAL(109,Tabla13[Extended Price])</f>
        <v>6.4340000000000011</v>
      </c>
      <c r="J30" s="6"/>
    </row>
  </sheetData>
  <mergeCells count="1">
    <mergeCell ref="B4:E4"/>
  </mergeCells>
  <phoneticPr fontId="22" type="noConversion"/>
  <conditionalFormatting sqref="J7:J29">
    <cfRule type="cellIs" dxfId="21" priority="1" operator="notEqual">
      <formula>"YES"</formula>
    </cfRule>
  </conditionalFormatting>
  <conditionalFormatting sqref="J7:J29">
    <cfRule type="cellIs" dxfId="20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B215"/>
  <sheetViews>
    <sheetView workbookViewId="0"/>
  </sheetViews>
  <sheetFormatPr baseColWidth="10" defaultColWidth="14.42578125" defaultRowHeight="12.75" x14ac:dyDescent="0.2"/>
  <cols>
    <col min="1" max="1" width="15.5703125" bestFit="1" customWidth="1"/>
    <col min="2" max="2" width="4" style="1" bestFit="1" customWidth="1"/>
    <col min="3" max="3" width="17.7109375" bestFit="1" customWidth="1"/>
    <col min="4" max="5" width="22.7109375" bestFit="1" customWidth="1"/>
    <col min="6" max="6" width="21.7109375" bestFit="1" customWidth="1"/>
    <col min="7" max="7" width="9.85546875" bestFit="1" customWidth="1"/>
    <col min="8" max="8" width="14.85546875" bestFit="1" customWidth="1"/>
    <col min="9" max="9" width="146.140625" bestFit="1" customWidth="1"/>
    <col min="10" max="10" width="9.5703125" bestFit="1" customWidth="1"/>
  </cols>
  <sheetData>
    <row r="2" spans="1:28" ht="15.75" x14ac:dyDescent="0.25">
      <c r="A2" s="2" t="s">
        <v>0</v>
      </c>
      <c r="B2" s="3">
        <v>1</v>
      </c>
    </row>
    <row r="3" spans="1:28" ht="27" x14ac:dyDescent="0.4">
      <c r="A3" s="4"/>
      <c r="B3" s="4"/>
      <c r="C3" s="5"/>
      <c r="D3" s="4"/>
    </row>
    <row r="4" spans="1:28" ht="27" x14ac:dyDescent="0.4">
      <c r="B4" s="61" t="s">
        <v>99</v>
      </c>
      <c r="C4" s="62"/>
      <c r="D4" s="62"/>
      <c r="E4" s="63"/>
    </row>
    <row r="5" spans="1:28" x14ac:dyDescent="0.2">
      <c r="A5" s="6"/>
    </row>
    <row r="6" spans="1:28" x14ac:dyDescent="0.2">
      <c r="A6" s="33" t="s">
        <v>1</v>
      </c>
      <c r="B6" s="33" t="s">
        <v>2</v>
      </c>
      <c r="C6" s="33" t="s">
        <v>3</v>
      </c>
      <c r="D6" s="33" t="s">
        <v>4</v>
      </c>
      <c r="E6" s="33" t="s">
        <v>5</v>
      </c>
      <c r="F6" s="33" t="s">
        <v>6</v>
      </c>
      <c r="G6" s="33" t="s">
        <v>118</v>
      </c>
      <c r="H6" s="33" t="s">
        <v>119</v>
      </c>
      <c r="I6" s="33" t="s">
        <v>100</v>
      </c>
      <c r="J6" s="33" t="s">
        <v>7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">
      <c r="A7" s="6">
        <v>1</v>
      </c>
      <c r="B7" s="22">
        <v>3</v>
      </c>
      <c r="C7" s="26" t="s">
        <v>105</v>
      </c>
      <c r="D7" s="26" t="s">
        <v>102</v>
      </c>
      <c r="E7" s="22" t="s">
        <v>19</v>
      </c>
      <c r="F7" s="26" t="s">
        <v>96</v>
      </c>
      <c r="G7" s="26">
        <v>4.5700000000000003E-3</v>
      </c>
      <c r="H7" s="26">
        <f>G7*B7</f>
        <v>1.371E-2</v>
      </c>
      <c r="I7" s="27" t="str">
        <f>_xlfn.XLOOKUP(Tabla1[[#This Row],[Value]],Tabla8[Value],Tabla8[Links],"-")</f>
        <v>https://www.digikey.es/product-detail/en/samsung-electro-mechanics/CL10B104KA8NNNC/1276-1006-1-ND/3889092</v>
      </c>
      <c r="J7" s="6"/>
    </row>
    <row r="8" spans="1:28" x14ac:dyDescent="0.2">
      <c r="A8" s="6">
        <v>2</v>
      </c>
      <c r="B8" s="22">
        <v>2</v>
      </c>
      <c r="C8" s="22" t="s">
        <v>12</v>
      </c>
      <c r="D8" s="22" t="s">
        <v>104</v>
      </c>
      <c r="E8" s="22" t="s">
        <v>19</v>
      </c>
      <c r="F8" s="22" t="s">
        <v>96</v>
      </c>
      <c r="G8" s="22">
        <v>1.7390000000000001E-3</v>
      </c>
      <c r="H8" s="26">
        <f t="shared" ref="H8:H37" si="0">G8*B8</f>
        <v>3.4780000000000002E-3</v>
      </c>
      <c r="I8" s="27" t="str">
        <f>_xlfn.XLOOKUP(Tabla1[[#This Row],[Value]],Tabla8[Value],Tabla8[Links],"-")</f>
        <v>https://www.digikey.es/product-detail/en/samsung-electro-mechanics/CL10B474KA8NFNC/1276-2082-1-ND/3890168</v>
      </c>
      <c r="J8" s="6"/>
    </row>
    <row r="9" spans="1:28" ht="15" x14ac:dyDescent="0.25">
      <c r="A9" s="6">
        <v>3</v>
      </c>
      <c r="B9" s="22">
        <v>3</v>
      </c>
      <c r="C9" s="22" t="s">
        <v>78</v>
      </c>
      <c r="D9" s="22" t="s">
        <v>109</v>
      </c>
      <c r="E9" s="22" t="s">
        <v>19</v>
      </c>
      <c r="F9" s="25" t="s">
        <v>40</v>
      </c>
      <c r="G9" s="25">
        <v>0.153</v>
      </c>
      <c r="H9" s="26">
        <f t="shared" si="0"/>
        <v>0.45899999999999996</v>
      </c>
      <c r="I9" s="27" t="str">
        <f>_xlfn.XLOOKUP(Tabla1[[#This Row],[Value]],Tabla8[Value],Tabla8[Links],"-")</f>
        <v>https://www.digikey.es/product-detail/en/GRM32EC81C476KE15L/490-10531-2-ND/5027615/?itemSeq=358253695</v>
      </c>
      <c r="J9" s="6"/>
    </row>
    <row r="10" spans="1:28" ht="15" x14ac:dyDescent="0.25">
      <c r="A10" s="6">
        <v>4</v>
      </c>
      <c r="B10" s="22">
        <v>4</v>
      </c>
      <c r="C10" s="22" t="s">
        <v>41</v>
      </c>
      <c r="D10" s="22" t="s">
        <v>107</v>
      </c>
      <c r="E10" s="22" t="s">
        <v>19</v>
      </c>
      <c r="F10" s="51" t="s">
        <v>40</v>
      </c>
      <c r="G10" s="25">
        <v>0.36699999999999999</v>
      </c>
      <c r="H10" s="26">
        <f t="shared" si="0"/>
        <v>1.468</v>
      </c>
      <c r="I10" s="27" t="str">
        <f>_xlfn.XLOOKUP(Tabla1[[#This Row],[Value]],Tabla8[Value],Tabla8[Links],"-")</f>
        <v>https://www.digikey.es/product-detail/en/C3216X5R1E476M160AC/445-8047-1-ND/2792164/?itemSeq=358252465</v>
      </c>
      <c r="J10" s="6"/>
    </row>
    <row r="11" spans="1:28" x14ac:dyDescent="0.2">
      <c r="A11" s="6">
        <v>5</v>
      </c>
      <c r="B11" s="22">
        <v>1</v>
      </c>
      <c r="C11" s="22" t="s">
        <v>68</v>
      </c>
      <c r="D11" s="22" t="s">
        <v>67</v>
      </c>
      <c r="E11" s="22" t="s">
        <v>19</v>
      </c>
      <c r="F11" s="22" t="s">
        <v>96</v>
      </c>
      <c r="G11" s="22">
        <v>6.94E-3</v>
      </c>
      <c r="H11" s="26">
        <f t="shared" si="0"/>
        <v>6.94E-3</v>
      </c>
      <c r="I11" s="27" t="str">
        <f>_xlfn.XLOOKUP(Tabla1[[#This Row],[Value]],Tabla8[Value],Tabla8[Links],"-")</f>
        <v>https://www.digikey.es/product-detail/en/CL10B222KB8NNNC/1276-1110-6-ND/3891624/?itemSeq=358255759</v>
      </c>
      <c r="J11" s="6"/>
    </row>
    <row r="12" spans="1:28" x14ac:dyDescent="0.2">
      <c r="A12" s="6">
        <v>6</v>
      </c>
      <c r="B12" s="22">
        <v>1</v>
      </c>
      <c r="C12" s="22" t="s">
        <v>11</v>
      </c>
      <c r="D12" s="22" t="s">
        <v>72</v>
      </c>
      <c r="E12" s="22" t="s">
        <v>19</v>
      </c>
      <c r="F12" s="22" t="s">
        <v>96</v>
      </c>
      <c r="G12" s="22">
        <v>9.2800000000000001E-3</v>
      </c>
      <c r="H12" s="26">
        <f t="shared" si="0"/>
        <v>9.2800000000000001E-3</v>
      </c>
      <c r="I12" s="27" t="str">
        <f>_xlfn.XLOOKUP(Tabla1[[#This Row],[Value]],Tabla8[Value],Tabla8[Links],"-")</f>
        <v>https://www.digikey.es/product-detail/en/CC0603KRX7R9BB271/311-1185-1-ND/372898/?itemSeq=358257069</v>
      </c>
      <c r="J12" s="6"/>
    </row>
    <row r="13" spans="1:28" ht="15" x14ac:dyDescent="0.25">
      <c r="A13" s="6">
        <v>7</v>
      </c>
      <c r="B13" s="22">
        <v>1</v>
      </c>
      <c r="C13" s="22" t="s">
        <v>14</v>
      </c>
      <c r="D13" s="26" t="s">
        <v>15</v>
      </c>
      <c r="E13" s="8" t="s">
        <v>16</v>
      </c>
      <c r="F13" s="22" t="s">
        <v>17</v>
      </c>
      <c r="G13" s="22">
        <v>0.17315</v>
      </c>
      <c r="H13" s="26">
        <f t="shared" si="0"/>
        <v>0.17315</v>
      </c>
      <c r="I13" s="27" t="str">
        <f>_xlfn.XLOOKUP(Tabla1[[#This Row],[Value]],Tabla8[Value],Tabla8[Links],"-")</f>
        <v>https://www.digikey.es/product-detail/en/B520C-13-F/B520C-FDICT-ND/806565/?itemSeq=358257331</v>
      </c>
      <c r="J13" s="6"/>
    </row>
    <row r="14" spans="1:28" ht="15" x14ac:dyDescent="0.25">
      <c r="A14" s="52">
        <v>8</v>
      </c>
      <c r="B14" s="53">
        <v>1</v>
      </c>
      <c r="C14" s="53" t="s">
        <v>88</v>
      </c>
      <c r="D14" s="53" t="s">
        <v>87</v>
      </c>
      <c r="E14" s="54" t="s">
        <v>23</v>
      </c>
      <c r="F14" s="53" t="s">
        <v>87</v>
      </c>
      <c r="G14" s="55" t="s">
        <v>120</v>
      </c>
      <c r="H14" s="56" t="s">
        <v>120</v>
      </c>
      <c r="I14" s="27" t="str">
        <f>_xlfn.XLOOKUP(Tabla1[[#This Row],[Value]],Tabla8[Value],Tabla8[Links],"-")</f>
        <v>-</v>
      </c>
      <c r="J14" s="52" t="s">
        <v>230</v>
      </c>
    </row>
    <row r="15" spans="1:28" ht="15" x14ac:dyDescent="0.25">
      <c r="A15" s="6">
        <v>9</v>
      </c>
      <c r="B15" s="22">
        <v>1</v>
      </c>
      <c r="C15" s="22" t="s">
        <v>8</v>
      </c>
      <c r="D15" s="26" t="s">
        <v>69</v>
      </c>
      <c r="E15" s="24" t="s">
        <v>9</v>
      </c>
      <c r="F15" s="22" t="s">
        <v>10</v>
      </c>
      <c r="G15" s="22">
        <v>1.1299999999999999</v>
      </c>
      <c r="H15" s="26">
        <f t="shared" si="0"/>
        <v>1.1299999999999999</v>
      </c>
      <c r="I15" s="27" t="str">
        <f>_xlfn.XLOOKUP(Tabla1[[#This Row],[Value]],Tabla8[Value],Tabla8[Links],"-")</f>
        <v>https://www.mouser.es/ProductDetail/Wurth-Elektronik/74437346022?qs=%2Fha2pyFadujVolTX%252B03gGnsqZWylp7wjQAac%252BMjkYmF1Lj4S%252BIF2ag%3D%3D</v>
      </c>
      <c r="J15" s="6"/>
    </row>
    <row r="16" spans="1:28" ht="15" x14ac:dyDescent="0.25">
      <c r="A16" s="6">
        <v>10</v>
      </c>
      <c r="B16" s="22">
        <v>1</v>
      </c>
      <c r="C16" s="22" t="s">
        <v>91</v>
      </c>
      <c r="D16" s="26" t="s">
        <v>90</v>
      </c>
      <c r="E16" s="8" t="s">
        <v>21</v>
      </c>
      <c r="F16" s="22" t="s">
        <v>228</v>
      </c>
      <c r="G16" s="22">
        <v>0.47992000000000001</v>
      </c>
      <c r="H16" s="26">
        <f t="shared" si="0"/>
        <v>0.47992000000000001</v>
      </c>
      <c r="I16" s="27" t="str">
        <f>_xlfn.XLOOKUP(Tabla1[[#This Row],[Value]],Tabla8[Value],Tabla8[Links],"-")</f>
        <v>https://www.digikey.es/product-detail/en/on-semiconductor/NVTFS9D6P04M8LTAG/488-NVTFS9D6P04M8LTAGCT-ND/11593208</v>
      </c>
      <c r="J16" s="6"/>
    </row>
    <row r="17" spans="1:10" ht="15" x14ac:dyDescent="0.25">
      <c r="A17" s="6">
        <v>11</v>
      </c>
      <c r="B17" s="22">
        <v>2</v>
      </c>
      <c r="C17" s="22" t="s">
        <v>73</v>
      </c>
      <c r="D17" s="26" t="s">
        <v>20</v>
      </c>
      <c r="E17" s="8" t="s">
        <v>21</v>
      </c>
      <c r="F17" s="22" t="s">
        <v>22</v>
      </c>
      <c r="G17" s="22">
        <v>3.5970000000000002E-2</v>
      </c>
      <c r="H17" s="26">
        <f t="shared" si="0"/>
        <v>7.1940000000000004E-2</v>
      </c>
      <c r="I17" s="27" t="str">
        <f>_xlfn.XLOOKUP(Tabla1[[#This Row],[Value]],Tabla8[Value],Tabla8[Links],"-")</f>
        <v>https://www.digikey.es/product-detail/en/2N7002PW%2c115/1727-4793-2-ND/2296328/?itemSeq=358257941</v>
      </c>
      <c r="J17" s="6"/>
    </row>
    <row r="18" spans="1:10" x14ac:dyDescent="0.2">
      <c r="A18" s="6">
        <v>12</v>
      </c>
      <c r="B18" s="22">
        <v>1</v>
      </c>
      <c r="C18" s="22" t="s">
        <v>76</v>
      </c>
      <c r="D18" s="22" t="s">
        <v>28</v>
      </c>
      <c r="E18" s="22" t="s">
        <v>25</v>
      </c>
      <c r="F18" s="22" t="s">
        <v>97</v>
      </c>
      <c r="G18" s="29" t="s">
        <v>120</v>
      </c>
      <c r="H18" s="30" t="s">
        <v>120</v>
      </c>
      <c r="I18" s="27" t="str">
        <f>_xlfn.XLOOKUP(Tabla1[[#This Row],[Value]],Tabla8[Value],Tabla8[Links],"-")</f>
        <v>-</v>
      </c>
      <c r="J18" s="6"/>
    </row>
    <row r="19" spans="1:10" x14ac:dyDescent="0.2">
      <c r="A19" s="6">
        <v>13</v>
      </c>
      <c r="B19" s="22">
        <v>1</v>
      </c>
      <c r="C19" s="22" t="s">
        <v>83</v>
      </c>
      <c r="D19" s="22" t="s">
        <v>34</v>
      </c>
      <c r="E19" s="22" t="s">
        <v>25</v>
      </c>
      <c r="F19" s="22" t="s">
        <v>97</v>
      </c>
      <c r="G19" s="29" t="s">
        <v>120</v>
      </c>
      <c r="H19" s="30" t="s">
        <v>120</v>
      </c>
      <c r="I19" s="27" t="str">
        <f>_xlfn.XLOOKUP(Tabla1[[#This Row],[Value]],Tabla8[Value],Tabla8[Links],"-")</f>
        <v>-</v>
      </c>
      <c r="J19" s="6"/>
    </row>
    <row r="20" spans="1:10" x14ac:dyDescent="0.2">
      <c r="A20" s="6">
        <v>14</v>
      </c>
      <c r="B20" s="22">
        <v>3</v>
      </c>
      <c r="C20" s="22" t="s">
        <v>64</v>
      </c>
      <c r="D20" s="22" t="s">
        <v>63</v>
      </c>
      <c r="E20" s="22" t="s">
        <v>25</v>
      </c>
      <c r="F20" s="22" t="s">
        <v>97</v>
      </c>
      <c r="G20" s="29" t="s">
        <v>120</v>
      </c>
      <c r="H20" s="30" t="s">
        <v>120</v>
      </c>
      <c r="I20" s="27" t="str">
        <f>_xlfn.XLOOKUP(Tabla1[[#This Row],[Value]],Tabla8[Value],Tabla8[Links],"-")</f>
        <v>-</v>
      </c>
      <c r="J20" s="6"/>
    </row>
    <row r="21" spans="1:10" x14ac:dyDescent="0.2">
      <c r="A21" s="6">
        <v>15</v>
      </c>
      <c r="B21" s="22">
        <v>1</v>
      </c>
      <c r="C21" s="22" t="s">
        <v>66</v>
      </c>
      <c r="D21" s="22" t="s">
        <v>30</v>
      </c>
      <c r="E21" s="22" t="s">
        <v>25</v>
      </c>
      <c r="F21" s="22" t="s">
        <v>97</v>
      </c>
      <c r="G21" s="29" t="s">
        <v>120</v>
      </c>
      <c r="H21" s="30" t="s">
        <v>120</v>
      </c>
      <c r="I21" s="27" t="str">
        <f>_xlfn.XLOOKUP(Tabla1[[#This Row],[Value]],Tabla8[Value],Tabla8[Links],"-")</f>
        <v>-</v>
      </c>
      <c r="J21" s="6"/>
    </row>
    <row r="22" spans="1:10" x14ac:dyDescent="0.2">
      <c r="A22" s="6">
        <v>16</v>
      </c>
      <c r="B22" s="22">
        <v>1</v>
      </c>
      <c r="C22" s="22" t="s">
        <v>71</v>
      </c>
      <c r="D22" s="22" t="s">
        <v>70</v>
      </c>
      <c r="E22" s="22" t="s">
        <v>25</v>
      </c>
      <c r="F22" s="22" t="s">
        <v>97</v>
      </c>
      <c r="G22" s="29" t="s">
        <v>120</v>
      </c>
      <c r="H22" s="30" t="s">
        <v>120</v>
      </c>
      <c r="I22" s="27" t="str">
        <f>_xlfn.XLOOKUP(Tabla1[[#This Row],[Value]],Tabla8[Value],Tabla8[Links],"-")</f>
        <v>-</v>
      </c>
      <c r="J22" s="6"/>
    </row>
    <row r="23" spans="1:10" x14ac:dyDescent="0.2">
      <c r="A23" s="6">
        <v>17</v>
      </c>
      <c r="B23" s="22">
        <v>1</v>
      </c>
      <c r="C23" s="22" t="s">
        <v>60</v>
      </c>
      <c r="D23" s="22" t="s">
        <v>26</v>
      </c>
      <c r="E23" s="22" t="s">
        <v>25</v>
      </c>
      <c r="F23" s="22" t="s">
        <v>97</v>
      </c>
      <c r="G23" s="29" t="s">
        <v>120</v>
      </c>
      <c r="H23" s="30" t="s">
        <v>120</v>
      </c>
      <c r="I23" s="27" t="str">
        <f>_xlfn.XLOOKUP(Tabla1[[#This Row],[Value]],Tabla8[Value],Tabla8[Links],"-")</f>
        <v>-</v>
      </c>
      <c r="J23" s="6"/>
    </row>
    <row r="24" spans="1:10" x14ac:dyDescent="0.2">
      <c r="A24" s="112">
        <v>18</v>
      </c>
      <c r="B24" s="22">
        <v>4</v>
      </c>
      <c r="C24" s="26" t="s">
        <v>257</v>
      </c>
      <c r="D24" s="26" t="s">
        <v>82</v>
      </c>
      <c r="E24" s="22" t="s">
        <v>25</v>
      </c>
      <c r="F24" s="22" t="s">
        <v>97</v>
      </c>
      <c r="G24" s="29" t="s">
        <v>120</v>
      </c>
      <c r="H24" s="30" t="s">
        <v>120</v>
      </c>
      <c r="I24" s="27" t="str">
        <f>_xlfn.XLOOKUP(Tabla1[[#This Row],[Value]],Tabla8[Value],Tabla8[Links],"-")</f>
        <v>-</v>
      </c>
      <c r="J24" s="6"/>
    </row>
    <row r="25" spans="1:10" x14ac:dyDescent="0.2">
      <c r="A25" s="6">
        <v>19</v>
      </c>
      <c r="B25" s="22">
        <v>3</v>
      </c>
      <c r="C25" s="22" t="s">
        <v>77</v>
      </c>
      <c r="D25" s="22" t="s">
        <v>29</v>
      </c>
      <c r="E25" s="22" t="s">
        <v>25</v>
      </c>
      <c r="F25" s="22" t="s">
        <v>97</v>
      </c>
      <c r="G25" s="29" t="s">
        <v>120</v>
      </c>
      <c r="H25" s="30" t="s">
        <v>120</v>
      </c>
      <c r="I25" s="27" t="str">
        <f>_xlfn.XLOOKUP(Tabla1[[#This Row],[Value]],Tabla8[Value],Tabla8[Links],"-")</f>
        <v>-</v>
      </c>
      <c r="J25" s="6"/>
    </row>
    <row r="26" spans="1:10" x14ac:dyDescent="0.2">
      <c r="A26" s="6">
        <v>20</v>
      </c>
      <c r="B26" s="22">
        <v>1</v>
      </c>
      <c r="C26" s="22" t="s">
        <v>24</v>
      </c>
      <c r="D26" s="22" t="s">
        <v>79</v>
      </c>
      <c r="E26" s="22" t="s">
        <v>25</v>
      </c>
      <c r="F26" s="22" t="s">
        <v>97</v>
      </c>
      <c r="G26" s="29" t="s">
        <v>120</v>
      </c>
      <c r="H26" s="30" t="s">
        <v>120</v>
      </c>
      <c r="I26" s="27" t="str">
        <f>_xlfn.XLOOKUP(Tabla1[[#This Row],[Value]],Tabla8[Value],Tabla8[Links],"-")</f>
        <v>-</v>
      </c>
      <c r="J26" s="6"/>
    </row>
    <row r="27" spans="1:10" x14ac:dyDescent="0.2">
      <c r="A27" s="6">
        <v>21</v>
      </c>
      <c r="B27" s="22">
        <v>2</v>
      </c>
      <c r="C27" s="22" t="s">
        <v>74</v>
      </c>
      <c r="D27" s="23">
        <v>33</v>
      </c>
      <c r="E27" s="22" t="s">
        <v>25</v>
      </c>
      <c r="F27" s="22" t="s">
        <v>97</v>
      </c>
      <c r="G27" s="29" t="s">
        <v>120</v>
      </c>
      <c r="H27" s="30" t="s">
        <v>120</v>
      </c>
      <c r="I27" s="27" t="str">
        <f>_xlfn.XLOOKUP(Tabla1[[#This Row],[Value]],Tabla8[Value],Tabla8[Links],"-")</f>
        <v>-</v>
      </c>
      <c r="J27" s="6"/>
    </row>
    <row r="28" spans="1:10" x14ac:dyDescent="0.2">
      <c r="A28" s="6">
        <v>22</v>
      </c>
      <c r="B28" s="22">
        <v>1</v>
      </c>
      <c r="C28" s="22" t="s">
        <v>33</v>
      </c>
      <c r="D28" s="22" t="s">
        <v>80</v>
      </c>
      <c r="E28" s="22" t="s">
        <v>25</v>
      </c>
      <c r="F28" s="22" t="s">
        <v>97</v>
      </c>
      <c r="G28" s="29" t="s">
        <v>120</v>
      </c>
      <c r="H28" s="30" t="s">
        <v>120</v>
      </c>
      <c r="I28" s="27" t="str">
        <f>_xlfn.XLOOKUP(Tabla1[[#This Row],[Value]],Tabla8[Value],Tabla8[Links],"-")</f>
        <v>-</v>
      </c>
      <c r="J28" s="6"/>
    </row>
    <row r="29" spans="1:10" x14ac:dyDescent="0.2">
      <c r="A29" s="6">
        <v>23</v>
      </c>
      <c r="B29" s="22">
        <v>1</v>
      </c>
      <c r="C29" s="22" t="s">
        <v>31</v>
      </c>
      <c r="D29" s="22" t="s">
        <v>81</v>
      </c>
      <c r="E29" s="22" t="s">
        <v>25</v>
      </c>
      <c r="F29" s="22" t="s">
        <v>97</v>
      </c>
      <c r="G29" s="29" t="s">
        <v>120</v>
      </c>
      <c r="H29" s="30" t="s">
        <v>120</v>
      </c>
      <c r="I29" s="27" t="str">
        <f>_xlfn.XLOOKUP(Tabla1[[#This Row],[Value]],Tabla8[Value],Tabla8[Links],"-")</f>
        <v>-</v>
      </c>
      <c r="J29" s="6"/>
    </row>
    <row r="30" spans="1:10" x14ac:dyDescent="0.2">
      <c r="A30" s="6">
        <v>24</v>
      </c>
      <c r="B30" s="22">
        <v>1</v>
      </c>
      <c r="C30" s="22" t="s">
        <v>75</v>
      </c>
      <c r="D30" s="22" t="s">
        <v>32</v>
      </c>
      <c r="E30" s="22" t="s">
        <v>25</v>
      </c>
      <c r="F30" s="22" t="s">
        <v>97</v>
      </c>
      <c r="G30" s="29" t="s">
        <v>120</v>
      </c>
      <c r="H30" s="30" t="s">
        <v>120</v>
      </c>
      <c r="I30" s="27" t="str">
        <f>_xlfn.XLOOKUP(Tabla1[[#This Row],[Value]],Tabla8[Value],Tabla8[Links],"-")</f>
        <v>-</v>
      </c>
      <c r="J30" s="6"/>
    </row>
    <row r="31" spans="1:10" x14ac:dyDescent="0.2">
      <c r="A31" s="6">
        <v>25</v>
      </c>
      <c r="B31" s="22">
        <v>1</v>
      </c>
      <c r="C31" s="22" t="s">
        <v>27</v>
      </c>
      <c r="D31" s="22" t="s">
        <v>65</v>
      </c>
      <c r="E31" s="22" t="s">
        <v>25</v>
      </c>
      <c r="F31" s="22" t="s">
        <v>97</v>
      </c>
      <c r="G31" s="29" t="s">
        <v>120</v>
      </c>
      <c r="H31" s="31" t="s">
        <v>120</v>
      </c>
      <c r="I31" s="27" t="str">
        <f>_xlfn.XLOOKUP(Tabla1[[#This Row],[Value]],Tabla8[Value],Tabla8[Links],"-")</f>
        <v>-</v>
      </c>
      <c r="J31" s="6"/>
    </row>
    <row r="32" spans="1:10" x14ac:dyDescent="0.2">
      <c r="A32" s="6">
        <v>26</v>
      </c>
      <c r="B32" s="22">
        <v>1</v>
      </c>
      <c r="C32" s="26" t="s">
        <v>62</v>
      </c>
      <c r="D32" s="26" t="s">
        <v>61</v>
      </c>
      <c r="E32" s="22" t="s">
        <v>25</v>
      </c>
      <c r="F32" s="22" t="s">
        <v>96</v>
      </c>
      <c r="G32" s="22">
        <v>5.5440000000000003E-2</v>
      </c>
      <c r="H32" s="26">
        <f t="shared" si="0"/>
        <v>5.5440000000000003E-2</v>
      </c>
      <c r="I32" s="27">
        <f>_xlfn.XLOOKUP(Tabla1[[#This Row],[Value]],Tabla8[Value],Tabla8[Links],"-")</f>
        <v>0</v>
      </c>
      <c r="J32" s="6"/>
    </row>
    <row r="33" spans="1:10" x14ac:dyDescent="0.2">
      <c r="A33" s="147">
        <v>27</v>
      </c>
      <c r="B33" s="53">
        <v>4</v>
      </c>
      <c r="C33" s="53" t="s">
        <v>94</v>
      </c>
      <c r="D33" s="53" t="s">
        <v>92</v>
      </c>
      <c r="E33" s="53" t="s">
        <v>92</v>
      </c>
      <c r="F33" s="53" t="s">
        <v>93</v>
      </c>
      <c r="G33" s="55" t="s">
        <v>120</v>
      </c>
      <c r="H33" s="57" t="s">
        <v>120</v>
      </c>
      <c r="I33" s="27" t="str">
        <f>_xlfn.XLOOKUP(Tabla1[[#This Row],[Value]],Tabla8[Value],Tabla8[Links],"-")</f>
        <v>-</v>
      </c>
      <c r="J33" s="52" t="s">
        <v>230</v>
      </c>
    </row>
    <row r="34" spans="1:10" x14ac:dyDescent="0.2">
      <c r="A34" s="52">
        <v>28</v>
      </c>
      <c r="B34" s="53">
        <v>2</v>
      </c>
      <c r="C34" s="53" t="s">
        <v>86</v>
      </c>
      <c r="D34" s="53" t="s">
        <v>84</v>
      </c>
      <c r="E34" s="53" t="s">
        <v>84</v>
      </c>
      <c r="F34" s="53" t="s">
        <v>85</v>
      </c>
      <c r="G34" s="55" t="s">
        <v>120</v>
      </c>
      <c r="H34" s="57" t="s">
        <v>120</v>
      </c>
      <c r="I34" s="27" t="str">
        <f>_xlfn.XLOOKUP(Tabla1[[#This Row],[Value]],Tabla8[Value],Tabla8[Links],"-")</f>
        <v>-</v>
      </c>
      <c r="J34" s="52" t="s">
        <v>230</v>
      </c>
    </row>
    <row r="35" spans="1:10" ht="15" x14ac:dyDescent="0.25">
      <c r="A35" s="6">
        <v>29</v>
      </c>
      <c r="B35" s="22">
        <v>1</v>
      </c>
      <c r="C35" s="22" t="s">
        <v>37</v>
      </c>
      <c r="D35" s="26" t="s">
        <v>89</v>
      </c>
      <c r="E35" s="8" t="s">
        <v>13</v>
      </c>
      <c r="F35" s="22" t="s">
        <v>98</v>
      </c>
      <c r="G35" s="22">
        <v>0.38779999999999998</v>
      </c>
      <c r="H35" s="26">
        <f t="shared" si="0"/>
        <v>0.38779999999999998</v>
      </c>
      <c r="I35" s="27" t="str">
        <f>_xlfn.XLOOKUP(Tabla1[[#This Row],[Value]],Tabla8[Value],Tabla8[Links],"-")</f>
        <v>https://www.digikey.es/product-detail/en/MCP6071T-E%2fOT/MCP6071T-E%2fOTDKR-ND/2618488/?itemSeq=358258033</v>
      </c>
      <c r="J35" s="6"/>
    </row>
    <row r="36" spans="1:10" ht="15" x14ac:dyDescent="0.25">
      <c r="A36" s="6">
        <v>30</v>
      </c>
      <c r="B36" s="22">
        <v>1</v>
      </c>
      <c r="C36" s="22" t="s">
        <v>18</v>
      </c>
      <c r="D36" s="26" t="s">
        <v>38</v>
      </c>
      <c r="E36" s="8" t="s">
        <v>13</v>
      </c>
      <c r="F36" s="22" t="s">
        <v>39</v>
      </c>
      <c r="G36" s="22">
        <v>1.7275</v>
      </c>
      <c r="H36" s="26">
        <f t="shared" si="0"/>
        <v>1.7275</v>
      </c>
      <c r="I36" s="27" t="str">
        <f>_xlfn.XLOOKUP(Tabla1[[#This Row],[Value]],Tabla8[Value],Tabla8[Links],"-")</f>
        <v>https://www.digikey.es/product-detail/en/texas-instruments/TPS55330RTET/296-36219-2-ND/4212800</v>
      </c>
      <c r="J36" s="6"/>
    </row>
    <row r="37" spans="1:10" ht="15" x14ac:dyDescent="0.25">
      <c r="A37" s="6">
        <v>31</v>
      </c>
      <c r="B37" s="22">
        <v>1</v>
      </c>
      <c r="C37" s="22" t="s">
        <v>35</v>
      </c>
      <c r="D37" s="26" t="s">
        <v>36</v>
      </c>
      <c r="E37" s="8" t="s">
        <v>13</v>
      </c>
      <c r="F37" s="22" t="s">
        <v>95</v>
      </c>
      <c r="G37" s="22">
        <v>0.54507000000000005</v>
      </c>
      <c r="H37" s="26">
        <f t="shared" si="0"/>
        <v>0.54507000000000005</v>
      </c>
      <c r="I37" s="27" t="str">
        <f>_xlfn.XLOOKUP(Tabla1[[#This Row],[Value]],Tabla8[Value],Tabla8[Links],"-")</f>
        <v>https://www.digikey.es/product-detail/en/texas-instruments/TPIC2810DR/296-46367-2-ND/1670586</v>
      </c>
      <c r="J37" s="6"/>
    </row>
    <row r="38" spans="1:10" ht="15" x14ac:dyDescent="0.25">
      <c r="A38" s="6" t="s">
        <v>121</v>
      </c>
      <c r="B38"/>
      <c r="C38" s="22"/>
      <c r="D38" s="32"/>
      <c r="E38" s="8"/>
      <c r="F38" s="22"/>
      <c r="G38" s="22"/>
      <c r="H38" s="32">
        <f>SUBTOTAL(109,Tabla1[Extended Price])</f>
        <v>6.5312279999999996</v>
      </c>
      <c r="J38" s="6"/>
    </row>
    <row r="39" spans="1:10" x14ac:dyDescent="0.2">
      <c r="B39"/>
    </row>
    <row r="40" spans="1:10" x14ac:dyDescent="0.2">
      <c r="B40"/>
    </row>
    <row r="41" spans="1:10" x14ac:dyDescent="0.2">
      <c r="B41"/>
    </row>
    <row r="42" spans="1:10" x14ac:dyDescent="0.2">
      <c r="B42"/>
      <c r="I42" s="28"/>
    </row>
    <row r="43" spans="1:10" x14ac:dyDescent="0.2">
      <c r="B43"/>
    </row>
    <row r="44" spans="1:10" x14ac:dyDescent="0.2">
      <c r="B44"/>
    </row>
    <row r="45" spans="1:10" x14ac:dyDescent="0.2">
      <c r="B45"/>
    </row>
    <row r="46" spans="1:10" x14ac:dyDescent="0.2">
      <c r="B46"/>
    </row>
    <row r="47" spans="1:10" x14ac:dyDescent="0.2">
      <c r="B47"/>
    </row>
    <row r="48" spans="1:10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1:2" x14ac:dyDescent="0.2">
      <c r="B65"/>
    </row>
    <row r="66" spans="1:2" x14ac:dyDescent="0.2">
      <c r="A66" s="6"/>
    </row>
    <row r="67" spans="1:2" x14ac:dyDescent="0.2">
      <c r="A67" s="6"/>
    </row>
    <row r="68" spans="1:2" x14ac:dyDescent="0.2">
      <c r="A68" s="6"/>
    </row>
    <row r="69" spans="1:2" x14ac:dyDescent="0.2">
      <c r="A69" s="6"/>
    </row>
    <row r="70" spans="1:2" x14ac:dyDescent="0.2">
      <c r="A70" s="6"/>
    </row>
    <row r="71" spans="1:2" x14ac:dyDescent="0.2">
      <c r="A71" s="6"/>
    </row>
    <row r="72" spans="1:2" x14ac:dyDescent="0.2">
      <c r="A72" s="6"/>
    </row>
    <row r="73" spans="1:2" x14ac:dyDescent="0.2">
      <c r="A73" s="6"/>
    </row>
    <row r="74" spans="1:2" x14ac:dyDescent="0.2">
      <c r="A74" s="6"/>
    </row>
    <row r="75" spans="1:2" x14ac:dyDescent="0.2">
      <c r="A75" s="6"/>
    </row>
    <row r="76" spans="1:2" x14ac:dyDescent="0.2">
      <c r="A76" s="6"/>
    </row>
    <row r="77" spans="1:2" x14ac:dyDescent="0.2">
      <c r="A77" s="6"/>
    </row>
    <row r="78" spans="1:2" x14ac:dyDescent="0.2">
      <c r="A78" s="6"/>
    </row>
    <row r="79" spans="1:2" x14ac:dyDescent="0.2">
      <c r="A79" s="6"/>
    </row>
    <row r="80" spans="1:2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</sheetData>
  <sortState xmlns:xlrd2="http://schemas.microsoft.com/office/spreadsheetml/2017/richdata2" ref="B7:F37">
    <sortCondition ref="C7:C37"/>
  </sortState>
  <mergeCells count="1">
    <mergeCell ref="B4:E4"/>
  </mergeCells>
  <phoneticPr fontId="16" type="noConversion"/>
  <conditionalFormatting sqref="J7:J37">
    <cfRule type="cellIs" dxfId="19" priority="1" operator="notEqual">
      <formula>"YES"</formula>
    </cfRule>
  </conditionalFormatting>
  <conditionalFormatting sqref="J7:J37">
    <cfRule type="cellIs" dxfId="18" priority="2" operator="equal">
      <formula>"Yes"</formula>
    </cfRule>
  </conditionalFormatting>
  <pageMargins left="0.25" right="0.25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EA61-F51D-44D2-8E08-A400443B55D3}">
  <dimension ref="A1:J16"/>
  <sheetViews>
    <sheetView workbookViewId="0"/>
  </sheetViews>
  <sheetFormatPr baseColWidth="10" defaultRowHeight="12.75" x14ac:dyDescent="0.2"/>
  <cols>
    <col min="1" max="1" width="15.5703125" bestFit="1" customWidth="1"/>
    <col min="2" max="2" width="4.28515625" bestFit="1" customWidth="1"/>
    <col min="3" max="3" width="255.7109375" bestFit="1" customWidth="1"/>
    <col min="4" max="5" width="20.85546875" bestFit="1" customWidth="1"/>
    <col min="6" max="6" width="26" bestFit="1" customWidth="1"/>
    <col min="7" max="7" width="10.7109375" bestFit="1" customWidth="1"/>
    <col min="8" max="8" width="14.85546875" bestFit="1" customWidth="1"/>
    <col min="9" max="9" width="110.42578125" bestFit="1" customWidth="1"/>
    <col min="10" max="10" width="9.57031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61" t="s">
        <v>202</v>
      </c>
      <c r="C4" s="62"/>
      <c r="D4" s="62"/>
      <c r="E4" s="63"/>
    </row>
    <row r="5" spans="1:10" x14ac:dyDescent="0.2">
      <c r="A5" s="6"/>
      <c r="B5" s="1"/>
    </row>
    <row r="6" spans="1:10" x14ac:dyDescent="0.2">
      <c r="A6" s="33" t="s">
        <v>1</v>
      </c>
      <c r="B6" s="33" t="s">
        <v>2</v>
      </c>
      <c r="C6" s="33" t="s">
        <v>3</v>
      </c>
      <c r="D6" s="33" t="s">
        <v>4</v>
      </c>
      <c r="E6" s="33" t="s">
        <v>5</v>
      </c>
      <c r="F6" s="33" t="s">
        <v>6</v>
      </c>
      <c r="G6" s="33" t="s">
        <v>118</v>
      </c>
      <c r="H6" s="33" t="s">
        <v>119</v>
      </c>
      <c r="I6" s="33" t="s">
        <v>100</v>
      </c>
      <c r="J6" s="33" t="s">
        <v>7</v>
      </c>
    </row>
    <row r="7" spans="1:10" x14ac:dyDescent="0.2">
      <c r="A7" s="6">
        <v>1</v>
      </c>
      <c r="B7" s="22">
        <v>3</v>
      </c>
      <c r="C7" s="26" t="s">
        <v>204</v>
      </c>
      <c r="D7" s="148" t="s">
        <v>102</v>
      </c>
      <c r="E7" s="37" t="s">
        <v>19</v>
      </c>
      <c r="F7" s="37" t="s">
        <v>160</v>
      </c>
      <c r="G7" s="41">
        <v>4.5700000000000003E-3</v>
      </c>
      <c r="H7" s="41">
        <f>Tabla15[[#This Row],[Unit Price]]*Tabla15[[#This Row],[Qty]]</f>
        <v>1.371E-2</v>
      </c>
      <c r="I7" s="40" t="str">
        <f>_xlfn.XLOOKUP(Tabla15[[#This Row],[Value]],Tabla8[Value],Tabla8[Links],"-")</f>
        <v>https://www.digikey.es/product-detail/en/samsung-electro-mechanics/CL10B104KA8NNNC/1276-1006-1-ND/3889092</v>
      </c>
      <c r="J7" s="6"/>
    </row>
    <row r="8" spans="1:10" ht="15" x14ac:dyDescent="0.2">
      <c r="A8" s="6">
        <v>2</v>
      </c>
      <c r="B8" s="22">
        <v>2</v>
      </c>
      <c r="C8" s="22" t="s">
        <v>205</v>
      </c>
      <c r="D8" s="38" t="s">
        <v>250</v>
      </c>
      <c r="E8" s="37" t="s">
        <v>19</v>
      </c>
      <c r="F8" s="42" t="s">
        <v>164</v>
      </c>
      <c r="G8" s="39">
        <v>1.677E-2</v>
      </c>
      <c r="H8" s="41">
        <f>Tabla15[[#This Row],[Unit Price]]*Tabla15[[#This Row],[Qty]]</f>
        <v>3.354E-2</v>
      </c>
      <c r="I8" s="40" t="str">
        <f>_xlfn.XLOOKUP(Tabla15[[#This Row],[Value]],Tabla8[Value],Tabla8[Links],"-")</f>
        <v>https://www.digikey.es/product-detail/en/samsung-electro-mechanics/CL21A106KOQNNNG/1276-6455-1-ND/5958083</v>
      </c>
      <c r="J8" s="6"/>
    </row>
    <row r="9" spans="1:10" ht="15" x14ac:dyDescent="0.25">
      <c r="A9" s="6">
        <v>3</v>
      </c>
      <c r="B9" s="22">
        <v>6</v>
      </c>
      <c r="C9" s="22" t="s">
        <v>206</v>
      </c>
      <c r="D9" s="22" t="s">
        <v>26</v>
      </c>
      <c r="E9" s="22" t="s">
        <v>25</v>
      </c>
      <c r="F9" s="25" t="s">
        <v>174</v>
      </c>
      <c r="G9" s="25"/>
      <c r="H9" s="41">
        <f>Tabla15[[#This Row],[Unit Price]]*Tabla15[[#This Row],[Qty]]</f>
        <v>0</v>
      </c>
      <c r="I9" s="40" t="str">
        <f>_xlfn.XLOOKUP(Tabla15[[#This Row],[Value]],Tabla8[Value],Tabla8[Links],"-")</f>
        <v>-</v>
      </c>
      <c r="J9" s="6"/>
    </row>
    <row r="10" spans="1:10" ht="15" x14ac:dyDescent="0.25">
      <c r="A10" s="6">
        <v>4</v>
      </c>
      <c r="B10" s="22">
        <v>1</v>
      </c>
      <c r="C10" s="22" t="s">
        <v>207</v>
      </c>
      <c r="D10" s="26" t="s">
        <v>234</v>
      </c>
      <c r="E10" s="22" t="s">
        <v>13</v>
      </c>
      <c r="F10" s="25" t="s">
        <v>235</v>
      </c>
      <c r="G10" s="25">
        <v>0.67</v>
      </c>
      <c r="H10" s="41">
        <f>Tabla15[[#This Row],[Unit Price]]*Tabla15[[#This Row],[Qty]]</f>
        <v>0.67</v>
      </c>
      <c r="I10" s="40" t="str">
        <f>_xlfn.XLOOKUP(Tabla15[[#This Row],[Value]],Tabla8[Value],Tabla8[Links],"-")</f>
        <v>https://www.digikey.es/product-detail/en/lumissil-microsystems/IS31FL3731-QFLS2-TR/706-1219-1-ND/4286442</v>
      </c>
      <c r="J10" s="6"/>
    </row>
    <row r="11" spans="1:10" x14ac:dyDescent="0.2">
      <c r="A11" s="6">
        <v>5</v>
      </c>
      <c r="B11" s="22">
        <v>2</v>
      </c>
      <c r="C11" s="22" t="s">
        <v>208</v>
      </c>
      <c r="D11" s="26" t="s">
        <v>209</v>
      </c>
      <c r="E11" s="22" t="s">
        <v>210</v>
      </c>
      <c r="F11" s="22" t="s">
        <v>209</v>
      </c>
      <c r="G11" s="22">
        <v>9.7239999999999993E-2</v>
      </c>
      <c r="H11" s="41">
        <f>Tabla15[[#This Row],[Unit Price]]*Tabla15[[#This Row],[Qty]]</f>
        <v>0.19447999999999999</v>
      </c>
      <c r="I11" s="40" t="str">
        <f>_xlfn.XLOOKUP(Tabla15[[#This Row],[Value]],Tabla8[Value],Tabla8[Links],"-")</f>
        <v>https://www.digikey.es/product-detail/en/c-k/KXT-311-LHS/CKN10777CT-ND/6599755</v>
      </c>
      <c r="J11" s="6"/>
    </row>
    <row r="12" spans="1:10" x14ac:dyDescent="0.2">
      <c r="A12" s="6">
        <v>6</v>
      </c>
      <c r="B12">
        <f>105-15</f>
        <v>90</v>
      </c>
      <c r="C12" t="s">
        <v>280</v>
      </c>
      <c r="D12" t="s">
        <v>273</v>
      </c>
      <c r="E12" t="s">
        <v>167</v>
      </c>
      <c r="F12" t="s">
        <v>281</v>
      </c>
      <c r="G12">
        <v>3.1969999999999998E-2</v>
      </c>
      <c r="H12">
        <f>Tabla15[[#This Row],[Unit Price]]*Tabla15[[#This Row],[Qty]]</f>
        <v>2.8773</v>
      </c>
      <c r="I12" s="40" t="str">
        <f>_xlfn.XLOOKUP(Tabla15[[#This Row],[Value]],Tabla8[Value],Tabla8[Links],"-")</f>
        <v>https://www.tme.eu/es/details/rf-wu0402ds-dd-b/leds-smd-blancos/refond/</v>
      </c>
      <c r="J12" s="6"/>
    </row>
    <row r="13" spans="1:10" x14ac:dyDescent="0.2">
      <c r="A13" s="6">
        <v>7</v>
      </c>
      <c r="B13">
        <v>7</v>
      </c>
      <c r="C13" s="32" t="s">
        <v>284</v>
      </c>
      <c r="D13" s="153" t="s">
        <v>291</v>
      </c>
      <c r="E13" s="128" t="s">
        <v>167</v>
      </c>
      <c r="F13" s="128" t="s">
        <v>281</v>
      </c>
      <c r="G13">
        <v>0.152</v>
      </c>
      <c r="H13" s="66">
        <f>Tabla15[[#This Row],[Unit Price]]*Tabla15[[#This Row],[Qty]]</f>
        <v>1.0640000000000001</v>
      </c>
      <c r="I13" s="40" t="str">
        <f>_xlfn.XLOOKUP(Tabla15[[#This Row],[Value]],Tabla8[Value],Tabla8[Links],"-")</f>
        <v>https://eu.mouser.com/ProductDetail/Wurth-Elektronik/150040VS73240?qs=8Aam6%252B7C6HEhyesRm%252BQyFQ%3D%3D</v>
      </c>
      <c r="J13" s="6"/>
    </row>
    <row r="14" spans="1:10" x14ac:dyDescent="0.2">
      <c r="A14" s="6">
        <v>8</v>
      </c>
      <c r="B14">
        <v>5</v>
      </c>
      <c r="C14" s="32" t="s">
        <v>285</v>
      </c>
      <c r="D14" s="31" t="s">
        <v>289</v>
      </c>
      <c r="E14" s="128" t="s">
        <v>167</v>
      </c>
      <c r="F14" s="128" t="s">
        <v>281</v>
      </c>
      <c r="G14">
        <v>0.152</v>
      </c>
      <c r="H14" s="66">
        <f>Tabla15[[#This Row],[Unit Price]]*Tabla15[[#This Row],[Qty]]</f>
        <v>0.76</v>
      </c>
      <c r="I14" s="40" t="str">
        <f>_xlfn.XLOOKUP(Tabla15[[#This Row],[Value]],Tabla8[Value],Tabla8[Links],"-")</f>
        <v>https://eu.mouser.com/ProductDetail/Wurth-Elektronik/150040YS73240?qs=8Aam6%252B7C6HFi%252BY4Pboxj6w%3D%3D</v>
      </c>
      <c r="J14" s="6"/>
    </row>
    <row r="15" spans="1:10" x14ac:dyDescent="0.2">
      <c r="A15" s="6">
        <v>9</v>
      </c>
      <c r="B15">
        <v>3</v>
      </c>
      <c r="C15" s="32" t="s">
        <v>283</v>
      </c>
      <c r="D15" s="153" t="s">
        <v>290</v>
      </c>
      <c r="E15" s="128" t="s">
        <v>167</v>
      </c>
      <c r="F15" s="128" t="s">
        <v>281</v>
      </c>
      <c r="G15">
        <v>0.13</v>
      </c>
      <c r="H15" s="66">
        <f>Tabla15[[#This Row],[Unit Price]]*Tabla15[[#This Row],[Qty]]</f>
        <v>0.39</v>
      </c>
      <c r="I15" s="40" t="str">
        <f>_xlfn.XLOOKUP(Tabla15[[#This Row],[Value]],Tabla8[Value],Tabla8[Links],"-")</f>
        <v>https://eu.mouser.com/ProductDetail/Wurth-Elektronik/150040RS73240?qs=8Aam6%252B7C6HGMiInmnlrBiw%3D%3D</v>
      </c>
      <c r="J15" s="6"/>
    </row>
    <row r="16" spans="1:10" ht="15" x14ac:dyDescent="0.25">
      <c r="A16" s="6" t="s">
        <v>121</v>
      </c>
      <c r="C16" s="22"/>
      <c r="D16" s="32"/>
      <c r="E16" s="8"/>
      <c r="F16" s="22"/>
      <c r="G16" s="22"/>
      <c r="H16" s="32">
        <f>SUBTOTAL(109,Tabla15[Extended Price])</f>
        <v>6.0030299999999999</v>
      </c>
      <c r="J16" s="6"/>
    </row>
  </sheetData>
  <mergeCells count="1">
    <mergeCell ref="B4:E4"/>
  </mergeCells>
  <conditionalFormatting sqref="J7:J15">
    <cfRule type="cellIs" dxfId="17" priority="1" operator="notEqual">
      <formula>"YES"</formula>
    </cfRule>
  </conditionalFormatting>
  <conditionalFormatting sqref="J7:J15">
    <cfRule type="cellIs" dxfId="16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563E-51BE-415D-B58D-7CB78EAB7D5D}">
  <dimension ref="A1:J24"/>
  <sheetViews>
    <sheetView workbookViewId="0"/>
  </sheetViews>
  <sheetFormatPr baseColWidth="10" defaultRowHeight="12.75" x14ac:dyDescent="0.2"/>
  <cols>
    <col min="1" max="1" width="15.42578125" bestFit="1" customWidth="1"/>
    <col min="2" max="2" width="8.42578125" bestFit="1" customWidth="1"/>
    <col min="3" max="3" width="21.42578125" bestFit="1" customWidth="1"/>
    <col min="4" max="4" width="18.42578125" bestFit="1" customWidth="1"/>
    <col min="5" max="5" width="20.28515625" bestFit="1" customWidth="1"/>
    <col min="6" max="6" width="23.28515625" bestFit="1" customWidth="1"/>
    <col min="7" max="7" width="14.42578125" bestFit="1" customWidth="1"/>
    <col min="8" max="8" width="19.42578125" bestFit="1" customWidth="1"/>
    <col min="9" max="9" width="101.7109375" bestFit="1" customWidth="1"/>
    <col min="10" max="10" width="14.140625" bestFit="1" customWidth="1"/>
  </cols>
  <sheetData>
    <row r="1" spans="1:10" x14ac:dyDescent="0.2">
      <c r="A1" s="22"/>
      <c r="B1" s="35"/>
      <c r="C1" s="22"/>
      <c r="D1" s="22"/>
      <c r="E1" s="22"/>
      <c r="F1" s="22"/>
      <c r="G1" s="22"/>
      <c r="H1" s="22"/>
      <c r="I1" s="22"/>
      <c r="J1" s="22"/>
    </row>
    <row r="2" spans="1:10" ht="15.75" x14ac:dyDescent="0.25">
      <c r="A2" s="2" t="s">
        <v>0</v>
      </c>
      <c r="B2" s="3">
        <v>1</v>
      </c>
      <c r="C2" s="22"/>
      <c r="D2" s="22"/>
      <c r="E2" s="22"/>
      <c r="F2" s="22"/>
      <c r="G2" s="22"/>
      <c r="H2" s="22"/>
      <c r="I2" s="22"/>
      <c r="J2" s="22"/>
    </row>
    <row r="3" spans="1:10" ht="27" x14ac:dyDescent="0.4">
      <c r="A3" s="4"/>
      <c r="B3" s="4"/>
      <c r="C3" s="5"/>
      <c r="D3" s="4"/>
      <c r="E3" s="22"/>
      <c r="F3" s="22"/>
      <c r="G3" s="22"/>
      <c r="H3" s="22"/>
      <c r="I3" s="22"/>
      <c r="J3" s="22"/>
    </row>
    <row r="4" spans="1:10" ht="27" x14ac:dyDescent="0.4">
      <c r="A4" s="22"/>
      <c r="B4" s="61" t="s">
        <v>158</v>
      </c>
      <c r="C4" s="62"/>
      <c r="D4" s="62"/>
      <c r="E4" s="63"/>
      <c r="F4" s="22"/>
      <c r="G4" s="22"/>
      <c r="H4" s="22"/>
      <c r="I4" s="22"/>
      <c r="J4" s="22"/>
    </row>
    <row r="5" spans="1:10" x14ac:dyDescent="0.2">
      <c r="A5" s="6"/>
      <c r="B5" s="35"/>
      <c r="C5" s="22"/>
      <c r="D5" s="22"/>
      <c r="E5" s="22"/>
      <c r="F5" s="22"/>
      <c r="G5" s="22"/>
      <c r="H5" s="22"/>
      <c r="I5" s="22"/>
      <c r="J5" s="22"/>
    </row>
    <row r="6" spans="1:10" x14ac:dyDescent="0.2">
      <c r="A6" s="36" t="s">
        <v>1</v>
      </c>
      <c r="B6" s="36" t="s">
        <v>2</v>
      </c>
      <c r="C6" s="36" t="s">
        <v>3</v>
      </c>
      <c r="D6" s="36" t="s">
        <v>4</v>
      </c>
      <c r="E6" s="36" t="s">
        <v>5</v>
      </c>
      <c r="F6" s="36" t="s">
        <v>6</v>
      </c>
      <c r="G6" s="36" t="s">
        <v>118</v>
      </c>
      <c r="H6" s="36" t="s">
        <v>119</v>
      </c>
      <c r="I6" s="36" t="s">
        <v>100</v>
      </c>
      <c r="J6" s="36" t="s">
        <v>7</v>
      </c>
    </row>
    <row r="7" spans="1:10" ht="15" x14ac:dyDescent="0.2">
      <c r="A7" s="7">
        <v>1</v>
      </c>
      <c r="B7" s="29">
        <v>1</v>
      </c>
      <c r="C7" s="37" t="s">
        <v>159</v>
      </c>
      <c r="D7" s="38" t="s">
        <v>249</v>
      </c>
      <c r="E7" s="37" t="s">
        <v>19</v>
      </c>
      <c r="F7" s="37" t="s">
        <v>160</v>
      </c>
      <c r="G7" s="39">
        <v>7.1900000000000002E-3</v>
      </c>
      <c r="H7" s="31">
        <f>Tabla14[[#This Row],[Qty]]*Tabla14[[#This Row],[Unit Price]]</f>
        <v>7.1900000000000002E-3</v>
      </c>
      <c r="I7" s="40" t="str">
        <f>_xlfn.XLOOKUP(Tabla14[[#This Row],[Value]],Tabla8[Value],Tabla8[Links],"-")</f>
        <v>https://www.digikey.es/product-detail/en/samsung-electro-mechanics/CL10A105KA8NNNC/1276-1102-1-ND/3889188</v>
      </c>
      <c r="J7" s="7"/>
    </row>
    <row r="8" spans="1:10" x14ac:dyDescent="0.2">
      <c r="A8" s="7">
        <v>2</v>
      </c>
      <c r="B8" s="29">
        <v>2</v>
      </c>
      <c r="C8" s="37" t="s">
        <v>162</v>
      </c>
      <c r="D8" s="38" t="s">
        <v>102</v>
      </c>
      <c r="E8" s="37" t="s">
        <v>19</v>
      </c>
      <c r="F8" s="37" t="s">
        <v>160</v>
      </c>
      <c r="G8" s="26">
        <v>4.5700000000000003E-3</v>
      </c>
      <c r="H8" s="41">
        <f>Tabla14[[#This Row],[Qty]]*Tabla14[[#This Row],[Unit Price]]</f>
        <v>9.1400000000000006E-3</v>
      </c>
      <c r="I8" s="40" t="str">
        <f>_xlfn.XLOOKUP(Tabla14[[#This Row],[Value]],Tabla8[Value],Tabla8[Links],"-")</f>
        <v>https://www.digikey.es/product-detail/en/samsung-electro-mechanics/CL10B104KA8NNNC/1276-1006-1-ND/3889092</v>
      </c>
      <c r="J8" s="7"/>
    </row>
    <row r="9" spans="1:10" ht="15" x14ac:dyDescent="0.2">
      <c r="A9" s="7">
        <v>3</v>
      </c>
      <c r="B9" s="29">
        <v>2</v>
      </c>
      <c r="C9" s="37" t="s">
        <v>163</v>
      </c>
      <c r="D9" s="38" t="s">
        <v>250</v>
      </c>
      <c r="E9" s="37" t="s">
        <v>19</v>
      </c>
      <c r="F9" s="42" t="s">
        <v>164</v>
      </c>
      <c r="G9" s="39">
        <v>1.677E-2</v>
      </c>
      <c r="H9" s="41">
        <f>Tabla14[[#This Row],[Qty]]*Tabla14[[#This Row],[Unit Price]]</f>
        <v>3.354E-2</v>
      </c>
      <c r="I9" s="40" t="str">
        <f>_xlfn.XLOOKUP(Tabla14[[#This Row],[Value]],Tabla8[Value],Tabla8[Links],"-")</f>
        <v>https://www.digikey.es/product-detail/en/samsung-electro-mechanics/CL21A106KOQNNNG/1276-6455-1-ND/5958083</v>
      </c>
      <c r="J9" s="7"/>
    </row>
    <row r="10" spans="1:10" x14ac:dyDescent="0.2">
      <c r="A10" s="55">
        <v>4</v>
      </c>
      <c r="B10" s="55">
        <v>2</v>
      </c>
      <c r="C10" s="58" t="s">
        <v>170</v>
      </c>
      <c r="D10" s="59" t="s">
        <v>120</v>
      </c>
      <c r="E10" s="58" t="s">
        <v>171</v>
      </c>
      <c r="F10" s="58" t="s">
        <v>172</v>
      </c>
      <c r="G10" s="56" t="s">
        <v>120</v>
      </c>
      <c r="H10" s="56" t="s">
        <v>120</v>
      </c>
      <c r="I10" s="40" t="str">
        <f>_xlfn.XLOOKUP(Tabla14[[#This Row],[Value]],Tabla8[Value],Tabla8[Links],"-")</f>
        <v>-</v>
      </c>
      <c r="J10" s="7" t="s">
        <v>230</v>
      </c>
    </row>
    <row r="11" spans="1:10" x14ac:dyDescent="0.2">
      <c r="A11" s="7">
        <v>5</v>
      </c>
      <c r="B11" s="29">
        <v>5</v>
      </c>
      <c r="C11" s="37" t="s">
        <v>173</v>
      </c>
      <c r="D11" s="38" t="s">
        <v>26</v>
      </c>
      <c r="E11" s="37" t="s">
        <v>25</v>
      </c>
      <c r="F11" s="37" t="s">
        <v>174</v>
      </c>
      <c r="G11" s="31" t="s">
        <v>120</v>
      </c>
      <c r="H11" s="31" t="s">
        <v>120</v>
      </c>
      <c r="I11" s="40" t="str">
        <f>_xlfn.XLOOKUP(Tabla14[[#This Row],[Value]],Tabla8[Value],Tabla8[Links],"-")</f>
        <v>-</v>
      </c>
      <c r="J11" s="7"/>
    </row>
    <row r="12" spans="1:10" x14ac:dyDescent="0.2">
      <c r="A12" s="7">
        <v>6</v>
      </c>
      <c r="B12" s="29">
        <v>1</v>
      </c>
      <c r="C12" s="37" t="s">
        <v>133</v>
      </c>
      <c r="D12" s="38" t="s">
        <v>30</v>
      </c>
      <c r="E12" s="37" t="s">
        <v>25</v>
      </c>
      <c r="F12" s="37" t="s">
        <v>174</v>
      </c>
      <c r="G12" s="31" t="s">
        <v>120</v>
      </c>
      <c r="H12" s="31" t="s">
        <v>120</v>
      </c>
      <c r="I12" s="40" t="str">
        <f>_xlfn.XLOOKUP(Tabla14[[#This Row],[Value]],Tabla8[Value],Tabla8[Links],"-")</f>
        <v>-</v>
      </c>
      <c r="J12" s="7"/>
    </row>
    <row r="13" spans="1:10" x14ac:dyDescent="0.2">
      <c r="A13" s="7">
        <v>7</v>
      </c>
      <c r="B13" s="29">
        <v>1</v>
      </c>
      <c r="C13" s="37" t="s">
        <v>76</v>
      </c>
      <c r="D13" s="38" t="s">
        <v>256</v>
      </c>
      <c r="E13" s="37" t="s">
        <v>25</v>
      </c>
      <c r="F13" s="37" t="s">
        <v>174</v>
      </c>
      <c r="G13" s="31" t="s">
        <v>120</v>
      </c>
      <c r="H13" s="31" t="s">
        <v>120</v>
      </c>
      <c r="I13" s="40" t="str">
        <f>_xlfn.XLOOKUP(Tabla14[[#This Row],[Value]],Tabla8[Value],Tabla8[Links],"-")</f>
        <v>-</v>
      </c>
      <c r="J13" s="7"/>
    </row>
    <row r="14" spans="1:10" x14ac:dyDescent="0.2">
      <c r="A14" s="7">
        <v>8</v>
      </c>
      <c r="B14" s="29">
        <v>1</v>
      </c>
      <c r="C14" s="37" t="s">
        <v>71</v>
      </c>
      <c r="D14" s="45">
        <v>220</v>
      </c>
      <c r="E14" s="37" t="s">
        <v>25</v>
      </c>
      <c r="F14" s="37" t="s">
        <v>174</v>
      </c>
      <c r="G14" s="31" t="s">
        <v>120</v>
      </c>
      <c r="H14" s="31" t="s">
        <v>120</v>
      </c>
      <c r="I14" s="40" t="str">
        <f>_xlfn.XLOOKUP(Tabla14[[#This Row],[Value]],Tabla8[Value],Tabla8[Links],"-")</f>
        <v>-</v>
      </c>
      <c r="J14" s="7"/>
    </row>
    <row r="15" spans="1:10" x14ac:dyDescent="0.2">
      <c r="A15" s="7">
        <v>9</v>
      </c>
      <c r="B15" s="29">
        <v>1</v>
      </c>
      <c r="C15" s="37" t="s">
        <v>175</v>
      </c>
      <c r="D15" s="38" t="s">
        <v>136</v>
      </c>
      <c r="E15" s="37" t="s">
        <v>25</v>
      </c>
      <c r="F15" s="37" t="s">
        <v>174</v>
      </c>
      <c r="G15" s="31" t="s">
        <v>120</v>
      </c>
      <c r="H15" s="31" t="s">
        <v>120</v>
      </c>
      <c r="I15" s="40" t="str">
        <f>_xlfn.XLOOKUP(Tabla14[[#This Row],[Value]],Tabla8[Value],Tabla8[Links],"-")</f>
        <v>-</v>
      </c>
      <c r="J15" s="7"/>
    </row>
    <row r="16" spans="1:10" x14ac:dyDescent="0.2">
      <c r="A16" s="7">
        <v>10</v>
      </c>
      <c r="B16" s="29">
        <v>1</v>
      </c>
      <c r="C16" s="37" t="s">
        <v>176</v>
      </c>
      <c r="D16" s="45">
        <v>330</v>
      </c>
      <c r="E16" s="37" t="s">
        <v>25</v>
      </c>
      <c r="F16" s="37" t="s">
        <v>174</v>
      </c>
      <c r="G16" s="31" t="s">
        <v>120</v>
      </c>
      <c r="H16" s="31" t="s">
        <v>120</v>
      </c>
      <c r="I16" s="40" t="str">
        <f>_xlfn.XLOOKUP(Tabla14[[#This Row],[Value]],Tabla8[Value],Tabla8[Links],"-")</f>
        <v>-</v>
      </c>
      <c r="J16" s="7"/>
    </row>
    <row r="17" spans="1:10" x14ac:dyDescent="0.2">
      <c r="A17" s="7">
        <v>11</v>
      </c>
      <c r="B17" s="29">
        <v>2</v>
      </c>
      <c r="C17" s="37" t="s">
        <v>177</v>
      </c>
      <c r="D17" s="38" t="s">
        <v>80</v>
      </c>
      <c r="E17" s="37" t="s">
        <v>25</v>
      </c>
      <c r="F17" s="37" t="s">
        <v>174</v>
      </c>
      <c r="G17" s="31" t="s">
        <v>120</v>
      </c>
      <c r="H17" s="31" t="s">
        <v>120</v>
      </c>
      <c r="I17" s="40" t="str">
        <f>_xlfn.XLOOKUP(Tabla14[[#This Row],[Value]],Tabla8[Value],Tabla8[Links],"-")</f>
        <v>-</v>
      </c>
      <c r="J17" s="7"/>
    </row>
    <row r="18" spans="1:10" x14ac:dyDescent="0.2">
      <c r="A18" s="7">
        <v>12</v>
      </c>
      <c r="B18" s="29">
        <v>1</v>
      </c>
      <c r="C18" s="37" t="s">
        <v>60</v>
      </c>
      <c r="D18" s="45">
        <v>590</v>
      </c>
      <c r="E18" s="37" t="s">
        <v>25</v>
      </c>
      <c r="F18" s="37" t="s">
        <v>174</v>
      </c>
      <c r="G18" s="31" t="s">
        <v>120</v>
      </c>
      <c r="H18" s="31" t="s">
        <v>120</v>
      </c>
      <c r="I18" s="40" t="str">
        <f>_xlfn.XLOOKUP(Tabla14[[#This Row],[Value]],Tabla8[Value],Tabla8[Links],"-")</f>
        <v>-</v>
      </c>
      <c r="J18" s="7"/>
    </row>
    <row r="19" spans="1:10" x14ac:dyDescent="0.2">
      <c r="A19" s="7">
        <v>13</v>
      </c>
      <c r="B19" s="29">
        <v>1</v>
      </c>
      <c r="C19" s="37" t="s">
        <v>178</v>
      </c>
      <c r="D19" s="38" t="s">
        <v>179</v>
      </c>
      <c r="E19" s="37" t="s">
        <v>180</v>
      </c>
      <c r="F19" s="37" t="s">
        <v>174</v>
      </c>
      <c r="G19" s="29">
        <v>0.66451000000000005</v>
      </c>
      <c r="H19" s="29">
        <f>Tabla14[[#This Row],[Qty]]*Tabla14[[#This Row],[Unit Price]]</f>
        <v>0.66451000000000005</v>
      </c>
      <c r="I19" s="40" t="str">
        <f>_xlfn.XLOOKUP(Tabla14[[#This Row],[Value]],Tabla8[Value],Tabla8[Links],"-")</f>
        <v>https://www.digikey.es/product-detail/en/bourns-inc/70AAJ-4-M0G/70AAJ-4-M0GTR-ND/761020</v>
      </c>
      <c r="J19" s="7"/>
    </row>
    <row r="20" spans="1:10" x14ac:dyDescent="0.2">
      <c r="A20" s="7">
        <v>14</v>
      </c>
      <c r="B20" s="29">
        <v>1</v>
      </c>
      <c r="C20" s="37" t="s">
        <v>182</v>
      </c>
      <c r="D20" s="38" t="s">
        <v>183</v>
      </c>
      <c r="E20" s="37" t="s">
        <v>13</v>
      </c>
      <c r="F20" s="37" t="s">
        <v>184</v>
      </c>
      <c r="G20" s="29">
        <v>0.88761999999999996</v>
      </c>
      <c r="H20" s="29">
        <f>Tabla14[[#This Row],[Qty]]*Tabla14[[#This Row],[Unit Price]]</f>
        <v>0.88761999999999996</v>
      </c>
      <c r="I20" s="40" t="str">
        <f>_xlfn.XLOOKUP(Tabla14[[#This Row],[Value]],Tabla8[Value],Tabla8[Links],"-")</f>
        <v>https://www.digikey.es/product-detail/en/texas-instruments/BQ24075TRGTR/296-25609-1-ND/2202275</v>
      </c>
      <c r="J20" s="7"/>
    </row>
    <row r="21" spans="1:10" x14ac:dyDescent="0.2">
      <c r="A21" s="7">
        <v>15</v>
      </c>
      <c r="B21" s="29">
        <v>2</v>
      </c>
      <c r="C21" s="37" t="s">
        <v>186</v>
      </c>
      <c r="D21" s="38" t="s">
        <v>187</v>
      </c>
      <c r="E21" s="37" t="s">
        <v>21</v>
      </c>
      <c r="F21" s="37" t="s">
        <v>231</v>
      </c>
      <c r="G21" s="46">
        <v>0.42502000000000001</v>
      </c>
      <c r="H21" s="29">
        <f>Tabla14[[#This Row],[Qty]]*Tabla14[[#This Row],[Unit Price]]</f>
        <v>0.85004000000000002</v>
      </c>
      <c r="I21" s="40" t="str">
        <f>_xlfn.XLOOKUP(Tabla14[[#This Row],[Value]],Tabla8[Value],Tabla8[Links],"-")</f>
        <v>https://www.digikey.es/product-detail/en/texas-instruments/CSD16406Q3/296-24251-1-ND/2038321</v>
      </c>
      <c r="J21" s="7"/>
    </row>
    <row r="22" spans="1:10" x14ac:dyDescent="0.2">
      <c r="A22" s="7">
        <v>16</v>
      </c>
      <c r="B22" s="29">
        <v>1</v>
      </c>
      <c r="C22" s="37" t="s">
        <v>189</v>
      </c>
      <c r="D22" s="38" t="s">
        <v>190</v>
      </c>
      <c r="E22" s="37" t="s">
        <v>180</v>
      </c>
      <c r="F22" s="37" t="s">
        <v>191</v>
      </c>
      <c r="G22" s="29">
        <v>0.8085</v>
      </c>
      <c r="H22" s="29">
        <f>Tabla14[[#This Row],[Qty]]*Tabla14[[#This Row],[Unit Price]]</f>
        <v>0.8085</v>
      </c>
      <c r="I22" s="40" t="str">
        <f>_xlfn.XLOOKUP(Tabla14[[#This Row],[Value]],Tabla8[Value],Tabla8[Links],"-")</f>
        <v>https://www.digikey.es/product-detail/en/jae-electronics/DX07S016JA1R1500/670-DX07S016JA1R1500CT-ND/11586676</v>
      </c>
      <c r="J22" s="7"/>
    </row>
    <row r="23" spans="1:10" ht="15" x14ac:dyDescent="0.2">
      <c r="A23" s="7">
        <v>17</v>
      </c>
      <c r="B23" s="29">
        <v>1</v>
      </c>
      <c r="C23" s="37" t="s">
        <v>193</v>
      </c>
      <c r="D23" s="38" t="s">
        <v>194</v>
      </c>
      <c r="E23" s="42" t="s">
        <v>13</v>
      </c>
      <c r="F23" s="37" t="s">
        <v>232</v>
      </c>
      <c r="G23" s="43">
        <v>0.19020000000000001</v>
      </c>
      <c r="H23" s="29">
        <f>Tabla14[[#This Row],[Qty]]*Tabla14[[#This Row],[Unit Price]]</f>
        <v>0.19020000000000001</v>
      </c>
      <c r="I23" s="40" t="str">
        <f>_xlfn.XLOOKUP(Tabla14[[#This Row],[Value]],Tabla8[Value],Tabla8[Links],"-")</f>
        <v>https://www.digikey.es/product-detail/en/texas-instruments/BQ29700DSER/296-43985-1-ND/5973209</v>
      </c>
      <c r="J23" s="7"/>
    </row>
    <row r="24" spans="1:10" ht="15" x14ac:dyDescent="0.25">
      <c r="A24" s="6" t="s">
        <v>121</v>
      </c>
      <c r="B24" s="22"/>
      <c r="C24" s="22"/>
      <c r="D24" s="32"/>
      <c r="E24" s="8"/>
      <c r="F24" s="22"/>
      <c r="G24" s="22"/>
      <c r="H24" s="32">
        <f>SUBTOTAL(109,Tabla14[Extended Price])</f>
        <v>3.4507399999999997</v>
      </c>
      <c r="I24" s="22"/>
      <c r="J24" s="6"/>
    </row>
  </sheetData>
  <mergeCells count="1">
    <mergeCell ref="B4:E4"/>
  </mergeCells>
  <conditionalFormatting sqref="J7:J23">
    <cfRule type="cellIs" dxfId="15" priority="1" operator="notEqual">
      <formula>"YES"</formula>
    </cfRule>
  </conditionalFormatting>
  <conditionalFormatting sqref="J7:J23">
    <cfRule type="cellIs" dxfId="14" priority="2" operator="equal">
      <formula>"Yes"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3F82-6C7E-4340-A64E-74DFFE636C08}">
  <dimension ref="A1:J13"/>
  <sheetViews>
    <sheetView workbookViewId="0"/>
  </sheetViews>
  <sheetFormatPr baseColWidth="10" defaultRowHeight="12.75" x14ac:dyDescent="0.2"/>
  <cols>
    <col min="1" max="1" width="15.5703125" bestFit="1" customWidth="1"/>
    <col min="2" max="2" width="8.5703125" bestFit="1" customWidth="1"/>
    <col min="3" max="3" width="21.28515625" bestFit="1" customWidth="1"/>
    <col min="4" max="5" width="20.28515625" bestFit="1" customWidth="1"/>
    <col min="6" max="6" width="22.28515625" bestFit="1" customWidth="1"/>
    <col min="7" max="7" width="14.42578125" bestFit="1" customWidth="1"/>
    <col min="8" max="8" width="19.42578125" bestFit="1" customWidth="1"/>
    <col min="9" max="9" width="100.28515625" bestFit="1" customWidth="1"/>
    <col min="10" max="10" width="14.1406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61" t="s">
        <v>239</v>
      </c>
      <c r="C4" s="62"/>
      <c r="D4" s="62"/>
      <c r="E4" s="63"/>
    </row>
    <row r="5" spans="1:10" x14ac:dyDescent="0.2">
      <c r="A5" s="6"/>
      <c r="B5" s="1"/>
    </row>
    <row r="6" spans="1:10" x14ac:dyDescent="0.2">
      <c r="A6" s="33" t="s">
        <v>1</v>
      </c>
      <c r="B6" s="33" t="s">
        <v>2</v>
      </c>
      <c r="C6" s="33" t="s">
        <v>3</v>
      </c>
      <c r="D6" s="33" t="s">
        <v>4</v>
      </c>
      <c r="E6" s="33" t="s">
        <v>5</v>
      </c>
      <c r="F6" s="33" t="s">
        <v>6</v>
      </c>
      <c r="G6" s="33" t="s">
        <v>118</v>
      </c>
      <c r="H6" s="33" t="s">
        <v>119</v>
      </c>
      <c r="I6" s="33" t="s">
        <v>100</v>
      </c>
      <c r="J6" s="33" t="s">
        <v>7</v>
      </c>
    </row>
    <row r="7" spans="1:10" ht="15" x14ac:dyDescent="0.2">
      <c r="A7" s="7">
        <v>1</v>
      </c>
      <c r="B7" s="29">
        <v>1</v>
      </c>
      <c r="C7" s="37" t="s">
        <v>166</v>
      </c>
      <c r="D7" s="60" t="s">
        <v>229</v>
      </c>
      <c r="E7" s="37" t="s">
        <v>167</v>
      </c>
      <c r="F7" s="42" t="s">
        <v>168</v>
      </c>
      <c r="G7" s="43">
        <v>0.19017000000000001</v>
      </c>
      <c r="H7" s="31">
        <f>Tabla14[[#This Row],[Qty]]*Tabla14[[#This Row],[Unit Price]]</f>
        <v>7.1900000000000002E-3</v>
      </c>
      <c r="I7" s="40" t="s">
        <v>169</v>
      </c>
      <c r="J7" s="7"/>
    </row>
    <row r="8" spans="1:10" ht="15" x14ac:dyDescent="0.2">
      <c r="A8" s="6">
        <v>2</v>
      </c>
      <c r="B8" s="22"/>
      <c r="C8" s="22"/>
      <c r="D8" s="38"/>
      <c r="E8" s="37"/>
      <c r="F8" s="42"/>
      <c r="G8" s="39"/>
      <c r="H8" s="41">
        <f>Tabla14[[#This Row],[Qty]]*Tabla14[[#This Row],[Unit Price]]</f>
        <v>9.1400000000000006E-3</v>
      </c>
      <c r="I8" s="40"/>
      <c r="J8" s="6"/>
    </row>
    <row r="9" spans="1:10" ht="15" x14ac:dyDescent="0.25">
      <c r="A9" s="6">
        <v>3</v>
      </c>
      <c r="B9" s="22"/>
      <c r="C9" s="22"/>
      <c r="D9" s="22"/>
      <c r="E9" s="22"/>
      <c r="F9" s="25"/>
      <c r="G9" s="25"/>
      <c r="H9" s="41">
        <f>Tabla14[[#This Row],[Qty]]*Tabla14[[#This Row],[Unit Price]]</f>
        <v>3.354E-2</v>
      </c>
      <c r="I9" s="27"/>
      <c r="J9" s="6"/>
    </row>
    <row r="10" spans="1:10" ht="15" x14ac:dyDescent="0.25">
      <c r="A10" s="6">
        <v>4</v>
      </c>
      <c r="B10" s="22"/>
      <c r="C10" s="22"/>
      <c r="D10" s="26"/>
      <c r="E10" s="22"/>
      <c r="F10" s="25"/>
      <c r="G10" s="25"/>
      <c r="H10" s="41" t="e">
        <f>Tabla14[[#This Row],[Qty]]*Tabla14[[#This Row],[Unit Price]]</f>
        <v>#VALUE!</v>
      </c>
      <c r="I10" s="27"/>
      <c r="J10" s="6"/>
    </row>
    <row r="11" spans="1:10" x14ac:dyDescent="0.2">
      <c r="A11" s="6">
        <v>5</v>
      </c>
      <c r="B11" s="22"/>
      <c r="C11" s="22"/>
      <c r="D11" s="26"/>
      <c r="E11" s="22"/>
      <c r="F11" s="22"/>
      <c r="G11" s="22"/>
      <c r="H11" s="41" t="e">
        <f>Tabla14[[#This Row],[Qty]]*Tabla14[[#This Row],[Unit Price]]</f>
        <v>#VALUE!</v>
      </c>
      <c r="I11" s="27"/>
      <c r="J11" s="6"/>
    </row>
    <row r="12" spans="1:10" ht="15" x14ac:dyDescent="0.25">
      <c r="A12" s="6">
        <v>6</v>
      </c>
      <c r="D12" s="32"/>
      <c r="E12" s="8"/>
      <c r="H12" s="67" t="e">
        <f>Tabla14[[#This Row],[Qty]]*Tabla14[[#This Row],[Unit Price]]</f>
        <v>#VALUE!</v>
      </c>
      <c r="J12" s="6"/>
    </row>
    <row r="13" spans="1:10" ht="15" x14ac:dyDescent="0.25">
      <c r="A13" s="6" t="s">
        <v>121</v>
      </c>
      <c r="C13" s="22"/>
      <c r="D13" s="32"/>
      <c r="E13" s="8"/>
      <c r="F13" s="22"/>
      <c r="G13" s="22"/>
      <c r="H13" s="32" t="e">
        <f>SUBTOTAL(109,Tabla156[Extended Price])</f>
        <v>#VALUE!</v>
      </c>
      <c r="J13" s="6"/>
    </row>
  </sheetData>
  <mergeCells count="1">
    <mergeCell ref="B4:E4"/>
  </mergeCells>
  <conditionalFormatting sqref="J8:J12">
    <cfRule type="cellIs" dxfId="13" priority="3" operator="notEqual">
      <formula>"YES"</formula>
    </cfRule>
  </conditionalFormatting>
  <conditionalFormatting sqref="J8:J12">
    <cfRule type="cellIs" dxfId="12" priority="4" operator="equal">
      <formula>"Yes"</formula>
    </cfRule>
  </conditionalFormatting>
  <conditionalFormatting sqref="J7">
    <cfRule type="cellIs" dxfId="11" priority="1" operator="notEqual">
      <formula>"YES"</formula>
    </cfRule>
  </conditionalFormatting>
  <conditionalFormatting sqref="J7">
    <cfRule type="cellIs" dxfId="10" priority="2" operator="equal">
      <formula>"Yes"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baseColWidth="10" defaultColWidth="14.42578125" defaultRowHeight="15" customHeight="1" x14ac:dyDescent="0.2"/>
  <cols>
    <col min="1" max="1" width="17.42578125" bestFit="1" customWidth="1"/>
    <col min="2" max="2" width="15.85546875" bestFit="1" customWidth="1"/>
    <col min="3" max="3" width="16.140625" bestFit="1" customWidth="1"/>
    <col min="4" max="4" width="14.85546875" customWidth="1"/>
    <col min="5" max="5" width="7.42578125" bestFit="1" customWidth="1"/>
    <col min="6" max="6" width="9.85546875" bestFit="1" customWidth="1"/>
    <col min="7" max="7" width="15.28515625" bestFit="1" customWidth="1"/>
  </cols>
  <sheetData>
    <row r="1" spans="1:27" ht="15.75" customHeight="1" x14ac:dyDescent="0.25">
      <c r="A1" s="9"/>
      <c r="B1" s="9"/>
      <c r="C1" s="9"/>
      <c r="D1" s="9"/>
      <c r="E1" s="9"/>
      <c r="F1" s="9"/>
      <c r="G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23.25" x14ac:dyDescent="0.35">
      <c r="A2" s="9"/>
      <c r="B2" s="10" t="s">
        <v>42</v>
      </c>
      <c r="C2" s="9"/>
      <c r="D2" s="9"/>
      <c r="E2" s="9"/>
      <c r="F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customHeight="1" x14ac:dyDescent="0.25">
      <c r="A3" s="11"/>
      <c r="B3" s="11"/>
      <c r="C3" s="11"/>
      <c r="D3" s="11"/>
      <c r="E3" s="11"/>
      <c r="F3" s="11"/>
      <c r="G3" s="1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5.75" customHeight="1" x14ac:dyDescent="0.35">
      <c r="A4" s="12" t="s">
        <v>43</v>
      </c>
      <c r="B4" s="12" t="s">
        <v>44</v>
      </c>
      <c r="C4" s="12" t="s">
        <v>45</v>
      </c>
      <c r="D4" s="12"/>
      <c r="E4" s="12" t="s">
        <v>47</v>
      </c>
      <c r="F4" s="12" t="s">
        <v>48</v>
      </c>
      <c r="G4" s="12" t="s">
        <v>46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.75" customHeight="1" x14ac:dyDescent="0.25">
      <c r="A5" s="13">
        <v>1</v>
      </c>
      <c r="B5" s="13">
        <v>1</v>
      </c>
      <c r="C5" s="13">
        <v>1</v>
      </c>
      <c r="D5" s="13"/>
      <c r="E5" s="14">
        <v>43900</v>
      </c>
      <c r="F5" s="13" t="s">
        <v>50</v>
      </c>
      <c r="G5" s="20" t="s">
        <v>49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5.75" customHeight="1" x14ac:dyDescent="0.25">
      <c r="A6" s="13">
        <v>2</v>
      </c>
      <c r="B6" s="13">
        <v>1</v>
      </c>
      <c r="C6" s="13">
        <v>1</v>
      </c>
      <c r="D6" s="13"/>
      <c r="E6" s="14" t="s">
        <v>236</v>
      </c>
      <c r="F6" s="13" t="s">
        <v>237</v>
      </c>
      <c r="G6" s="20" t="s">
        <v>238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.75" customHeight="1" x14ac:dyDescent="0.25">
      <c r="A7" s="13"/>
      <c r="B7" s="13"/>
      <c r="C7" s="13"/>
      <c r="D7" s="13"/>
      <c r="E7" s="14"/>
      <c r="F7" s="13"/>
      <c r="G7" s="20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5.75" customHeight="1" x14ac:dyDescent="0.25">
      <c r="A8" s="13"/>
      <c r="B8" s="13"/>
      <c r="C8" s="13"/>
      <c r="D8" s="13"/>
      <c r="E8" s="13"/>
      <c r="F8" s="13"/>
      <c r="G8" s="20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5.75" customHeight="1" x14ac:dyDescent="0.25">
      <c r="A9" s="13"/>
      <c r="B9" s="13"/>
      <c r="C9" s="13"/>
      <c r="D9" s="13"/>
      <c r="E9" s="13"/>
      <c r="F9" s="13"/>
      <c r="G9" s="20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.75" customHeight="1" x14ac:dyDescent="0.25">
      <c r="A10" s="13"/>
      <c r="B10" s="13"/>
      <c r="C10" s="13"/>
      <c r="D10" s="13"/>
      <c r="E10" s="13"/>
      <c r="F10" s="13"/>
      <c r="G10" s="2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5.75" customHeight="1" x14ac:dyDescent="0.25">
      <c r="A11" s="13"/>
      <c r="B11" s="13"/>
      <c r="C11" s="13"/>
      <c r="D11" s="13"/>
      <c r="E11" s="13"/>
      <c r="F11" s="13"/>
      <c r="G11" s="2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5.75" customHeight="1" x14ac:dyDescent="0.25">
      <c r="A12" s="13"/>
      <c r="B12" s="13"/>
      <c r="C12" s="13"/>
      <c r="D12" s="13"/>
      <c r="E12" s="13"/>
      <c r="F12" s="13"/>
      <c r="G12" s="20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5.75" customHeight="1" x14ac:dyDescent="0.25">
      <c r="A13" s="13"/>
      <c r="B13" s="13"/>
      <c r="C13" s="13"/>
      <c r="D13" s="13"/>
      <c r="E13" s="13"/>
      <c r="F13" s="13"/>
      <c r="G13" s="20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.75" customHeight="1" x14ac:dyDescent="0.25">
      <c r="A14" s="13"/>
      <c r="B14" s="13"/>
      <c r="C14" s="13"/>
      <c r="D14" s="13"/>
      <c r="E14" s="13"/>
      <c r="F14" s="13"/>
      <c r="G14" s="20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5.75" customHeight="1" x14ac:dyDescent="0.25">
      <c r="A15" s="13"/>
      <c r="B15" s="13"/>
      <c r="C15" s="13"/>
      <c r="D15" s="13"/>
      <c r="E15" s="13"/>
      <c r="F15" s="13"/>
      <c r="G15" s="20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customHeight="1" x14ac:dyDescent="0.25">
      <c r="A16" s="13"/>
      <c r="B16" s="13"/>
      <c r="C16" s="13"/>
      <c r="D16" s="13"/>
      <c r="E16" s="13"/>
      <c r="F16" s="13"/>
      <c r="G16" s="20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customHeight="1" x14ac:dyDescent="0.25">
      <c r="A17" s="13"/>
      <c r="B17" s="13"/>
      <c r="C17" s="13"/>
      <c r="D17" s="13"/>
      <c r="E17" s="13"/>
      <c r="F17" s="13"/>
      <c r="G17" s="20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customHeight="1" x14ac:dyDescent="0.25">
      <c r="A18" s="13"/>
      <c r="B18" s="13"/>
      <c r="C18" s="13"/>
      <c r="D18" s="13"/>
      <c r="E18" s="13"/>
      <c r="F18" s="13"/>
      <c r="G18" s="2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customHeight="1" x14ac:dyDescent="0.25">
      <c r="A19" s="13"/>
      <c r="B19" s="13"/>
      <c r="C19" s="13"/>
      <c r="D19" s="13"/>
      <c r="E19" s="13"/>
      <c r="F19" s="13"/>
      <c r="G19" s="20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customHeight="1" x14ac:dyDescent="0.25">
      <c r="A20" s="13"/>
      <c r="B20" s="13"/>
      <c r="C20" s="13"/>
      <c r="D20" s="13"/>
      <c r="E20" s="13"/>
      <c r="F20" s="13"/>
      <c r="G20" s="20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customHeight="1" x14ac:dyDescent="0.25">
      <c r="A21" s="13"/>
      <c r="B21" s="13"/>
      <c r="C21" s="13"/>
      <c r="D21" s="13"/>
      <c r="E21" s="13"/>
      <c r="F21" s="13"/>
      <c r="G21" s="20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customHeight="1" x14ac:dyDescent="0.25">
      <c r="A22" s="13"/>
      <c r="B22" s="13"/>
      <c r="C22" s="13"/>
      <c r="D22" s="13"/>
      <c r="E22" s="13"/>
      <c r="F22" s="13"/>
      <c r="G22" s="2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customHeight="1" x14ac:dyDescent="0.25">
      <c r="A23" s="13"/>
      <c r="B23" s="13"/>
      <c r="C23" s="13"/>
      <c r="D23" s="13"/>
      <c r="E23" s="13"/>
      <c r="F23" s="13"/>
      <c r="G23" s="2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customHeight="1" x14ac:dyDescent="0.25">
      <c r="A24" s="13"/>
      <c r="B24" s="13"/>
      <c r="C24" s="13"/>
      <c r="D24" s="13"/>
      <c r="E24" s="13"/>
      <c r="F24" s="13"/>
      <c r="G24" s="2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customHeight="1" x14ac:dyDescent="0.25">
      <c r="A25" s="13"/>
      <c r="B25" s="13"/>
      <c r="C25" s="13"/>
      <c r="D25" s="13"/>
      <c r="E25" s="13"/>
      <c r="F25" s="13"/>
      <c r="G25" s="2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customHeight="1" x14ac:dyDescent="0.25">
      <c r="A26" s="13"/>
      <c r="B26" s="13"/>
      <c r="C26" s="13"/>
      <c r="D26" s="13"/>
      <c r="E26" s="13"/>
      <c r="F26" s="13"/>
      <c r="G26" s="2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customHeight="1" x14ac:dyDescent="0.25">
      <c r="A27" s="13"/>
      <c r="B27" s="13"/>
      <c r="C27" s="13"/>
      <c r="D27" s="13"/>
      <c r="E27" s="13"/>
      <c r="F27" s="13"/>
      <c r="G27" s="2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customHeight="1" x14ac:dyDescent="0.25">
      <c r="A28" s="13"/>
      <c r="B28" s="13"/>
      <c r="C28" s="13"/>
      <c r="D28" s="13"/>
      <c r="E28" s="13"/>
      <c r="F28" s="13"/>
      <c r="G28" s="2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customHeight="1" x14ac:dyDescent="0.25">
      <c r="A29" s="13"/>
      <c r="B29" s="13"/>
      <c r="C29" s="13"/>
      <c r="D29" s="13"/>
      <c r="E29" s="13"/>
      <c r="F29" s="13"/>
      <c r="G29" s="21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customHeight="1" x14ac:dyDescent="0.25">
      <c r="A30" s="9"/>
      <c r="B30" s="9"/>
      <c r="C30" s="9"/>
      <c r="D30" s="9"/>
      <c r="E30" s="9"/>
      <c r="F30" s="9"/>
      <c r="G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customHeight="1" x14ac:dyDescent="0.25">
      <c r="A31" s="9"/>
      <c r="B31" s="9"/>
      <c r="C31" s="9"/>
      <c r="D31" s="9"/>
      <c r="E31" s="9"/>
      <c r="F31" s="9"/>
      <c r="G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customHeight="1" x14ac:dyDescent="0.25">
      <c r="A32" s="9"/>
      <c r="B32" s="9"/>
      <c r="C32" s="9"/>
      <c r="D32" s="9"/>
      <c r="E32" s="9"/>
      <c r="F32" s="9"/>
      <c r="G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customHeight="1" x14ac:dyDescent="0.25">
      <c r="A33" s="9"/>
      <c r="B33" s="9"/>
      <c r="C33" s="9"/>
      <c r="D33" s="9"/>
      <c r="E33" s="9"/>
      <c r="F33" s="9"/>
      <c r="G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customHeight="1" x14ac:dyDescent="0.25">
      <c r="A34" s="9"/>
      <c r="B34" s="9"/>
      <c r="C34" s="9"/>
      <c r="D34" s="9"/>
      <c r="E34" s="9"/>
      <c r="F34" s="9"/>
      <c r="G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customHeight="1" x14ac:dyDescent="0.25">
      <c r="A35" s="9"/>
      <c r="B35" s="9"/>
      <c r="C35" s="9"/>
      <c r="D35" s="9"/>
      <c r="E35" s="9"/>
      <c r="F35" s="9"/>
      <c r="G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customHeight="1" x14ac:dyDescent="0.25">
      <c r="A36" s="9"/>
      <c r="B36" s="9"/>
      <c r="C36" s="9"/>
      <c r="D36" s="9"/>
      <c r="E36" s="9"/>
      <c r="F36" s="9"/>
      <c r="G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75" customHeight="1" x14ac:dyDescent="0.25">
      <c r="A37" s="9"/>
      <c r="B37" s="9"/>
      <c r="C37" s="9"/>
      <c r="D37" s="9"/>
      <c r="E37" s="9"/>
      <c r="F37" s="9"/>
      <c r="G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customHeight="1" x14ac:dyDescent="0.25">
      <c r="A38" s="9"/>
      <c r="B38" s="9"/>
      <c r="C38" s="9"/>
      <c r="D38" s="9"/>
      <c r="E38" s="9"/>
      <c r="F38" s="9"/>
      <c r="G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75" customHeight="1" x14ac:dyDescent="0.25">
      <c r="A39" s="9"/>
      <c r="B39" s="9"/>
      <c r="C39" s="9"/>
      <c r="D39" s="9"/>
      <c r="E39" s="9"/>
      <c r="F39" s="9"/>
      <c r="G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customHeight="1" x14ac:dyDescent="0.25">
      <c r="A40" s="9"/>
      <c r="B40" s="9"/>
      <c r="C40" s="9"/>
      <c r="D40" s="9"/>
      <c r="E40" s="9"/>
      <c r="F40" s="9"/>
      <c r="G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customHeight="1" x14ac:dyDescent="0.25">
      <c r="A41" s="9"/>
      <c r="B41" s="9"/>
      <c r="C41" s="9"/>
      <c r="D41" s="9"/>
      <c r="E41" s="9"/>
      <c r="F41" s="9"/>
      <c r="G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customHeight="1" x14ac:dyDescent="0.25">
      <c r="A42" s="9"/>
      <c r="B42" s="9"/>
      <c r="C42" s="9"/>
      <c r="D42" s="9"/>
      <c r="E42" s="9"/>
      <c r="F42" s="9"/>
      <c r="G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customHeight="1" x14ac:dyDescent="0.25">
      <c r="A43" s="9"/>
      <c r="B43" s="9"/>
      <c r="C43" s="9"/>
      <c r="D43" s="9"/>
      <c r="E43" s="9"/>
      <c r="F43" s="9"/>
      <c r="G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customHeight="1" x14ac:dyDescent="0.25">
      <c r="A44" s="9"/>
      <c r="B44" s="9"/>
      <c r="C44" s="9"/>
      <c r="D44" s="9"/>
      <c r="E44" s="9"/>
      <c r="F44" s="9"/>
      <c r="G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customHeight="1" x14ac:dyDescent="0.25">
      <c r="A45" s="9"/>
      <c r="B45" s="9"/>
      <c r="C45" s="9"/>
      <c r="D45" s="9"/>
      <c r="E45" s="9"/>
      <c r="F45" s="9"/>
      <c r="G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customHeight="1" x14ac:dyDescent="0.25">
      <c r="A46" s="9"/>
      <c r="B46" s="9"/>
      <c r="C46" s="9"/>
      <c r="D46" s="9"/>
      <c r="E46" s="9"/>
      <c r="F46" s="9"/>
      <c r="G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customHeight="1" x14ac:dyDescent="0.25">
      <c r="A47" s="9"/>
      <c r="B47" s="9"/>
      <c r="C47" s="9"/>
      <c r="D47" s="9"/>
      <c r="E47" s="9"/>
      <c r="F47" s="9"/>
      <c r="G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customHeight="1" x14ac:dyDescent="0.25">
      <c r="A48" s="9"/>
      <c r="B48" s="9"/>
      <c r="C48" s="9"/>
      <c r="D48" s="9"/>
      <c r="E48" s="9"/>
      <c r="F48" s="9"/>
      <c r="G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customHeight="1" x14ac:dyDescent="0.25">
      <c r="A49" s="9"/>
      <c r="B49" s="9"/>
      <c r="C49" s="9"/>
      <c r="D49" s="9"/>
      <c r="E49" s="9"/>
      <c r="F49" s="9"/>
      <c r="G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75" customHeight="1" x14ac:dyDescent="0.25">
      <c r="A50" s="9"/>
      <c r="B50" s="9"/>
      <c r="C50" s="9"/>
      <c r="D50" s="9"/>
      <c r="E50" s="9"/>
      <c r="F50" s="9"/>
      <c r="G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customHeight="1" x14ac:dyDescent="0.25">
      <c r="A51" s="9"/>
      <c r="B51" s="9"/>
      <c r="C51" s="9"/>
      <c r="D51" s="9"/>
      <c r="E51" s="9"/>
      <c r="F51" s="9"/>
      <c r="G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75" customHeight="1" x14ac:dyDescent="0.25">
      <c r="A52" s="9"/>
      <c r="B52" s="9"/>
      <c r="C52" s="9"/>
      <c r="D52" s="9"/>
      <c r="E52" s="9"/>
      <c r="F52" s="9"/>
      <c r="G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customHeight="1" x14ac:dyDescent="0.25">
      <c r="A53" s="9"/>
      <c r="B53" s="9"/>
      <c r="C53" s="9"/>
      <c r="D53" s="9"/>
      <c r="E53" s="9"/>
      <c r="F53" s="9"/>
      <c r="G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75" customHeight="1" x14ac:dyDescent="0.25">
      <c r="A54" s="9"/>
      <c r="B54" s="9"/>
      <c r="C54" s="9"/>
      <c r="D54" s="9"/>
      <c r="E54" s="9"/>
      <c r="F54" s="9"/>
      <c r="G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customHeight="1" x14ac:dyDescent="0.25">
      <c r="A55" s="9"/>
      <c r="B55" s="9"/>
      <c r="C55" s="9"/>
      <c r="D55" s="9"/>
      <c r="E55" s="9"/>
      <c r="F55" s="9"/>
      <c r="G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customHeight="1" x14ac:dyDescent="0.25">
      <c r="A56" s="9"/>
      <c r="B56" s="9"/>
      <c r="C56" s="9"/>
      <c r="D56" s="9"/>
      <c r="E56" s="9"/>
      <c r="F56" s="9"/>
      <c r="G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customHeight="1" x14ac:dyDescent="0.25">
      <c r="A57" s="9"/>
      <c r="B57" s="9"/>
      <c r="C57" s="9"/>
      <c r="D57" s="9"/>
      <c r="E57" s="9"/>
      <c r="F57" s="9"/>
      <c r="G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customHeight="1" x14ac:dyDescent="0.25">
      <c r="A58" s="9"/>
      <c r="B58" s="9"/>
      <c r="C58" s="9"/>
      <c r="D58" s="9"/>
      <c r="E58" s="9"/>
      <c r="F58" s="9"/>
      <c r="G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customHeight="1" x14ac:dyDescent="0.25">
      <c r="A59" s="9"/>
      <c r="B59" s="9"/>
      <c r="C59" s="9"/>
      <c r="D59" s="9"/>
      <c r="E59" s="9"/>
      <c r="F59" s="9"/>
      <c r="G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5.75" customHeight="1" x14ac:dyDescent="0.25">
      <c r="A60" s="9"/>
      <c r="B60" s="9"/>
      <c r="C60" s="9"/>
      <c r="D60" s="9"/>
      <c r="E60" s="9"/>
      <c r="F60" s="9"/>
      <c r="G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5.75" customHeight="1" x14ac:dyDescent="0.25">
      <c r="A61" s="9"/>
      <c r="B61" s="9"/>
      <c r="C61" s="9"/>
      <c r="D61" s="9"/>
      <c r="E61" s="9"/>
      <c r="F61" s="9"/>
      <c r="G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5.75" customHeight="1" x14ac:dyDescent="0.25">
      <c r="A62" s="9"/>
      <c r="B62" s="9"/>
      <c r="C62" s="9"/>
      <c r="D62" s="9"/>
      <c r="E62" s="9"/>
      <c r="F62" s="9"/>
      <c r="G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5.75" customHeight="1" x14ac:dyDescent="0.25">
      <c r="A63" s="9"/>
      <c r="B63" s="9"/>
      <c r="C63" s="9"/>
      <c r="D63" s="9"/>
      <c r="E63" s="9"/>
      <c r="F63" s="9"/>
      <c r="G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5.75" customHeight="1" x14ac:dyDescent="0.25">
      <c r="A64" s="9"/>
      <c r="B64" s="9"/>
      <c r="C64" s="9"/>
      <c r="D64" s="9"/>
      <c r="E64" s="9"/>
      <c r="F64" s="9"/>
      <c r="G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5.75" customHeight="1" x14ac:dyDescent="0.25">
      <c r="A65" s="9"/>
      <c r="B65" s="9"/>
      <c r="C65" s="9"/>
      <c r="D65" s="9"/>
      <c r="E65" s="9"/>
      <c r="F65" s="9"/>
      <c r="G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5.75" customHeight="1" x14ac:dyDescent="0.25">
      <c r="A66" s="9"/>
      <c r="B66" s="9"/>
      <c r="C66" s="9"/>
      <c r="D66" s="9"/>
      <c r="E66" s="9"/>
      <c r="F66" s="9"/>
      <c r="G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5.75" customHeight="1" x14ac:dyDescent="0.25">
      <c r="A67" s="9"/>
      <c r="B67" s="9"/>
      <c r="C67" s="9"/>
      <c r="D67" s="9"/>
      <c r="E67" s="9"/>
      <c r="F67" s="9"/>
      <c r="G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5.75" customHeight="1" x14ac:dyDescent="0.25">
      <c r="A68" s="9"/>
      <c r="B68" s="9"/>
      <c r="C68" s="9"/>
      <c r="D68" s="9"/>
      <c r="E68" s="9"/>
      <c r="F68" s="9"/>
      <c r="G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5.75" customHeight="1" x14ac:dyDescent="0.25">
      <c r="A69" s="9"/>
      <c r="B69" s="9"/>
      <c r="C69" s="9"/>
      <c r="D69" s="9"/>
      <c r="E69" s="9"/>
      <c r="F69" s="9"/>
      <c r="G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5.75" customHeight="1" x14ac:dyDescent="0.25">
      <c r="A70" s="9"/>
      <c r="B70" s="9"/>
      <c r="C70" s="9"/>
      <c r="D70" s="9"/>
      <c r="E70" s="9"/>
      <c r="F70" s="9"/>
      <c r="G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5.75" customHeight="1" x14ac:dyDescent="0.25">
      <c r="A71" s="9"/>
      <c r="B71" s="9"/>
      <c r="C71" s="9"/>
      <c r="D71" s="9"/>
      <c r="E71" s="9"/>
      <c r="F71" s="9"/>
      <c r="G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5.75" customHeight="1" x14ac:dyDescent="0.25">
      <c r="A72" s="9"/>
      <c r="B72" s="9"/>
      <c r="C72" s="9"/>
      <c r="D72" s="9"/>
      <c r="E72" s="9"/>
      <c r="F72" s="9"/>
      <c r="G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5.75" customHeight="1" x14ac:dyDescent="0.25">
      <c r="A73" s="9"/>
      <c r="B73" s="9"/>
      <c r="C73" s="9"/>
      <c r="D73" s="9"/>
      <c r="E73" s="9"/>
      <c r="F73" s="9"/>
      <c r="G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5.75" customHeight="1" x14ac:dyDescent="0.25">
      <c r="A74" s="9"/>
      <c r="B74" s="9"/>
      <c r="C74" s="9"/>
      <c r="D74" s="9"/>
      <c r="E74" s="9"/>
      <c r="F74" s="9"/>
      <c r="G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.75" customHeight="1" x14ac:dyDescent="0.25">
      <c r="A75" s="9"/>
      <c r="B75" s="9"/>
      <c r="C75" s="9"/>
      <c r="D75" s="9"/>
      <c r="E75" s="9"/>
      <c r="F75" s="9"/>
      <c r="G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5.75" customHeight="1" x14ac:dyDescent="0.25">
      <c r="A76" s="9"/>
      <c r="B76" s="9"/>
      <c r="C76" s="9"/>
      <c r="D76" s="9"/>
      <c r="E76" s="9"/>
      <c r="F76" s="9"/>
      <c r="G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5.75" customHeight="1" x14ac:dyDescent="0.25">
      <c r="A77" s="9"/>
      <c r="B77" s="9"/>
      <c r="C77" s="9"/>
      <c r="D77" s="9"/>
      <c r="E77" s="9"/>
      <c r="F77" s="9"/>
      <c r="G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5.75" customHeight="1" x14ac:dyDescent="0.25">
      <c r="A78" s="9"/>
      <c r="B78" s="9"/>
      <c r="C78" s="9"/>
      <c r="D78" s="9"/>
      <c r="E78" s="9"/>
      <c r="F78" s="9"/>
      <c r="G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5.75" customHeight="1" x14ac:dyDescent="0.25">
      <c r="A79" s="9"/>
      <c r="B79" s="9"/>
      <c r="C79" s="9"/>
      <c r="D79" s="9"/>
      <c r="E79" s="9"/>
      <c r="F79" s="9"/>
      <c r="G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5.75" customHeight="1" x14ac:dyDescent="0.25">
      <c r="A80" s="9"/>
      <c r="B80" s="9"/>
      <c r="C80" s="9"/>
      <c r="D80" s="9"/>
      <c r="E80" s="9"/>
      <c r="F80" s="9"/>
      <c r="G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5.75" customHeight="1" x14ac:dyDescent="0.25">
      <c r="A81" s="9"/>
      <c r="B81" s="9"/>
      <c r="C81" s="9"/>
      <c r="D81" s="9"/>
      <c r="E81" s="9"/>
      <c r="F81" s="9"/>
      <c r="G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5.75" customHeight="1" x14ac:dyDescent="0.25">
      <c r="A82" s="9"/>
      <c r="B82" s="9"/>
      <c r="C82" s="9"/>
      <c r="D82" s="9"/>
      <c r="E82" s="9"/>
      <c r="F82" s="9"/>
      <c r="G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5.75" customHeight="1" x14ac:dyDescent="0.25">
      <c r="A83" s="9"/>
      <c r="B83" s="9"/>
      <c r="C83" s="9"/>
      <c r="D83" s="9"/>
      <c r="E83" s="9"/>
      <c r="F83" s="9"/>
      <c r="G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5.75" customHeight="1" x14ac:dyDescent="0.25">
      <c r="A84" s="9"/>
      <c r="B84" s="9"/>
      <c r="C84" s="9"/>
      <c r="D84" s="9"/>
      <c r="E84" s="9"/>
      <c r="F84" s="9"/>
      <c r="G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5.75" customHeight="1" x14ac:dyDescent="0.25">
      <c r="A85" s="9"/>
      <c r="B85" s="9"/>
      <c r="C85" s="9"/>
      <c r="D85" s="9"/>
      <c r="E85" s="9"/>
      <c r="F85" s="9"/>
      <c r="G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5.75" customHeight="1" x14ac:dyDescent="0.25">
      <c r="A86" s="9"/>
      <c r="B86" s="9"/>
      <c r="C86" s="9"/>
      <c r="D86" s="9"/>
      <c r="E86" s="9"/>
      <c r="F86" s="9"/>
      <c r="G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5.75" customHeight="1" x14ac:dyDescent="0.25">
      <c r="A87" s="9"/>
      <c r="B87" s="9"/>
      <c r="C87" s="9"/>
      <c r="D87" s="9"/>
      <c r="E87" s="9"/>
      <c r="F87" s="9"/>
      <c r="G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5.75" customHeight="1" x14ac:dyDescent="0.25">
      <c r="A88" s="9"/>
      <c r="B88" s="9"/>
      <c r="C88" s="9"/>
      <c r="D88" s="9"/>
      <c r="E88" s="9"/>
      <c r="F88" s="9"/>
      <c r="G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5.75" customHeight="1" x14ac:dyDescent="0.25">
      <c r="A89" s="9"/>
      <c r="B89" s="9"/>
      <c r="C89" s="9"/>
      <c r="D89" s="9"/>
      <c r="E89" s="9"/>
      <c r="F89" s="9"/>
      <c r="G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5.75" customHeight="1" x14ac:dyDescent="0.25">
      <c r="A90" s="9"/>
      <c r="B90" s="9"/>
      <c r="C90" s="9"/>
      <c r="D90" s="9"/>
      <c r="E90" s="9"/>
      <c r="F90" s="9"/>
      <c r="G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5.75" customHeight="1" x14ac:dyDescent="0.25">
      <c r="A91" s="9"/>
      <c r="B91" s="9"/>
      <c r="C91" s="9"/>
      <c r="D91" s="9"/>
      <c r="E91" s="9"/>
      <c r="F91" s="9"/>
      <c r="G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5.75" customHeight="1" x14ac:dyDescent="0.25">
      <c r="A92" s="9"/>
      <c r="B92" s="9"/>
      <c r="C92" s="9"/>
      <c r="D92" s="9"/>
      <c r="E92" s="9"/>
      <c r="F92" s="9"/>
      <c r="G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5.75" customHeight="1" x14ac:dyDescent="0.25">
      <c r="A93" s="9"/>
      <c r="B93" s="9"/>
      <c r="C93" s="9"/>
      <c r="D93" s="9"/>
      <c r="E93" s="9"/>
      <c r="F93" s="9"/>
      <c r="G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5.75" customHeight="1" x14ac:dyDescent="0.25">
      <c r="A94" s="9"/>
      <c r="B94" s="9"/>
      <c r="C94" s="9"/>
      <c r="D94" s="9"/>
      <c r="E94" s="9"/>
      <c r="F94" s="9"/>
      <c r="G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5.75" customHeight="1" x14ac:dyDescent="0.25">
      <c r="A95" s="9"/>
      <c r="B95" s="9"/>
      <c r="C95" s="9"/>
      <c r="D95" s="9"/>
      <c r="E95" s="9"/>
      <c r="F95" s="9"/>
      <c r="G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5.75" customHeight="1" x14ac:dyDescent="0.25">
      <c r="A96" s="9"/>
      <c r="B96" s="9"/>
      <c r="C96" s="9"/>
      <c r="D96" s="9"/>
      <c r="E96" s="9"/>
      <c r="F96" s="9"/>
      <c r="G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5.75" customHeight="1" x14ac:dyDescent="0.25">
      <c r="A97" s="9"/>
      <c r="B97" s="9"/>
      <c r="C97" s="9"/>
      <c r="D97" s="9"/>
      <c r="E97" s="9"/>
      <c r="F97" s="9"/>
      <c r="G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5.75" customHeight="1" x14ac:dyDescent="0.25">
      <c r="A98" s="9"/>
      <c r="B98" s="9"/>
      <c r="C98" s="9"/>
      <c r="D98" s="9"/>
      <c r="E98" s="9"/>
      <c r="F98" s="9"/>
      <c r="G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5.75" customHeight="1" x14ac:dyDescent="0.25">
      <c r="A99" s="9"/>
      <c r="B99" s="9"/>
      <c r="C99" s="9"/>
      <c r="D99" s="9"/>
      <c r="E99" s="9"/>
      <c r="F99" s="9"/>
      <c r="G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5.75" customHeight="1" x14ac:dyDescent="0.25">
      <c r="A100" s="9"/>
      <c r="B100" s="9"/>
      <c r="C100" s="9"/>
      <c r="D100" s="9"/>
      <c r="E100" s="9"/>
      <c r="F100" s="9"/>
      <c r="G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5.75" customHeight="1" x14ac:dyDescent="0.25">
      <c r="A101" s="9"/>
      <c r="B101" s="9"/>
      <c r="C101" s="9"/>
      <c r="D101" s="9"/>
      <c r="E101" s="9"/>
      <c r="F101" s="9"/>
      <c r="G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5.75" customHeight="1" x14ac:dyDescent="0.25">
      <c r="A102" s="9"/>
      <c r="B102" s="9"/>
      <c r="C102" s="9"/>
      <c r="D102" s="9"/>
      <c r="E102" s="9"/>
      <c r="F102" s="9"/>
      <c r="G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5.75" customHeight="1" x14ac:dyDescent="0.25">
      <c r="A103" s="9"/>
      <c r="B103" s="9"/>
      <c r="C103" s="9"/>
      <c r="D103" s="9"/>
      <c r="E103" s="9"/>
      <c r="F103" s="9"/>
      <c r="G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5.75" customHeight="1" x14ac:dyDescent="0.25">
      <c r="A104" s="9"/>
      <c r="B104" s="9"/>
      <c r="C104" s="9"/>
      <c r="D104" s="9"/>
      <c r="E104" s="9"/>
      <c r="F104" s="9"/>
      <c r="G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5.75" customHeight="1" x14ac:dyDescent="0.25">
      <c r="A105" s="9"/>
      <c r="B105" s="9"/>
      <c r="C105" s="9"/>
      <c r="D105" s="9"/>
      <c r="E105" s="9"/>
      <c r="F105" s="9"/>
      <c r="G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5.75" customHeight="1" x14ac:dyDescent="0.25">
      <c r="A106" s="9"/>
      <c r="B106" s="9"/>
      <c r="C106" s="9"/>
      <c r="D106" s="9"/>
      <c r="E106" s="9"/>
      <c r="F106" s="9"/>
      <c r="G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5.75" customHeight="1" x14ac:dyDescent="0.25">
      <c r="A107" s="9"/>
      <c r="B107" s="9"/>
      <c r="C107" s="9"/>
      <c r="D107" s="9"/>
      <c r="E107" s="9"/>
      <c r="F107" s="9"/>
      <c r="G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5.75" customHeight="1" x14ac:dyDescent="0.25">
      <c r="A108" s="9"/>
      <c r="B108" s="9"/>
      <c r="C108" s="9"/>
      <c r="D108" s="9"/>
      <c r="E108" s="9"/>
      <c r="F108" s="9"/>
      <c r="G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5.75" customHeight="1" x14ac:dyDescent="0.25">
      <c r="A109" s="9"/>
      <c r="B109" s="9"/>
      <c r="C109" s="9"/>
      <c r="D109" s="9"/>
      <c r="E109" s="9"/>
      <c r="F109" s="9"/>
      <c r="G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5.75" customHeight="1" x14ac:dyDescent="0.25">
      <c r="A110" s="9"/>
      <c r="B110" s="9"/>
      <c r="C110" s="9"/>
      <c r="D110" s="9"/>
      <c r="E110" s="9"/>
      <c r="F110" s="9"/>
      <c r="G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5.75" customHeight="1" x14ac:dyDescent="0.25">
      <c r="A111" s="9"/>
      <c r="B111" s="9"/>
      <c r="C111" s="9"/>
      <c r="D111" s="9"/>
      <c r="E111" s="9"/>
      <c r="F111" s="9"/>
      <c r="G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.75" customHeight="1" x14ac:dyDescent="0.25">
      <c r="A112" s="9"/>
      <c r="B112" s="9"/>
      <c r="C112" s="9"/>
      <c r="D112" s="9"/>
      <c r="E112" s="9"/>
      <c r="F112" s="9"/>
      <c r="G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5.75" customHeight="1" x14ac:dyDescent="0.25">
      <c r="A113" s="9"/>
      <c r="B113" s="9"/>
      <c r="C113" s="9"/>
      <c r="D113" s="9"/>
      <c r="E113" s="9"/>
      <c r="F113" s="9"/>
      <c r="G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5.75" customHeight="1" x14ac:dyDescent="0.25">
      <c r="A114" s="9"/>
      <c r="B114" s="9"/>
      <c r="C114" s="9"/>
      <c r="D114" s="9"/>
      <c r="E114" s="9"/>
      <c r="F114" s="9"/>
      <c r="G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5.75" customHeight="1" x14ac:dyDescent="0.25">
      <c r="A115" s="9"/>
      <c r="B115" s="9"/>
      <c r="C115" s="9"/>
      <c r="D115" s="9"/>
      <c r="E115" s="9"/>
      <c r="F115" s="9"/>
      <c r="G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5.75" customHeight="1" x14ac:dyDescent="0.25">
      <c r="A116" s="9"/>
      <c r="B116" s="9"/>
      <c r="C116" s="9"/>
      <c r="D116" s="9"/>
      <c r="E116" s="9"/>
      <c r="F116" s="9"/>
      <c r="G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5.75" customHeight="1" x14ac:dyDescent="0.25">
      <c r="A117" s="9"/>
      <c r="B117" s="9"/>
      <c r="C117" s="9"/>
      <c r="D117" s="9"/>
      <c r="E117" s="9"/>
      <c r="F117" s="9"/>
      <c r="G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5.75" customHeight="1" x14ac:dyDescent="0.25">
      <c r="A118" s="9"/>
      <c r="B118" s="9"/>
      <c r="C118" s="9"/>
      <c r="D118" s="9"/>
      <c r="E118" s="9"/>
      <c r="F118" s="9"/>
      <c r="G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5.75" customHeight="1" x14ac:dyDescent="0.25">
      <c r="A119" s="9"/>
      <c r="B119" s="9"/>
      <c r="C119" s="9"/>
      <c r="D119" s="9"/>
      <c r="E119" s="9"/>
      <c r="F119" s="9"/>
      <c r="G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5.75" customHeight="1" x14ac:dyDescent="0.25">
      <c r="A120" s="9"/>
      <c r="B120" s="9"/>
      <c r="C120" s="9"/>
      <c r="D120" s="9"/>
      <c r="E120" s="9"/>
      <c r="F120" s="9"/>
      <c r="G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5.75" customHeight="1" x14ac:dyDescent="0.25">
      <c r="A121" s="9"/>
      <c r="B121" s="9"/>
      <c r="C121" s="9"/>
      <c r="D121" s="9"/>
      <c r="E121" s="9"/>
      <c r="F121" s="9"/>
      <c r="G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5.75" customHeight="1" x14ac:dyDescent="0.25">
      <c r="A122" s="9"/>
      <c r="B122" s="9"/>
      <c r="C122" s="9"/>
      <c r="D122" s="9"/>
      <c r="E122" s="9"/>
      <c r="F122" s="9"/>
      <c r="G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5.75" customHeight="1" x14ac:dyDescent="0.25">
      <c r="A123" s="9"/>
      <c r="B123" s="9"/>
      <c r="C123" s="9"/>
      <c r="D123" s="9"/>
      <c r="E123" s="9"/>
      <c r="F123" s="9"/>
      <c r="G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5.75" customHeight="1" x14ac:dyDescent="0.25">
      <c r="A124" s="9"/>
      <c r="B124" s="9"/>
      <c r="C124" s="9"/>
      <c r="D124" s="9"/>
      <c r="E124" s="9"/>
      <c r="F124" s="9"/>
      <c r="G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5.75" customHeight="1" x14ac:dyDescent="0.25">
      <c r="A125" s="9"/>
      <c r="B125" s="9"/>
      <c r="C125" s="9"/>
      <c r="D125" s="9"/>
      <c r="E125" s="9"/>
      <c r="F125" s="9"/>
      <c r="G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5.75" customHeight="1" x14ac:dyDescent="0.25">
      <c r="A126" s="9"/>
      <c r="B126" s="9"/>
      <c r="C126" s="9"/>
      <c r="D126" s="9"/>
      <c r="E126" s="9"/>
      <c r="F126" s="9"/>
      <c r="G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5.75" customHeight="1" x14ac:dyDescent="0.25">
      <c r="A127" s="9"/>
      <c r="B127" s="9"/>
      <c r="C127" s="9"/>
      <c r="D127" s="9"/>
      <c r="E127" s="9"/>
      <c r="F127" s="9"/>
      <c r="G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5.75" customHeight="1" x14ac:dyDescent="0.25">
      <c r="A128" s="9"/>
      <c r="B128" s="9"/>
      <c r="C128" s="9"/>
      <c r="D128" s="9"/>
      <c r="E128" s="9"/>
      <c r="F128" s="9"/>
      <c r="G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5.75" customHeight="1" x14ac:dyDescent="0.25">
      <c r="A129" s="9"/>
      <c r="B129" s="9"/>
      <c r="C129" s="9"/>
      <c r="D129" s="9"/>
      <c r="E129" s="9"/>
      <c r="F129" s="9"/>
      <c r="G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5.75" customHeight="1" x14ac:dyDescent="0.25">
      <c r="A130" s="9"/>
      <c r="B130" s="9"/>
      <c r="C130" s="9"/>
      <c r="D130" s="9"/>
      <c r="E130" s="9"/>
      <c r="F130" s="9"/>
      <c r="G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5.75" customHeight="1" x14ac:dyDescent="0.25">
      <c r="A131" s="9"/>
      <c r="B131" s="9"/>
      <c r="C131" s="9"/>
      <c r="D131" s="9"/>
      <c r="E131" s="9"/>
      <c r="F131" s="9"/>
      <c r="G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5.75" customHeight="1" x14ac:dyDescent="0.25">
      <c r="A132" s="9"/>
      <c r="B132" s="9"/>
      <c r="C132" s="9"/>
      <c r="D132" s="9"/>
      <c r="E132" s="9"/>
      <c r="F132" s="9"/>
      <c r="G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5.75" customHeight="1" x14ac:dyDescent="0.25">
      <c r="A133" s="9"/>
      <c r="B133" s="9"/>
      <c r="C133" s="9"/>
      <c r="D133" s="9"/>
      <c r="E133" s="9"/>
      <c r="F133" s="9"/>
      <c r="G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5.75" customHeight="1" x14ac:dyDescent="0.25">
      <c r="A134" s="9"/>
      <c r="B134" s="9"/>
      <c r="C134" s="9"/>
      <c r="D134" s="9"/>
      <c r="E134" s="9"/>
      <c r="F134" s="9"/>
      <c r="G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5.75" customHeight="1" x14ac:dyDescent="0.25">
      <c r="A135" s="9"/>
      <c r="B135" s="9"/>
      <c r="C135" s="9"/>
      <c r="D135" s="9"/>
      <c r="E135" s="9"/>
      <c r="F135" s="9"/>
      <c r="G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5.75" customHeight="1" x14ac:dyDescent="0.25">
      <c r="A136" s="9"/>
      <c r="B136" s="9"/>
      <c r="C136" s="9"/>
      <c r="D136" s="9"/>
      <c r="E136" s="9"/>
      <c r="F136" s="9"/>
      <c r="G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5.75" customHeight="1" x14ac:dyDescent="0.25">
      <c r="A137" s="9"/>
      <c r="B137" s="9"/>
      <c r="C137" s="9"/>
      <c r="D137" s="9"/>
      <c r="E137" s="9"/>
      <c r="F137" s="9"/>
      <c r="G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5.75" customHeight="1" x14ac:dyDescent="0.25">
      <c r="A138" s="9"/>
      <c r="B138" s="9"/>
      <c r="C138" s="9"/>
      <c r="D138" s="9"/>
      <c r="E138" s="9"/>
      <c r="F138" s="9"/>
      <c r="G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5.75" customHeight="1" x14ac:dyDescent="0.25">
      <c r="A139" s="9"/>
      <c r="B139" s="9"/>
      <c r="C139" s="9"/>
      <c r="D139" s="9"/>
      <c r="E139" s="9"/>
      <c r="F139" s="9"/>
      <c r="G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5.75" customHeight="1" x14ac:dyDescent="0.25">
      <c r="A140" s="9"/>
      <c r="B140" s="9"/>
      <c r="C140" s="9"/>
      <c r="D140" s="9"/>
      <c r="E140" s="9"/>
      <c r="F140" s="9"/>
      <c r="G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5.75" customHeight="1" x14ac:dyDescent="0.25">
      <c r="A141" s="9"/>
      <c r="B141" s="9"/>
      <c r="C141" s="9"/>
      <c r="D141" s="9"/>
      <c r="E141" s="9"/>
      <c r="F141" s="9"/>
      <c r="G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5.75" customHeight="1" x14ac:dyDescent="0.25">
      <c r="A142" s="9"/>
      <c r="B142" s="9"/>
      <c r="C142" s="9"/>
      <c r="D142" s="9"/>
      <c r="E142" s="9"/>
      <c r="F142" s="9"/>
      <c r="G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5.75" customHeight="1" x14ac:dyDescent="0.25">
      <c r="A143" s="9"/>
      <c r="B143" s="9"/>
      <c r="C143" s="9"/>
      <c r="D143" s="9"/>
      <c r="E143" s="9"/>
      <c r="F143" s="9"/>
      <c r="G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5.75" customHeight="1" x14ac:dyDescent="0.25">
      <c r="A144" s="9"/>
      <c r="B144" s="9"/>
      <c r="C144" s="9"/>
      <c r="D144" s="9"/>
      <c r="E144" s="9"/>
      <c r="F144" s="9"/>
      <c r="G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5.75" customHeight="1" x14ac:dyDescent="0.25">
      <c r="A145" s="9"/>
      <c r="B145" s="9"/>
      <c r="C145" s="9"/>
      <c r="D145" s="9"/>
      <c r="E145" s="9"/>
      <c r="F145" s="9"/>
      <c r="G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5.75" customHeight="1" x14ac:dyDescent="0.25">
      <c r="A146" s="9"/>
      <c r="B146" s="9"/>
      <c r="C146" s="9"/>
      <c r="D146" s="9"/>
      <c r="E146" s="9"/>
      <c r="F146" s="9"/>
      <c r="G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5.75" customHeight="1" x14ac:dyDescent="0.25">
      <c r="A147" s="9"/>
      <c r="B147" s="9"/>
      <c r="C147" s="9"/>
      <c r="D147" s="9"/>
      <c r="E147" s="9"/>
      <c r="F147" s="9"/>
      <c r="G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5.75" customHeight="1" x14ac:dyDescent="0.25">
      <c r="A148" s="9"/>
      <c r="B148" s="9"/>
      <c r="C148" s="9"/>
      <c r="D148" s="9"/>
      <c r="E148" s="9"/>
      <c r="F148" s="9"/>
      <c r="G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5.75" customHeight="1" x14ac:dyDescent="0.25">
      <c r="A149" s="9"/>
      <c r="B149" s="9"/>
      <c r="C149" s="9"/>
      <c r="D149" s="9"/>
      <c r="E149" s="9"/>
      <c r="F149" s="9"/>
      <c r="G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5.75" customHeight="1" x14ac:dyDescent="0.25">
      <c r="A150" s="9"/>
      <c r="B150" s="9"/>
      <c r="C150" s="9"/>
      <c r="D150" s="9"/>
      <c r="E150" s="9"/>
      <c r="F150" s="9"/>
      <c r="G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5.75" customHeight="1" x14ac:dyDescent="0.25">
      <c r="A151" s="9"/>
      <c r="B151" s="9"/>
      <c r="C151" s="9"/>
      <c r="D151" s="9"/>
      <c r="E151" s="9"/>
      <c r="F151" s="9"/>
      <c r="G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5.75" customHeight="1" x14ac:dyDescent="0.25">
      <c r="A152" s="9"/>
      <c r="B152" s="9"/>
      <c r="C152" s="9"/>
      <c r="D152" s="9"/>
      <c r="E152" s="9"/>
      <c r="F152" s="9"/>
      <c r="G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5.75" customHeight="1" x14ac:dyDescent="0.25">
      <c r="A153" s="9"/>
      <c r="B153" s="9"/>
      <c r="C153" s="9"/>
      <c r="D153" s="9"/>
      <c r="E153" s="9"/>
      <c r="F153" s="9"/>
      <c r="G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5.75" customHeight="1" x14ac:dyDescent="0.25">
      <c r="A154" s="9"/>
      <c r="B154" s="9"/>
      <c r="C154" s="9"/>
      <c r="D154" s="9"/>
      <c r="E154" s="9"/>
      <c r="F154" s="9"/>
      <c r="G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5.75" customHeight="1" x14ac:dyDescent="0.25">
      <c r="A155" s="9"/>
      <c r="B155" s="9"/>
      <c r="C155" s="9"/>
      <c r="D155" s="9"/>
      <c r="E155" s="9"/>
      <c r="F155" s="9"/>
      <c r="G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5.75" customHeight="1" x14ac:dyDescent="0.25">
      <c r="A156" s="9"/>
      <c r="B156" s="9"/>
      <c r="C156" s="9"/>
      <c r="D156" s="9"/>
      <c r="E156" s="9"/>
      <c r="F156" s="9"/>
      <c r="G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5.75" customHeight="1" x14ac:dyDescent="0.25">
      <c r="A157" s="9"/>
      <c r="B157" s="9"/>
      <c r="C157" s="9"/>
      <c r="D157" s="9"/>
      <c r="E157" s="9"/>
      <c r="F157" s="9"/>
      <c r="G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5.75" customHeight="1" x14ac:dyDescent="0.25">
      <c r="A158" s="9"/>
      <c r="B158" s="9"/>
      <c r="C158" s="9"/>
      <c r="D158" s="9"/>
      <c r="E158" s="9"/>
      <c r="F158" s="9"/>
      <c r="G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5.75" customHeight="1" x14ac:dyDescent="0.25">
      <c r="A159" s="9"/>
      <c r="B159" s="9"/>
      <c r="C159" s="9"/>
      <c r="D159" s="9"/>
      <c r="E159" s="9"/>
      <c r="F159" s="9"/>
      <c r="G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5.75" customHeight="1" x14ac:dyDescent="0.25">
      <c r="A160" s="9"/>
      <c r="B160" s="9"/>
      <c r="C160" s="9"/>
      <c r="D160" s="9"/>
      <c r="E160" s="9"/>
      <c r="F160" s="9"/>
      <c r="G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5.75" customHeight="1" x14ac:dyDescent="0.25">
      <c r="A161" s="9"/>
      <c r="B161" s="9"/>
      <c r="C161" s="9"/>
      <c r="D161" s="9"/>
      <c r="E161" s="9"/>
      <c r="F161" s="9"/>
      <c r="G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5.75" customHeight="1" x14ac:dyDescent="0.25">
      <c r="A162" s="9"/>
      <c r="B162" s="9"/>
      <c r="C162" s="9"/>
      <c r="D162" s="9"/>
      <c r="E162" s="9"/>
      <c r="F162" s="9"/>
      <c r="G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5.75" customHeight="1" x14ac:dyDescent="0.25">
      <c r="A163" s="9"/>
      <c r="B163" s="9"/>
      <c r="C163" s="9"/>
      <c r="D163" s="9"/>
      <c r="E163" s="9"/>
      <c r="F163" s="9"/>
      <c r="G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5.75" customHeight="1" x14ac:dyDescent="0.25">
      <c r="A164" s="9"/>
      <c r="B164" s="9"/>
      <c r="C164" s="9"/>
      <c r="D164" s="9"/>
      <c r="E164" s="9"/>
      <c r="F164" s="9"/>
      <c r="G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5.75" customHeight="1" x14ac:dyDescent="0.25">
      <c r="A165" s="9"/>
      <c r="B165" s="9"/>
      <c r="C165" s="9"/>
      <c r="D165" s="9"/>
      <c r="E165" s="9"/>
      <c r="F165" s="9"/>
      <c r="G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5.75" customHeight="1" x14ac:dyDescent="0.25">
      <c r="A166" s="9"/>
      <c r="B166" s="9"/>
      <c r="C166" s="9"/>
      <c r="D166" s="9"/>
      <c r="E166" s="9"/>
      <c r="F166" s="9"/>
      <c r="G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5.75" customHeight="1" x14ac:dyDescent="0.25">
      <c r="A167" s="9"/>
      <c r="B167" s="9"/>
      <c r="C167" s="9"/>
      <c r="D167" s="9"/>
      <c r="E167" s="9"/>
      <c r="F167" s="9"/>
      <c r="G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5.75" customHeight="1" x14ac:dyDescent="0.25">
      <c r="A168" s="9"/>
      <c r="B168" s="9"/>
      <c r="C168" s="9"/>
      <c r="D168" s="9"/>
      <c r="E168" s="9"/>
      <c r="F168" s="9"/>
      <c r="G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5.75" customHeight="1" x14ac:dyDescent="0.25">
      <c r="A169" s="9"/>
      <c r="B169" s="9"/>
      <c r="C169" s="9"/>
      <c r="D169" s="9"/>
      <c r="E169" s="9"/>
      <c r="F169" s="9"/>
      <c r="G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5.75" customHeight="1" x14ac:dyDescent="0.25">
      <c r="A170" s="9"/>
      <c r="B170" s="9"/>
      <c r="C170" s="9"/>
      <c r="D170" s="9"/>
      <c r="E170" s="9"/>
      <c r="F170" s="9"/>
      <c r="G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5.75" customHeight="1" x14ac:dyDescent="0.25">
      <c r="A171" s="9"/>
      <c r="B171" s="9"/>
      <c r="C171" s="9"/>
      <c r="D171" s="9"/>
      <c r="E171" s="9"/>
      <c r="F171" s="9"/>
      <c r="G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5.75" customHeight="1" x14ac:dyDescent="0.25">
      <c r="A172" s="9"/>
      <c r="B172" s="9"/>
      <c r="C172" s="9"/>
      <c r="D172" s="9"/>
      <c r="E172" s="9"/>
      <c r="F172" s="9"/>
      <c r="G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5.75" customHeight="1" x14ac:dyDescent="0.25">
      <c r="A173" s="9"/>
      <c r="B173" s="9"/>
      <c r="C173" s="9"/>
      <c r="D173" s="9"/>
      <c r="E173" s="9"/>
      <c r="F173" s="9"/>
      <c r="G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5.75" customHeight="1" x14ac:dyDescent="0.25">
      <c r="A174" s="9"/>
      <c r="B174" s="9"/>
      <c r="C174" s="9"/>
      <c r="D174" s="9"/>
      <c r="E174" s="9"/>
      <c r="F174" s="9"/>
      <c r="G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5.75" customHeight="1" x14ac:dyDescent="0.25">
      <c r="A175" s="9"/>
      <c r="B175" s="9"/>
      <c r="C175" s="9"/>
      <c r="D175" s="9"/>
      <c r="E175" s="9"/>
      <c r="F175" s="9"/>
      <c r="G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5.75" customHeight="1" x14ac:dyDescent="0.25">
      <c r="A176" s="9"/>
      <c r="B176" s="9"/>
      <c r="C176" s="9"/>
      <c r="D176" s="9"/>
      <c r="E176" s="9"/>
      <c r="F176" s="9"/>
      <c r="G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5.75" customHeight="1" x14ac:dyDescent="0.25">
      <c r="A177" s="9"/>
      <c r="B177" s="9"/>
      <c r="C177" s="9"/>
      <c r="D177" s="9"/>
      <c r="E177" s="9"/>
      <c r="F177" s="9"/>
      <c r="G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5.75" customHeight="1" x14ac:dyDescent="0.25">
      <c r="A178" s="9"/>
      <c r="B178" s="9"/>
      <c r="C178" s="9"/>
      <c r="D178" s="9"/>
      <c r="E178" s="9"/>
      <c r="F178" s="9"/>
      <c r="G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5.75" customHeight="1" x14ac:dyDescent="0.25">
      <c r="A179" s="9"/>
      <c r="B179" s="9"/>
      <c r="C179" s="9"/>
      <c r="D179" s="9"/>
      <c r="E179" s="9"/>
      <c r="F179" s="9"/>
      <c r="G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5.75" customHeight="1" x14ac:dyDescent="0.25">
      <c r="A180" s="9"/>
      <c r="B180" s="9"/>
      <c r="C180" s="9"/>
      <c r="D180" s="9"/>
      <c r="E180" s="9"/>
      <c r="F180" s="9"/>
      <c r="G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5.75" customHeight="1" x14ac:dyDescent="0.25">
      <c r="A181" s="9"/>
      <c r="B181" s="9"/>
      <c r="C181" s="9"/>
      <c r="D181" s="9"/>
      <c r="E181" s="9"/>
      <c r="F181" s="9"/>
      <c r="G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5.75" customHeight="1" x14ac:dyDescent="0.25">
      <c r="A182" s="9"/>
      <c r="B182" s="9"/>
      <c r="C182" s="9"/>
      <c r="D182" s="9"/>
      <c r="E182" s="9"/>
      <c r="F182" s="9"/>
      <c r="G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5.75" customHeight="1" x14ac:dyDescent="0.25">
      <c r="A183" s="9"/>
      <c r="B183" s="9"/>
      <c r="C183" s="9"/>
      <c r="D183" s="9"/>
      <c r="E183" s="9"/>
      <c r="F183" s="9"/>
      <c r="G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5.75" customHeight="1" x14ac:dyDescent="0.25">
      <c r="A184" s="9"/>
      <c r="B184" s="9"/>
      <c r="C184" s="9"/>
      <c r="D184" s="9"/>
      <c r="E184" s="9"/>
      <c r="F184" s="9"/>
      <c r="G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5.75" customHeight="1" x14ac:dyDescent="0.25">
      <c r="A185" s="9"/>
      <c r="B185" s="9"/>
      <c r="C185" s="9"/>
      <c r="D185" s="9"/>
      <c r="E185" s="9"/>
      <c r="F185" s="9"/>
      <c r="G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5.75" customHeight="1" x14ac:dyDescent="0.25">
      <c r="A186" s="9"/>
      <c r="B186" s="9"/>
      <c r="C186" s="9"/>
      <c r="D186" s="9"/>
      <c r="E186" s="9"/>
      <c r="F186" s="9"/>
      <c r="G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5.75" customHeight="1" x14ac:dyDescent="0.25">
      <c r="A187" s="9"/>
      <c r="B187" s="9"/>
      <c r="C187" s="9"/>
      <c r="D187" s="9"/>
      <c r="E187" s="9"/>
      <c r="F187" s="9"/>
      <c r="G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5.75" customHeight="1" x14ac:dyDescent="0.25">
      <c r="A188" s="9"/>
      <c r="B188" s="9"/>
      <c r="C188" s="9"/>
      <c r="D188" s="9"/>
      <c r="E188" s="9"/>
      <c r="F188" s="9"/>
      <c r="G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5.75" customHeight="1" x14ac:dyDescent="0.25">
      <c r="A189" s="9"/>
      <c r="B189" s="9"/>
      <c r="C189" s="9"/>
      <c r="D189" s="9"/>
      <c r="E189" s="9"/>
      <c r="F189" s="9"/>
      <c r="G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5.75" customHeight="1" x14ac:dyDescent="0.25">
      <c r="A190" s="9"/>
      <c r="B190" s="9"/>
      <c r="C190" s="9"/>
      <c r="D190" s="9"/>
      <c r="E190" s="9"/>
      <c r="F190" s="9"/>
      <c r="G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5.75" customHeight="1" x14ac:dyDescent="0.25">
      <c r="A191" s="9"/>
      <c r="B191" s="9"/>
      <c r="C191" s="9"/>
      <c r="D191" s="9"/>
      <c r="E191" s="9"/>
      <c r="F191" s="9"/>
      <c r="G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5.75" customHeight="1" x14ac:dyDescent="0.25">
      <c r="A192" s="9"/>
      <c r="B192" s="9"/>
      <c r="C192" s="9"/>
      <c r="D192" s="9"/>
      <c r="E192" s="9"/>
      <c r="F192" s="9"/>
      <c r="G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5.75" customHeight="1" x14ac:dyDescent="0.25">
      <c r="A193" s="9"/>
      <c r="B193" s="9"/>
      <c r="C193" s="9"/>
      <c r="D193" s="9"/>
      <c r="E193" s="9"/>
      <c r="F193" s="9"/>
      <c r="G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5.75" customHeight="1" x14ac:dyDescent="0.25">
      <c r="A194" s="9"/>
      <c r="B194" s="9"/>
      <c r="C194" s="9"/>
      <c r="D194" s="9"/>
      <c r="E194" s="9"/>
      <c r="F194" s="9"/>
      <c r="G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5.75" customHeight="1" x14ac:dyDescent="0.25">
      <c r="A195" s="9"/>
      <c r="B195" s="9"/>
      <c r="C195" s="9"/>
      <c r="D195" s="9"/>
      <c r="E195" s="9"/>
      <c r="F195" s="9"/>
      <c r="G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5.75" customHeight="1" x14ac:dyDescent="0.25">
      <c r="A196" s="9"/>
      <c r="B196" s="9"/>
      <c r="C196" s="9"/>
      <c r="D196" s="9"/>
      <c r="E196" s="9"/>
      <c r="F196" s="9"/>
      <c r="G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5.75" customHeight="1" x14ac:dyDescent="0.25">
      <c r="A197" s="9"/>
      <c r="B197" s="9"/>
      <c r="C197" s="9"/>
      <c r="D197" s="9"/>
      <c r="E197" s="9"/>
      <c r="F197" s="9"/>
      <c r="G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5.75" customHeight="1" x14ac:dyDescent="0.25">
      <c r="A198" s="9"/>
      <c r="B198" s="9"/>
      <c r="C198" s="9"/>
      <c r="D198" s="9"/>
      <c r="E198" s="9"/>
      <c r="F198" s="9"/>
      <c r="G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5.75" customHeight="1" x14ac:dyDescent="0.25">
      <c r="A199" s="9"/>
      <c r="B199" s="9"/>
      <c r="C199" s="9"/>
      <c r="D199" s="9"/>
      <c r="E199" s="9"/>
      <c r="F199" s="9"/>
      <c r="G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5.75" customHeight="1" x14ac:dyDescent="0.25">
      <c r="A200" s="9"/>
      <c r="B200" s="9"/>
      <c r="C200" s="9"/>
      <c r="D200" s="9"/>
      <c r="E200" s="9"/>
      <c r="F200" s="9"/>
      <c r="G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5.75" customHeight="1" x14ac:dyDescent="0.25">
      <c r="A201" s="9"/>
      <c r="B201" s="9"/>
      <c r="C201" s="9"/>
      <c r="D201" s="9"/>
      <c r="E201" s="9"/>
      <c r="F201" s="9"/>
      <c r="G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5.75" customHeight="1" x14ac:dyDescent="0.25">
      <c r="A202" s="9"/>
      <c r="B202" s="9"/>
      <c r="C202" s="9"/>
      <c r="D202" s="9"/>
      <c r="E202" s="9"/>
      <c r="F202" s="9"/>
      <c r="G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5.75" customHeight="1" x14ac:dyDescent="0.25">
      <c r="A203" s="9"/>
      <c r="B203" s="9"/>
      <c r="C203" s="9"/>
      <c r="D203" s="9"/>
      <c r="E203" s="9"/>
      <c r="F203" s="9"/>
      <c r="G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5.75" customHeight="1" x14ac:dyDescent="0.25">
      <c r="A204" s="9"/>
      <c r="B204" s="9"/>
      <c r="C204" s="9"/>
      <c r="D204" s="9"/>
      <c r="E204" s="9"/>
      <c r="F204" s="9"/>
      <c r="G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5.75" customHeight="1" x14ac:dyDescent="0.25">
      <c r="A205" s="9"/>
      <c r="B205" s="9"/>
      <c r="C205" s="9"/>
      <c r="D205" s="9"/>
      <c r="E205" s="9"/>
      <c r="F205" s="9"/>
      <c r="G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5.75" customHeight="1" x14ac:dyDescent="0.25">
      <c r="A206" s="9"/>
      <c r="B206" s="9"/>
      <c r="C206" s="9"/>
      <c r="D206" s="9"/>
      <c r="E206" s="9"/>
      <c r="F206" s="9"/>
      <c r="G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5.75" customHeight="1" x14ac:dyDescent="0.25">
      <c r="A207" s="9"/>
      <c r="B207" s="9"/>
      <c r="C207" s="9"/>
      <c r="D207" s="9"/>
      <c r="E207" s="9"/>
      <c r="F207" s="9"/>
      <c r="G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5.75" customHeight="1" x14ac:dyDescent="0.25">
      <c r="A208" s="9"/>
      <c r="B208" s="9"/>
      <c r="C208" s="9"/>
      <c r="D208" s="9"/>
      <c r="E208" s="9"/>
      <c r="F208" s="9"/>
      <c r="G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5.75" customHeight="1" x14ac:dyDescent="0.25">
      <c r="A209" s="9"/>
      <c r="B209" s="9"/>
      <c r="C209" s="9"/>
      <c r="D209" s="9"/>
      <c r="E209" s="9"/>
      <c r="F209" s="9"/>
      <c r="G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5.75" customHeight="1" x14ac:dyDescent="0.25">
      <c r="A210" s="9"/>
      <c r="B210" s="9"/>
      <c r="C210" s="9"/>
      <c r="D210" s="9"/>
      <c r="E210" s="9"/>
      <c r="F210" s="9"/>
      <c r="G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5.75" customHeight="1" x14ac:dyDescent="0.25">
      <c r="A211" s="9"/>
      <c r="B211" s="9"/>
      <c r="C211" s="9"/>
      <c r="D211" s="9"/>
      <c r="E211" s="9"/>
      <c r="F211" s="9"/>
      <c r="G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5.75" customHeight="1" x14ac:dyDescent="0.25">
      <c r="A212" s="9"/>
      <c r="B212" s="9"/>
      <c r="C212" s="9"/>
      <c r="D212" s="9"/>
      <c r="E212" s="9"/>
      <c r="F212" s="9"/>
      <c r="G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5.75" customHeight="1" x14ac:dyDescent="0.25">
      <c r="A213" s="9"/>
      <c r="B213" s="9"/>
      <c r="C213" s="9"/>
      <c r="D213" s="9"/>
      <c r="E213" s="9"/>
      <c r="F213" s="9"/>
      <c r="G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5.75" customHeight="1" x14ac:dyDescent="0.25">
      <c r="A214" s="9"/>
      <c r="B214" s="9"/>
      <c r="C214" s="9"/>
      <c r="D214" s="9"/>
      <c r="E214" s="9"/>
      <c r="F214" s="9"/>
      <c r="G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5.75" customHeight="1" x14ac:dyDescent="0.25">
      <c r="A215" s="9"/>
      <c r="B215" s="9"/>
      <c r="C215" s="9"/>
      <c r="D215" s="9"/>
      <c r="E215" s="9"/>
      <c r="F215" s="9"/>
      <c r="G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5.75" customHeight="1" x14ac:dyDescent="0.25">
      <c r="A216" s="9"/>
      <c r="B216" s="9"/>
      <c r="C216" s="9"/>
      <c r="D216" s="9"/>
      <c r="E216" s="9"/>
      <c r="F216" s="9"/>
      <c r="G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5.75" customHeight="1" x14ac:dyDescent="0.25">
      <c r="A217" s="9"/>
      <c r="B217" s="9"/>
      <c r="C217" s="9"/>
      <c r="D217" s="9"/>
      <c r="E217" s="9"/>
      <c r="F217" s="9"/>
      <c r="G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5.75" customHeight="1" x14ac:dyDescent="0.25">
      <c r="A218" s="9"/>
      <c r="B218" s="9"/>
      <c r="C218" s="9"/>
      <c r="D218" s="9"/>
      <c r="E218" s="9"/>
      <c r="F218" s="9"/>
      <c r="G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5.75" customHeight="1" x14ac:dyDescent="0.25">
      <c r="A219" s="9"/>
      <c r="B219" s="9"/>
      <c r="C219" s="9"/>
      <c r="D219" s="9"/>
      <c r="E219" s="9"/>
      <c r="F219" s="9"/>
      <c r="G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5.75" customHeight="1" x14ac:dyDescent="0.25">
      <c r="A220" s="9"/>
      <c r="B220" s="9"/>
      <c r="C220" s="9"/>
      <c r="D220" s="9"/>
      <c r="E220" s="9"/>
      <c r="F220" s="9"/>
      <c r="G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5.75" customHeight="1" x14ac:dyDescent="0.2"/>
    <row r="222" spans="1:27" ht="15.75" customHeight="1" x14ac:dyDescent="0.2"/>
    <row r="223" spans="1:27" ht="15.75" customHeight="1" x14ac:dyDescent="0.2"/>
    <row r="224" spans="1:27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00"/>
  <sheetViews>
    <sheetView workbookViewId="0"/>
  </sheetViews>
  <sheetFormatPr baseColWidth="10" defaultColWidth="14.42578125" defaultRowHeight="15" customHeight="1" x14ac:dyDescent="0.2"/>
  <cols>
    <col min="1" max="6" width="14.42578125" customWidth="1"/>
  </cols>
  <sheetData>
    <row r="1" spans="1:23" ht="15.75" customHeight="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64" t="s">
        <v>51</v>
      </c>
      <c r="C4" s="65"/>
      <c r="D4" s="6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/>
      <c r="B5" s="16" t="s">
        <v>52</v>
      </c>
      <c r="C5" s="17"/>
      <c r="D5" s="1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/>
      <c r="B6" s="16" t="s">
        <v>53</v>
      </c>
      <c r="C6" s="17"/>
      <c r="D6" s="1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/>
      <c r="B7" s="16">
        <v>28805</v>
      </c>
      <c r="C7" s="17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/>
      <c r="B8" s="16" t="s">
        <v>54</v>
      </c>
      <c r="C8" s="17"/>
      <c r="D8" s="1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/>
      <c r="B9" s="16" t="s">
        <v>55</v>
      </c>
      <c r="C9" s="17"/>
      <c r="D9" s="1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6"/>
      <c r="C10" s="17"/>
      <c r="D10" s="1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/>
      <c r="B11" s="18" t="s">
        <v>56</v>
      </c>
      <c r="C11" s="19" t="s">
        <v>57</v>
      </c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/>
      <c r="B12" s="18" t="s">
        <v>58</v>
      </c>
      <c r="C12" s="17" t="s">
        <v>59</v>
      </c>
      <c r="D12" s="1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5.7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5.7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5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5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5.7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5.7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5.7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5.7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5.7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5.7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5.7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5.7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5.75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5.75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5.7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5.7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5.75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5.75" customHeigh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5.75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5.75" customHeigh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5.7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5.7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5.7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5.7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5.7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5.7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5.7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5.7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5.7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5.7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5.7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5.7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5.7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5.7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5.7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5.7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5.7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5.7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5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5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5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5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5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5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5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5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5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5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5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5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5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5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5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5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5.7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5.7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5.7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5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5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5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5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5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5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5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5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5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5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5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5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5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5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5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5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5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5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5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5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5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5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5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5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5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5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5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5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5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5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5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5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5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5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5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5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5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5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5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5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5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5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5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5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5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5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5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5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5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5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5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5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5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5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5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5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5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5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5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5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5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5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5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5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5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5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5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5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5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5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5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5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5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5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5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5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5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5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5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5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5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5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5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5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5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5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5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5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5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5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5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5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5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5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5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5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5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5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5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5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5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5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5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5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5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5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5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5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5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5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5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5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5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5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5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5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5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5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5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5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5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5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5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5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5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5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5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5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5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5.75" customHeight="1" x14ac:dyDescent="0.2"/>
    <row r="222" spans="1:23" ht="15.75" customHeight="1" x14ac:dyDescent="0.2"/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4:D4"/>
  </mergeCells>
  <hyperlinks>
    <hyperlink ref="C11" r:id="rId1" xr:uid="{00000000-0004-0000-02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PANELs</vt:lpstr>
      <vt:lpstr>CPU BOM</vt:lpstr>
      <vt:lpstr>DCDC_BOM</vt:lpstr>
      <vt:lpstr>DISPLAY BOM</vt:lpstr>
      <vt:lpstr>INPUT BOM</vt:lpstr>
      <vt:lpstr>PUSHBUTTON</vt:lpstr>
      <vt:lpstr>History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</cp:lastModifiedBy>
  <cp:lastPrinted>2021-03-18T08:23:32Z</cp:lastPrinted>
  <dcterms:created xsi:type="dcterms:W3CDTF">2020-10-05T11:33:24Z</dcterms:created>
  <dcterms:modified xsi:type="dcterms:W3CDTF">2021-04-06T12:32:44Z</dcterms:modified>
</cp:coreProperties>
</file>