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oneill75_msu_edu/Documents/"/>
    </mc:Choice>
  </mc:AlternateContent>
  <xr:revisionPtr revIDLastSave="419" documentId="8_{72786636-73BC-4173-BEA8-8B44374AEF81}" xr6:coauthVersionLast="47" xr6:coauthVersionMax="47" xr10:uidLastSave="{6068A525-B019-4F93-BA9E-03584087AC09}"/>
  <bookViews>
    <workbookView xWindow="25695" yWindow="0" windowWidth="26010" windowHeight="20985" firstSheet="2" activeTab="6" xr2:uid="{00000000-000D-0000-FFFF-FFFF00000000}"/>
  </bookViews>
  <sheets>
    <sheet name="Crowdfunding" sheetId="1" r:id="rId1"/>
    <sheet name="Category Pivot Table " sheetId="2" r:id="rId2"/>
    <sheet name="Sub-Category Pivot Table" sheetId="3" r:id="rId3"/>
    <sheet name="Parent Category Pivot Table" sheetId="5" r:id="rId4"/>
    <sheet name="Analysis" sheetId="6" r:id="rId5"/>
    <sheet name="Crowdfunding Goal Analysis" sheetId="7" r:id="rId6"/>
    <sheet name="Statistical Analysis" sheetId="8" r:id="rId7"/>
  </sheets>
  <definedNames>
    <definedName name="_xlnm._FilterDatabase" localSheetId="0" hidden="1">Crowdfunding!$A$1:$T$1001</definedName>
  </definedNames>
  <calcPr calcId="191029"/>
  <pivotCaches>
    <pivotCache cacheId="0" r:id="rId8"/>
    <pivotCache cacheId="1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8" l="1"/>
  <c r="K6" i="8"/>
  <c r="K5" i="8"/>
  <c r="K4" i="8"/>
  <c r="K3" i="8"/>
  <c r="K2" i="8"/>
  <c r="H7" i="8"/>
  <c r="H6" i="8"/>
  <c r="H5" i="8"/>
  <c r="H4" i="8"/>
  <c r="H3" i="8"/>
  <c r="H2" i="8"/>
  <c r="D13" i="7"/>
  <c r="D12" i="7"/>
  <c r="D11" i="7"/>
  <c r="D10" i="7"/>
  <c r="D9" i="7"/>
  <c r="D8" i="7"/>
  <c r="D7" i="7"/>
  <c r="D6" i="7"/>
  <c r="C6" i="7"/>
  <c r="D5" i="7"/>
  <c r="C5" i="7"/>
  <c r="D4" i="7"/>
  <c r="D3" i="7"/>
  <c r="D2" i="7"/>
  <c r="C13" i="7"/>
  <c r="C12" i="7"/>
  <c r="C11" i="7"/>
  <c r="B11" i="7"/>
  <c r="C10" i="7"/>
  <c r="C9" i="7"/>
  <c r="C8" i="7"/>
  <c r="C7" i="7"/>
  <c r="B6" i="7"/>
  <c r="C4" i="7"/>
  <c r="C3" i="7"/>
  <c r="C2" i="7"/>
  <c r="B13" i="7"/>
  <c r="B12" i="7"/>
  <c r="B10" i="7"/>
  <c r="B9" i="7"/>
  <c r="B8" i="7"/>
  <c r="E8" i="7" s="1"/>
  <c r="B7" i="7"/>
  <c r="B5" i="7"/>
  <c r="B4" i="7"/>
  <c r="B3" i="7"/>
  <c r="E3" i="7" s="1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7" l="1"/>
  <c r="E10" i="7"/>
  <c r="H10" i="7" s="1"/>
  <c r="E6" i="7"/>
  <c r="F6" i="7" s="1"/>
  <c r="E7" i="7"/>
  <c r="E13" i="7"/>
  <c r="F13" i="7" s="1"/>
  <c r="E9" i="7"/>
  <c r="G9" i="7" s="1"/>
  <c r="H3" i="7"/>
  <c r="H4" i="7"/>
  <c r="G3" i="7"/>
  <c r="G4" i="7"/>
  <c r="H7" i="7"/>
  <c r="E5" i="7"/>
  <c r="H5" i="7" s="1"/>
  <c r="G6" i="7"/>
  <c r="H6" i="7"/>
  <c r="G7" i="7"/>
  <c r="H8" i="7"/>
  <c r="G8" i="7"/>
  <c r="E2" i="7"/>
  <c r="H2" i="7" s="1"/>
  <c r="E12" i="7"/>
  <c r="G12" i="7" s="1"/>
  <c r="F8" i="7"/>
  <c r="E11" i="7"/>
  <c r="G11" i="7" s="1"/>
  <c r="F7" i="7"/>
  <c r="F4" i="7"/>
  <c r="F3" i="7"/>
  <c r="G5" i="7" l="1"/>
  <c r="F5" i="7"/>
  <c r="F10" i="7"/>
  <c r="G10" i="7"/>
  <c r="F12" i="7"/>
  <c r="H13" i="7"/>
  <c r="H11" i="7"/>
  <c r="G13" i="7"/>
  <c r="F9" i="7"/>
  <c r="F11" i="7"/>
  <c r="H9" i="7"/>
  <c r="F2" i="7"/>
  <c r="G2" i="7"/>
  <c r="H12" i="7"/>
</calcChain>
</file>

<file path=xl/sharedStrings.xml><?xml version="1.0" encoding="utf-8"?>
<sst xmlns="http://schemas.openxmlformats.org/spreadsheetml/2006/main" count="7073" uniqueCount="2117">
  <si>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</si>
  <si>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</si>
  <si>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</si>
  <si>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</si>
  <si>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</si>
  <si>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</si>
  <si>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</si>
  <si>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</si>
  <si>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</si>
  <si>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</si>
  <si>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</si>
  <si>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</si>
  <si>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</si>
  <si>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</si>
  <si>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</si>
  <si>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</si>
  <si>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</si>
  <si>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</si>
  <si>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</si>
  <si>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</si>
  <si>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</si>
  <si>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</si>
  <si>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</si>
  <si>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</si>
  <si>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</si>
  <si>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</si>
  <si>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</si>
  <si>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</si>
  <si>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</si>
  <si>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</si>
  <si>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</si>
  <si>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</si>
  <si>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</si>
  <si>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</si>
  <si>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</si>
  <si>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</si>
  <si>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</si>
  <si>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</si>
  <si>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</si>
  <si>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</si>
  <si>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</si>
  <si>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</si>
  <si>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</si>
  <si>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</si>
  <si>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</si>
  <si>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</si>
  <si>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</si>
  <si>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</si>
  <si>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</si>
  <si>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</si>
  <si>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</si>
  <si>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</si>
  <si>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</si>
  <si>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</si>
  <si>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</si>
  <si>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</si>
  <si>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</si>
  <si>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</si>
  <si>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</si>
  <si>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</si>
  <si>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</si>
  <si>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</si>
  <si>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</si>
  <si>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</si>
  <si>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</si>
  <si>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</si>
  <si>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</si>
  <si>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</si>
  <si>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</si>
  <si>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</si>
  <si>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</si>
  <si>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</si>
  <si>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</si>
  <si>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</si>
  <si>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</si>
  <si>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</si>
  <si>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</si>
  <si>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</si>
  <si>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</si>
  <si>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</si>
  <si>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</si>
  <si>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</si>
  <si>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</si>
  <si>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</si>
  <si>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</si>
  <si>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</si>
  <si>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</si>
  <si>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</si>
  <si>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</si>
  <si>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</si>
  <si>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</si>
  <si>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</si>
  <si>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</si>
  <si>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</si>
  <si>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</si>
  <si>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</si>
  <si>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</si>
  <si>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</si>
  <si>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</si>
  <si>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</si>
  <si>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</si>
  <si>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</si>
  <si>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</si>
  <si>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</si>
  <si>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</si>
  <si>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</si>
  <si>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</si>
  <si>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</si>
  <si>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</si>
  <si>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</si>
  <si>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</si>
  <si>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</si>
  <si>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</si>
  <si>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</si>
  <si>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</si>
  <si>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</si>
  <si>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</si>
  <si>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</si>
  <si>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</si>
  <si>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</si>
  <si>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</si>
  <si>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</si>
  <si>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</si>
  <si>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</si>
  <si>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</si>
  <si>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</si>
  <si>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</si>
  <si>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</si>
  <si>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</si>
  <si>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</si>
  <si>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</si>
  <si>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</si>
  <si>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</si>
  <si>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</si>
  <si>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</si>
  <si>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</si>
  <si>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</si>
  <si>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</si>
  <si>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</si>
  <si>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</si>
  <si>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</si>
  <si>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</si>
  <si>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</si>
  <si>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</si>
  <si>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</si>
  <si>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</si>
  <si>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</si>
  <si>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</si>
  <si>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</si>
  <si>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</si>
  <si>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</si>
  <si>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</si>
  <si>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</si>
  <si>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</si>
  <si>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</si>
  <si>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</si>
  <si>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</si>
  <si>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</si>
  <si>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</si>
  <si>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</si>
  <si>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</si>
  <si>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</si>
  <si>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</si>
  <si>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</si>
  <si>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</si>
  <si>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</si>
  <si>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</si>
  <si>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</si>
  <si>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</si>
  <si>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</si>
  <si>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</si>
  <si>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</si>
  <si>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</si>
  <si>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</si>
  <si>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</si>
  <si>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</si>
  <si>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</si>
  <si>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</si>
  <si>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</si>
  <si>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</si>
  <si>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</si>
  <si>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</si>
  <si>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</si>
  <si>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</si>
  <si>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</si>
  <si>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</si>
  <si>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</si>
  <si>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</si>
  <si>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</si>
  <si>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</si>
  <si>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</si>
  <si>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</si>
  <si>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</si>
  <si>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</si>
  <si>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</si>
  <si>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</si>
  <si>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</si>
  <si>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</si>
  <si>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</si>
  <si>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</si>
  <si>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</si>
  <si>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</si>
  <si>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</si>
  <si>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</si>
  <si>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</si>
  <si>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</si>
  <si>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</si>
  <si>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</si>
  <si>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</si>
  <si>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</si>
  <si>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</si>
  <si>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</si>
  <si>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</si>
  <si>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</si>
  <si>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</si>
  <si>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</si>
  <si>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</si>
  <si>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</si>
  <si>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</si>
  <si>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</si>
  <si>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</si>
  <si>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</si>
  <si>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</si>
  <si>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</si>
  <si>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</si>
  <si>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</si>
  <si>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</si>
  <si>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</si>
  <si>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</si>
  <si>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</si>
  <si>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</si>
  <si>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</si>
  <si>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</si>
  <si>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</si>
  <si>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</si>
  <si>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</si>
  <si>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</si>
  <si>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</si>
  <si>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</si>
  <si>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</si>
  <si>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</si>
  <si>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</si>
  <si>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</si>
  <si>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</si>
  <si>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</si>
  <si>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</si>
  <si>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</si>
  <si>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</si>
  <si>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</si>
  <si>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</si>
  <si>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</si>
  <si>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</si>
  <si>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</si>
  <si>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</si>
  <si>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</si>
  <si>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</si>
  <si>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</si>
  <si>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</si>
  <si>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</si>
  <si>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</si>
  <si>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</si>
  <si>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</si>
  <si>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</si>
  <si>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</si>
  <si>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</si>
  <si>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</si>
  <si>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</si>
  <si>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</si>
  <si>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</si>
  <si>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</si>
  <si>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</si>
  <si>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</si>
  <si>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</si>
  <si>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</si>
  <si>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</si>
  <si>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</si>
  <si>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</si>
  <si>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</si>
  <si>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</si>
  <si>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</si>
  <si>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</si>
  <si>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</si>
  <si>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</si>
  <si>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</si>
  <si>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</si>
  <si>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</si>
  <si>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</si>
  <si>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</si>
  <si>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</si>
  <si>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</si>
  <si>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</si>
  <si>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</si>
  <si>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</si>
  <si>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</si>
  <si>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</si>
  <si>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</si>
  <si>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</si>
  <si>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</si>
  <si>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</si>
  <si>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</si>
  <si>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</si>
  <si>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</si>
  <si>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</si>
  <si>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</si>
  <si>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</si>
  <si>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</si>
  <si>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</si>
  <si>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</si>
  <si>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</si>
  <si>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</si>
  <si>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</si>
  <si>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</si>
  <si>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</si>
  <si>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</si>
  <si>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</si>
  <si>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</si>
  <si>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</si>
  <si>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</si>
  <si>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</si>
  <si>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</si>
  <si>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</si>
  <si>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</si>
  <si>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</si>
  <si>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</si>
  <si>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</si>
  <si>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</si>
  <si>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</si>
  <si>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</si>
  <si>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</si>
  <si>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</si>
  <si>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</si>
  <si>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</si>
  <si>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</si>
  <si>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</si>
  <si>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</si>
  <si>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</si>
  <si>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</si>
  <si>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</si>
  <si>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</si>
  <si>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</si>
  <si>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</si>
  <si>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</si>
  <si>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</si>
  <si>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</si>
  <si>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</si>
  <si>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</si>
  <si>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</si>
  <si>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</si>
  <si>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</si>
  <si>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</si>
  <si>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</si>
  <si>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</si>
  <si>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</si>
  <si>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</si>
  <si>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</si>
  <si>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</si>
  <si>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</si>
  <si>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</si>
  <si>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</si>
  <si>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</si>
  <si>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</si>
  <si>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</si>
  <si>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</si>
  <si>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</si>
  <si>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</si>
  <si>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</si>
  <si>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</si>
  <si>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</si>
  <si>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</si>
  <si>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</si>
  <si>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</si>
  <si>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</si>
  <si>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</si>
  <si>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</si>
  <si>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</si>
  <si>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</si>
  <si>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</si>
  <si>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</si>
  <si>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</si>
  <si>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</si>
  <si>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</si>
  <si>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</si>
  <si>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</si>
  <si>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</si>
  <si>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</si>
  <si>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</si>
  <si>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</si>
  <si>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</si>
  <si>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</si>
  <si>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</si>
  <si>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</si>
  <si>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</si>
  <si>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</si>
  <si>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</si>
  <si>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</si>
  <si>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</si>
  <si>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</si>
  <si>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</si>
  <si>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</si>
  <si>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</si>
  <si>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</si>
  <si>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</si>
  <si>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</si>
  <si>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</si>
  <si>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</si>
  <si>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</si>
  <si>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</si>
  <si>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</si>
  <si>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</si>
  <si>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</si>
  <si>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</si>
  <si>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</si>
  <si>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</si>
  <si>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</si>
  <si>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</si>
  <si>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</si>
  <si>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</si>
  <si>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</si>
  <si>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</si>
  <si>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</si>
  <si>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</si>
  <si>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</si>
  <si>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</si>
  <si>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</si>
  <si>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</si>
  <si>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</si>
  <si>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</si>
  <si>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</si>
  <si>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</si>
  <si>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</si>
  <si>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</si>
  <si>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</si>
  <si>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</si>
  <si>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</si>
  <si>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</si>
  <si>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</si>
  <si>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</si>
  <si>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</si>
  <si>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</si>
  <si>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</si>
  <si>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</si>
  <si>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</si>
  <si>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</si>
  <si>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</si>
  <si>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</si>
  <si>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</si>
  <si>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</si>
  <si>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</si>
  <si>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</si>
  <si>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</si>
  <si>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</si>
  <si>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</si>
  <si>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</si>
  <si>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</si>
  <si>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</si>
  <si>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</si>
  <si>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</si>
  <si>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</si>
  <si>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</si>
  <si>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</si>
  <si>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</si>
  <si>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</si>
  <si>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</si>
  <si>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</si>
  <si>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</si>
  <si>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</si>
  <si>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</si>
  <si>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</si>
  <si>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</si>
  <si>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</si>
  <si>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</si>
  <si>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</si>
  <si>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</si>
  <si>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</si>
  <si>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</si>
  <si>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</si>
  <si>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</si>
  <si>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</si>
  <si>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</si>
  <si>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</si>
  <si>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</si>
  <si>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</si>
  <si>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</si>
  <si>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</si>
  <si>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</si>
  <si>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</si>
  <si>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</si>
  <si>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</si>
  <si>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</si>
  <si>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</si>
  <si>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</si>
  <si>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</si>
  <si>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</si>
  <si>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</si>
  <si>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</si>
  <si>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</si>
  <si>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</si>
  <si>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</si>
  <si>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</si>
  <si>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</si>
  <si>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</si>
  <si>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</si>
  <si>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</si>
  <si>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</si>
  <si>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</si>
  <si>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</si>
  <si>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</si>
  <si>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</si>
  <si>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</si>
  <si>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</si>
  <si>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</si>
  <si>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</si>
  <si>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</si>
  <si>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</si>
  <si>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</si>
  <si>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</si>
  <si>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</si>
  <si>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</si>
  <si>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</si>
  <si>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</si>
  <si>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</si>
  <si>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</si>
  <si>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</si>
  <si>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</si>
  <si>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</si>
  <si>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</si>
  <si>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</si>
  <si>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</si>
  <si>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</si>
  <si>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</si>
  <si>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</si>
  <si>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</si>
  <si>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</si>
  <si>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</si>
  <si>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</si>
  <si>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</si>
  <si>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</si>
  <si>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</si>
  <si>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</si>
  <si>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</si>
  <si>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</si>
  <si>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</si>
  <si>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</si>
  <si>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</si>
  <si>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</si>
  <si>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</si>
  <si>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</si>
  <si>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</si>
  <si>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</si>
  <si>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</si>
  <si>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</si>
  <si>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</si>
  <si>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</si>
  <si>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</si>
  <si>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</si>
  <si>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</si>
  <si>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</si>
  <si>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</si>
  <si>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</si>
  <si>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</si>
  <si>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</si>
  <si>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</si>
  <si>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</si>
  <si>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</si>
  <si>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</si>
  <si>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</si>
  <si>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</si>
  <si>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</si>
  <si>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</si>
  <si>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</si>
  <si>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</si>
  <si>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</si>
  <si>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</si>
  <si>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</si>
  <si>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</si>
  <si>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</si>
  <si>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</si>
  <si>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</si>
  <si>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</si>
  <si>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</si>
  <si>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</si>
  <si>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</si>
  <si>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</si>
  <si>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</si>
  <si>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</si>
  <si>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</si>
  <si>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</si>
  <si>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</si>
  <si>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</si>
  <si>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</si>
  <si>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</si>
  <si>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</si>
  <si>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</si>
  <si>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</si>
  <si>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</si>
  <si>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</si>
  <si>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</si>
  <si>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</si>
  <si>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</si>
  <si>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</si>
  <si>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</si>
  <si>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</si>
  <si>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</si>
  <si>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</si>
  <si>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</si>
  <si>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</si>
  <si>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</si>
  <si>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</si>
  <si>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</si>
  <si>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</si>
  <si>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</si>
  <si>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</si>
  <si>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</si>
  <si>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</si>
  <si>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</si>
  <si>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</si>
  <si>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</si>
  <si>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</si>
  <si>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</si>
  <si>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</si>
  <si>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</si>
  <si>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</si>
  <si>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</si>
  <si>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</si>
  <si>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</si>
  <si>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</si>
  <si>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</si>
  <si>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</si>
  <si>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</si>
  <si>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</si>
  <si>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</si>
  <si>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</si>
  <si>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</si>
  <si>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</si>
  <si>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</si>
  <si>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</si>
  <si>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</si>
  <si>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</si>
  <si>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</si>
  <si>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</si>
  <si>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</si>
  <si>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</si>
  <si>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</si>
  <si>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</si>
  <si>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</si>
  <si>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</si>
  <si>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</si>
  <si>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</si>
  <si>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</si>
  <si>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</si>
  <si>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</si>
  <si>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</si>
  <si>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</si>
  <si>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</si>
  <si>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</si>
  <si>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</si>
  <si>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</si>
  <si>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</si>
  <si>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</si>
  <si>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</si>
  <si>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</si>
  <si>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</si>
  <si>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</si>
  <si>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</si>
  <si>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</si>
  <si>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</si>
  <si>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</si>
  <si>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</si>
  <si>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</si>
  <si>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</si>
  <si>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</si>
  <si>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</si>
  <si>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</si>
  <si>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</si>
  <si>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</si>
  <si>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</si>
  <si>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</si>
  <si>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</si>
  <si>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</si>
  <si>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</si>
  <si>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</si>
  <si>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</si>
  <si>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</si>
  <si>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</si>
  <si>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</si>
  <si>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</si>
  <si>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</si>
  <si>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</si>
  <si>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</si>
  <si>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</si>
  <si>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</si>
  <si>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</si>
  <si>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</si>
  <si>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</si>
  <si>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</si>
  <si>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</si>
  <si>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</si>
  <si>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</si>
  <si>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</si>
  <si>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</si>
  <si>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</si>
  <si>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</si>
  <si>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</si>
  <si>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</si>
  <si>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</si>
  <si>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</si>
  <si>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</si>
  <si>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</si>
  <si>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</si>
  <si>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</si>
  <si>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</si>
  <si>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</si>
  <si>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</si>
  <si>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</si>
  <si>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</si>
  <si>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</si>
  <si>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</si>
  <si>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</si>
  <si>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</si>
  <si>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</si>
  <si>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</si>
  <si>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</si>
  <si>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</si>
  <si>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</si>
  <si>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</si>
  <si>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</si>
  <si>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</si>
  <si>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</si>
  <si>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</si>
  <si>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</si>
  <si>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</si>
  <si>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</si>
  <si>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</si>
  <si>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</si>
  <si>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</si>
  <si>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</si>
  <si>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</si>
  <si>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</si>
  <si>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</si>
  <si>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</si>
  <si>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</si>
  <si>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</si>
  <si>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</si>
  <si>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</si>
  <si>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</si>
  <si>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</si>
  <si>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</si>
  <si>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</si>
  <si>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</si>
  <si>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</si>
  <si>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</si>
  <si>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</si>
  <si>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</si>
  <si>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</si>
  <si>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</si>
  <si>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</si>
  <si>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</si>
  <si>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</si>
  <si>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</si>
  <si>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</si>
  <si>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</si>
  <si>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</si>
  <si>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</si>
  <si>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</si>
  <si>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</si>
  <si>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</si>
  <si>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</si>
  <si>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</si>
  <si>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</si>
  <si>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</si>
  <si>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</si>
  <si>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</si>
  <si>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</si>
  <si>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</si>
  <si>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</si>
  <si>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</si>
  <si>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</si>
  <si>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</si>
  <si>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</si>
  <si>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</si>
  <si>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</si>
  <si>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</si>
  <si>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</si>
  <si>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</si>
  <si>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</si>
  <si>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</si>
  <si>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</si>
  <si>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</si>
  <si>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</si>
  <si>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</si>
  <si>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</si>
  <si>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</si>
  <si>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</si>
  <si>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</si>
  <si>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</si>
  <si>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</si>
  <si>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</si>
  <si>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</si>
  <si>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</si>
  <si>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</si>
  <si>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</si>
  <si>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</si>
  <si>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</si>
  <si>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</si>
  <si>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</si>
  <si>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</si>
  <si>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</si>
  <si>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</si>
  <si>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</si>
  <si>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</si>
  <si>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</si>
  <si>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</si>
  <si>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</si>
  <si>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</si>
  <si>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</si>
  <si>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</si>
  <si>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</si>
  <si>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</si>
  <si>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</si>
  <si>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</si>
  <si>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</si>
  <si>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</si>
  <si>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</si>
  <si>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</si>
  <si>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</si>
  <si>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</si>
  <si>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</si>
  <si>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</si>
  <si>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</si>
  <si>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</si>
  <si>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</si>
  <si>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</si>
  <si>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</si>
  <si>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</si>
  <si>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</si>
  <si>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</si>
  <si>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</si>
  <si>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</si>
  <si>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</si>
  <si>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</si>
  <si>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</si>
  <si>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</si>
  <si>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</si>
  <si>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</si>
  <si>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</si>
  <si>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</si>
  <si>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</si>
  <si>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</si>
  <si>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</si>
  <si>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</si>
  <si>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</si>
  <si>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</si>
  <si>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</si>
  <si>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</si>
  <si>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</si>
  <si>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</si>
  <si>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</si>
  <si>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</si>
  <si>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</si>
  <si>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</si>
  <si>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</si>
  <si>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</si>
  <si>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</si>
  <si>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</si>
  <si>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</si>
  <si>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</si>
  <si>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</si>
  <si>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</si>
  <si>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</si>
  <si>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</si>
  <si>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</si>
  <si>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</si>
  <si>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</si>
  <si>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</si>
  <si>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</si>
  <si>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</si>
  <si>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</si>
  <si>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</si>
  <si>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</si>
  <si>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</si>
  <si>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</si>
  <si>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</si>
  <si>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</si>
  <si>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</si>
  <si>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</si>
  <si>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</si>
  <si>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</si>
  <si>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</si>
  <si>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</si>
  <si>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</si>
  <si>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</si>
  <si>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</si>
  <si>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</si>
  <si>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</si>
  <si>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</si>
  <si>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</si>
  <si>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</si>
  <si>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</si>
  <si>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</si>
  <si>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</si>
  <si>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</si>
  <si>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</si>
  <si>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</si>
  <si>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</si>
  <si>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</si>
  <si>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</si>
  <si>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</si>
  <si>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</si>
  <si>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</si>
  <si>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</si>
  <si>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</si>
  <si>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</si>
  <si>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</si>
  <si>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</si>
  <si>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</si>
  <si>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</si>
  <si>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</si>
  <si>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</si>
  <si>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</si>
  <si>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</si>
  <si>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</si>
  <si>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</si>
  <si>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</si>
  <si>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</si>
  <si>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</si>
  <si>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</si>
  <si>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</si>
  <si>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</si>
  <si>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</si>
  <si>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</si>
  <si>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</si>
  <si>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</si>
  <si>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</si>
  <si>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</si>
  <si>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</si>
  <si>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</si>
  <si>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</si>
  <si>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</si>
  <si>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</si>
  <si>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</si>
  <si>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</si>
  <si>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</si>
  <si>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</si>
  <si>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</si>
  <si>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</si>
  <si>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</si>
  <si>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</si>
  <si>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</si>
  <si>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</si>
  <si>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</si>
  <si>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</si>
  <si>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</si>
  <si>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</si>
  <si>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</si>
  <si>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</si>
  <si>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</si>
  <si>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</si>
  <si>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</si>
  <si>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</si>
  <si>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</si>
  <si>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</si>
  <si>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</si>
  <si>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</si>
  <si>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</si>
  <si>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</si>
  <si>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</si>
  <si>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</si>
  <si>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</si>
  <si>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</si>
  <si>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</si>
  <si>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</si>
  <si>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</si>
  <si>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</si>
  <si>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</si>
  <si>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</si>
  <si>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</si>
  <si>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</si>
  <si>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</si>
  <si>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</si>
  <si>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</si>
  <si>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</si>
  <si>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</si>
  <si>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</si>
  <si>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</si>
  <si>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</si>
  <si>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</si>
  <si>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</si>
  <si>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</si>
  <si>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</si>
  <si>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</si>
  <si>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</si>
  <si>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</si>
  <si>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</si>
  <si>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</si>
  <si>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</si>
  <si>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</si>
  <si>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</si>
  <si>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</si>
  <si>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</si>
  <si>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</si>
  <si>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</si>
  <si>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</si>
  <si>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</si>
  <si>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</si>
  <si>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</si>
  <si>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</si>
  <si>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</si>
  <si>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</si>
  <si>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</si>
  <si>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</si>
  <si>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</si>
  <si>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</si>
  <si>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</si>
  <si>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</si>
  <si>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</si>
  <si>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</si>
  <si>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</si>
  <si>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</si>
  <si>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</si>
  <si>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</si>
  <si>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</si>
  <si>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</si>
  <si>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</si>
  <si>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</si>
  <si>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</si>
  <si>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</si>
  <si>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</si>
  <si>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</si>
  <si>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</si>
  <si>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</si>
  <si>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</si>
  <si>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</si>
  <si>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</si>
  <si>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</si>
  <si>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</si>
  <si>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</si>
  <si>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</si>
  <si>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</si>
  <si>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</si>
  <si>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</si>
  <si>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</si>
  <si>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</si>
  <si>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</si>
  <si>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</si>
  <si>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</si>
  <si>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</si>
  <si>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</si>
  <si>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</si>
  <si>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</si>
  <si>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</si>
  <si>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</si>
  <si>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</si>
  <si>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</si>
  <si>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</si>
  <si>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</si>
  <si>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</si>
  <si>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</si>
  <si>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</si>
  <si>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</si>
  <si>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</si>
  <si>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</si>
  <si>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</si>
  <si>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</si>
  <si>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</si>
  <si>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</si>
  <si>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</si>
  <si>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</si>
  <si>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</si>
  <si>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</si>
  <si>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</si>
  <si>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</si>
  <si>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</si>
  <si>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</si>
  <si>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</si>
  <si>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</si>
  <si>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</si>
  <si>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</si>
  <si>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</si>
  <si>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</si>
  <si>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</si>
  <si>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</si>
  <si>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</si>
  <si>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</si>
  <si>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</si>
  <si>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</si>
  <si>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</si>
  <si>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</si>
  <si>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</si>
  <si>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</si>
  <si>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</si>
  <si>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</si>
  <si>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</si>
  <si>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</si>
  <si>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</si>
  <si>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</si>
  <si>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</si>
  <si>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</si>
  <si>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</si>
  <si>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</si>
  <si>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</si>
  <si>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</si>
  <si>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</si>
  <si>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</si>
  <si>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</si>
  <si>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</si>
  <si>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</si>
  <si>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</si>
  <si>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</si>
  <si>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</si>
  <si>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</si>
  <si>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</si>
  <si>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</si>
  <si>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</si>
  <si>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</si>
  <si>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</si>
  <si>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</si>
  <si>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</si>
  <si>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</si>
  <si>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</si>
  <si>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</si>
  <si>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</si>
  <si>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</si>
  <si>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</si>
  <si>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</si>
  <si>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</si>
  <si>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</si>
  <si>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</si>
  <si>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</si>
  <si>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</si>
  <si>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</si>
  <si>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</si>
  <si>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</si>
  <si>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</si>
  <si>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</si>
  <si>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</si>
  <si>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</si>
  <si>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</si>
  <si>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</si>
  <si>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</si>
  <si>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</si>
  <si>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</si>
  <si>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</si>
  <si>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</si>
  <si>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</si>
  <si>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</si>
  <si>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</si>
  <si>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</si>
  <si>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</si>
  <si>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</si>
  <si>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</si>
  <si>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</si>
  <si>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</si>
  <si>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</si>
  <si>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</si>
  <si>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</si>
  <si>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</si>
  <si>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</si>
  <si>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</si>
  <si>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</si>
  <si>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</si>
  <si>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</si>
  <si>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</si>
  <si>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</si>
  <si>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</si>
  <si>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</si>
  <si>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</si>
  <si>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</si>
  <si>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</si>
  <si>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</si>
  <si>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</si>
  <si>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</si>
  <si>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</si>
  <si>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</si>
  <si>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</si>
  <si>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</si>
  <si>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</si>
  <si>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</si>
  <si>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</si>
  <si>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</si>
  <si>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</si>
  <si>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</si>
  <si>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</si>
  <si>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</si>
  <si>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</si>
  <si>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</si>
  <si>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</si>
  <si>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</si>
  <si>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</si>
  <si>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</si>
  <si>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</si>
  <si>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</si>
  <si>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</si>
  <si>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</si>
  <si>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</si>
  <si>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</si>
  <si>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</si>
  <si>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</si>
  <si>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</si>
  <si>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</si>
  <si>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</si>
  <si>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</si>
  <si>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</si>
  <si>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</si>
  <si>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</si>
  <si>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</si>
  <si>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</si>
  <si>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</si>
  <si>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</si>
  <si>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</si>
  <si>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</si>
  <si>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</si>
  <si>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</si>
  <si>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</si>
  <si>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</si>
  <si>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</si>
  <si>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</si>
  <si>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</si>
  <si>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</si>
  <si>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</si>
  <si>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</si>
  <si>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</si>
  <si>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</si>
  <si>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</si>
  <si>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</si>
  <si>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</si>
  <si>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</si>
  <si>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</si>
  <si>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</si>
  <si>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</si>
  <si>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</si>
  <si>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</si>
  <si>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</si>
  <si>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</si>
  <si>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</si>
  <si>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</si>
  <si>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</si>
  <si>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</si>
  <si>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</si>
  <si>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</si>
  <si>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</si>
  <si>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</si>
  <si>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</si>
  <si>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</si>
  <si>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</si>
  <si>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</si>
  <si>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</si>
  <si>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</si>
  <si>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</si>
  <si>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</si>
  <si>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</si>
  <si>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</si>
  <si>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</si>
  <si>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</si>
  <si>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</si>
  <si>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</si>
  <si>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</si>
  <si>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</si>
  <si>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</si>
  <si>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</si>
  <si>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</si>
  <si>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</si>
  <si>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</si>
  <si>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</si>
  <si>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</si>
  <si>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</si>
  <si>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</si>
  <si>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</si>
  <si>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</si>
  <si>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</si>
  <si>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</si>
  <si>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</si>
  <si>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</si>
  <si>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</si>
  <si>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</si>
  <si>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</si>
  <si>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</si>
  <si>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</si>
  <si>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</si>
  <si>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</si>
  <si>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</si>
  <si>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</si>
  <si>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</si>
  <si>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</si>
  <si>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</si>
  <si>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</si>
  <si>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</si>
  <si>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</si>
  <si>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</si>
  <si>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</si>
  <si>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</si>
  <si>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</si>
  <si>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</si>
  <si>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</si>
  <si>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</si>
  <si>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</si>
  <si>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</si>
  <si>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</si>
  <si>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</si>
  <si>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</si>
  <si>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</si>
  <si>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</si>
  <si>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</si>
  <si>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</si>
  <si>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</si>
  <si>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</si>
  <si>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</si>
  <si>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</si>
  <si>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</si>
  <si>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</si>
  <si>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</si>
  <si>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</si>
  <si>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</si>
  <si>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</si>
  <si>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</si>
  <si>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</si>
  <si>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</si>
  <si>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</si>
  <si>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</si>
  <si>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</si>
  <si>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</si>
  <si>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</si>
  <si>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</si>
  <si>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</si>
  <si>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</si>
  <si>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</si>
  <si>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</si>
  <si>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</si>
  <si>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</si>
  <si>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</si>
  <si>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</si>
  <si>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</si>
  <si>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</si>
  <si>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</si>
  <si>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</si>
  <si>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</si>
  <si>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</si>
  <si>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</si>
  <si>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</si>
  <si>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</si>
  <si>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</si>
  <si>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</si>
  <si>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</si>
  <si>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</si>
  <si>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</si>
  <si>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</si>
  <si>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</si>
  <si>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</si>
  <si>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</si>
  <si>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</si>
  <si>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</si>
  <si>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</si>
  <si>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</si>
  <si>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</si>
  <si>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</si>
  <si>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</si>
  <si>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</si>
  <si>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</si>
  <si>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</si>
  <si>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</si>
  <si>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</si>
  <si>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</si>
  <si>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</si>
  <si>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</si>
  <si>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</si>
  <si>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</si>
  <si>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</si>
  <si>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</si>
  <si>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</si>
  <si>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</si>
  <si>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</si>
  <si>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</si>
  <si>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</si>
  <si>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</si>
  <si>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</si>
  <si>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</si>
  <si>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</si>
  <si>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</si>
  <si>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</si>
  <si>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</si>
  <si>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</si>
  <si>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</si>
  <si>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</si>
  <si>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</si>
  <si>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</si>
  <si>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</si>
  <si>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</si>
  <si>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</si>
  <si>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</si>
  <si>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</si>
  <si>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</si>
  <si>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</si>
  <si>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</si>
  <si>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</si>
  <si>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</si>
  <si>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</si>
  <si>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</si>
  <si>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</si>
  <si>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</si>
  <si>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</si>
  <si>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</si>
  <si>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</si>
  <si>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</si>
  <si>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</si>
  <si>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</si>
  <si>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</si>
  <si>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</si>
  <si>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</si>
  <si>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</si>
  <si>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</si>
  <si>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</si>
  <si>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</si>
  <si>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</si>
  <si>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</si>
  <si>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</si>
  <si>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</si>
  <si>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</si>
  <si>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</si>
  <si>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</si>
  <si>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</si>
  <si>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</si>
  <si>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</si>
  <si>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</si>
  <si>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</si>
  <si>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</si>
  <si>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</si>
  <si>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</si>
  <si>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</si>
  <si>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</si>
  <si>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</si>
  <si>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</si>
  <si>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</si>
  <si>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</si>
  <si>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</si>
  <si>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</si>
  <si>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</si>
  <si>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</si>
  <si>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</si>
  <si>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</si>
  <si>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</si>
  <si>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</si>
  <si>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</si>
  <si>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</si>
  <si>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</si>
  <si>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</si>
  <si>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</si>
  <si>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</si>
  <si>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</si>
  <si>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</si>
  <si>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</si>
  <si>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</si>
  <si>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</si>
  <si>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</si>
  <si>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</si>
  <si>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</si>
  <si>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</si>
  <si>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</si>
  <si>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</si>
  <si>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</si>
  <si>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</si>
  <si>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</si>
  <si>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</si>
  <si>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</si>
  <si>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</si>
  <si>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</si>
  <si>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</si>
  <si>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</si>
  <si>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</si>
  <si>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</si>
  <si>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</si>
  <si>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</si>
  <si>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</si>
  <si>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</si>
  <si>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</si>
  <si>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</si>
  <si>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</si>
  <si>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</si>
  <si>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</si>
  <si>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</si>
  <si>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</si>
  <si>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</si>
  <si>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</si>
  <si>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</si>
  <si>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</si>
  <si>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</si>
  <si>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</si>
  <si>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</si>
  <si>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</si>
  <si>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</si>
  <si>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</si>
  <si>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</si>
  <si>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</si>
  <si>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</si>
  <si>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</si>
  <si>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</si>
  <si>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</si>
  <si>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</si>
  <si>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</si>
  <si>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</si>
  <si>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</si>
  <si>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</si>
  <si>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</si>
  <si>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</si>
  <si>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</si>
  <si>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</si>
  <si>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</si>
  <si>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</si>
  <si>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</si>
  <si>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</si>
  <si>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</si>
  <si>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</si>
  <si>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</si>
  <si>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</si>
  <si>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</si>
  <si>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</si>
  <si>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</si>
  <si>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</si>
  <si>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</si>
  <si>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</si>
  <si>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</si>
  <si>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</si>
  <si>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</si>
  <si>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</si>
  <si>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</si>
  <si>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</si>
  <si>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</si>
  <si>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</si>
  <si>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</si>
  <si>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</si>
  <si>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</si>
  <si>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</si>
  <si>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</si>
  <si>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</si>
  <si>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</si>
  <si>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</si>
  <si>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</si>
  <si>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</si>
  <si>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</si>
  <si>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</si>
  <si>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</si>
  <si>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</si>
  <si>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</si>
  <si>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</si>
  <si>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</si>
  <si>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</si>
  <si>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</si>
  <si>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</si>
  <si>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</si>
  <si>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</si>
  <si>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</si>
  <si>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</si>
  <si>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</si>
  <si>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</si>
  <si>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</si>
  <si>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</si>
  <si>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</si>
  <si>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</si>
  <si>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</si>
  <si>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</si>
  <si>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</si>
  <si>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</si>
  <si>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</si>
  <si>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</si>
  <si>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</si>
  <si>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</si>
  <si>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</si>
  <si>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</si>
  <si>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</si>
  <si>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</si>
  <si>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</si>
  <si>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</si>
  <si>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</si>
  <si>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</si>
  <si>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</si>
  <si>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</si>
  <si>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</si>
  <si>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</si>
  <si>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</si>
  <si>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</si>
  <si>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</si>
  <si>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</si>
  <si>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</si>
  <si>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</si>
  <si>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</si>
  <si>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</si>
  <si>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</si>
  <si>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</si>
  <si>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</si>
  <si>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</si>
  <si>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</si>
  <si>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</si>
  <si>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</si>
  <si>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</si>
  <si>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</si>
  <si>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</si>
  <si>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</si>
  <si>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</si>
  <si>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</si>
  <si>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</si>
  <si>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</si>
  <si>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</si>
  <si>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</si>
  <si>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</si>
  <si>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</si>
  <si>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</si>
  <si>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</si>
  <si>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</si>
  <si>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</si>
  <si>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</si>
  <si>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</si>
  <si>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</si>
  <si>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</si>
  <si>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</si>
  <si>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</si>
  <si>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</si>
  <si>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</si>
  <si>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</si>
  <si>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</si>
  <si>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</si>
  <si>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</si>
  <si>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</si>
  <si>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</si>
  <si>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</si>
  <si>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</si>
  <si>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</si>
  <si>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</si>
  <si>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</si>
  <si>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</si>
  <si>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</si>
  <si>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</si>
  <si>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</si>
  <si>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</si>
  <si>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</si>
  <si>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</si>
  <si>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</si>
  <si>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</si>
  <si>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</si>
  <si>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</si>
  <si>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</si>
  <si>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</si>
  <si>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</si>
  <si>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</si>
  <si>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</si>
  <si>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</si>
  <si>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</si>
  <si>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</si>
  <si>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</si>
  <si>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</si>
  <si>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</si>
  <si>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</si>
  <si>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</si>
  <si>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</si>
  <si>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</si>
  <si>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</si>
  <si>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</si>
  <si>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</si>
  <si>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</si>
  <si>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</si>
  <si>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</si>
  <si>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</si>
  <si>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</si>
  <si>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</si>
  <si>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</si>
  <si>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</si>
  <si>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</si>
  <si>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</si>
  <si>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</si>
  <si>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</si>
  <si>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</si>
  <si>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</si>
  <si>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</si>
  <si>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</si>
  <si>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</si>
  <si>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</si>
  <si>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</si>
  <si>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</si>
  <si>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</si>
  <si>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</si>
  <si>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</si>
  <si>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</si>
  <si>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</si>
  <si>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</si>
  <si>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</si>
  <si>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</si>
  <si>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</si>
  <si>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</si>
  <si>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</si>
  <si>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</si>
  <si>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</si>
  <si>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</si>
  <si>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</si>
  <si>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</si>
  <si>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</si>
  <si>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</si>
  <si>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</si>
  <si>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</si>
  <si>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</si>
  <si>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</si>
  <si>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</si>
  <si>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</si>
  <si>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</si>
  <si>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</si>
  <si>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</si>
  <si>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</si>
  <si>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</si>
  <si>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</si>
  <si>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</si>
  <si>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</si>
  <si>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</si>
  <si>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</si>
  <si>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</si>
  <si>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</si>
  <si>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</si>
  <si>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</si>
  <si>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</si>
  <si>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</si>
  <si>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</si>
  <si>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</si>
  <si>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</si>
  <si>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</si>
  <si>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</si>
  <si>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</si>
  <si>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</si>
  <si>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</si>
  <si>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</si>
  <si>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</si>
  <si>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</si>
  <si>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</si>
  <si>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</si>
  <si>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</si>
  <si>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</si>
  <si>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</si>
  <si>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</si>
  <si>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</si>
  <si>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</si>
  <si>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</si>
  <si>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</si>
  <si>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</si>
  <si>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</si>
  <si>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</si>
  <si>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</si>
  <si>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</si>
  <si>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</si>
  <si>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</si>
  <si>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</si>
  <si>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</si>
  <si>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</si>
  <si>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</si>
  <si>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</si>
  <si>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</si>
  <si>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</si>
  <si>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</si>
  <si>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</si>
  <si>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</si>
  <si>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</si>
  <si>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</si>
  <si>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</si>
  <si>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</si>
  <si>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</si>
  <si>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</si>
  <si>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</si>
  <si>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</si>
  <si>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</si>
  <si>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</si>
  <si>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</si>
  <si>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</si>
  <si>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</si>
  <si>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</si>
  <si>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</si>
  <si>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</si>
  <si>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</si>
  <si>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</si>
  <si>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</si>
  <si>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</si>
  <si>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</si>
  <si>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</si>
  <si>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</si>
  <si>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</si>
  <si>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</si>
  <si>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</si>
  <si>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</si>
  <si>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</si>
  <si>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</si>
  <si>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</si>
  <si>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</si>
  <si>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</si>
  <si>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</si>
  <si>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</si>
  <si>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</si>
  <si>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</si>
  <si>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</si>
  <si>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</si>
  <si>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</si>
  <si>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</si>
  <si>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</si>
  <si>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</si>
  <si>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</si>
  <si>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</si>
  <si>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</si>
  <si>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</si>
  <si>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</si>
  <si>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</si>
  <si>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</si>
  <si>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</si>
  <si>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</si>
  <si>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</si>
  <si>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</si>
  <si>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</si>
  <si>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</si>
  <si>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</si>
  <si>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</si>
  <si>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</si>
  <si>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</si>
  <si>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</si>
  <si>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</si>
  <si>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</si>
  <si>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</si>
  <si>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</si>
  <si>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</si>
  <si>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</si>
  <si>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</si>
  <si>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</si>
  <si>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</si>
  <si>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</si>
  <si>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</si>
  <si>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</si>
  <si>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</si>
  <si>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</si>
  <si>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</si>
  <si>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</si>
  <si>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</si>
  <si>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</si>
  <si>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</si>
  <si>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</si>
  <si>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</si>
  <si>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</si>
  <si>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</si>
  <si>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</si>
  <si>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</si>
  <si>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</si>
  <si>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</si>
  <si>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</si>
  <si>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</si>
  <si>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</si>
  <si>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</si>
  <si>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</si>
  <si>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</si>
  <si>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</si>
  <si>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</si>
  <si>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</si>
  <si>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</si>
  <si>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</si>
  <si>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</si>
  <si>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</si>
  <si>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</si>
  <si>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</si>
  <si>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</si>
  <si>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</si>
  <si>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</si>
  <si>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</si>
  <si>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</si>
  <si>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</si>
  <si>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</si>
  <si>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</si>
  <si>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</si>
  <si>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</si>
  <si>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</si>
  <si>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</si>
  <si>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</si>
  <si>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</si>
  <si>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</si>
  <si>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</si>
  <si>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</si>
  <si>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</si>
  <si>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</si>
  <si>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</si>
  <si>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</si>
  <si>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</si>
  <si>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</si>
  <si>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</si>
  <si>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</si>
  <si>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</si>
  <si>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</si>
  <si>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</si>
  <si>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</si>
  <si>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</si>
  <si>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</si>
  <si>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</si>
  <si>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</si>
  <si>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</si>
  <si>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</si>
  <si>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</si>
  <si>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</si>
  <si>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</si>
  <si>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</si>
  <si>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</si>
  <si>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</si>
  <si>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</si>
  <si>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</si>
  <si>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</si>
  <si>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</si>
  <si>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</si>
  <si>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</si>
  <si>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</si>
  <si>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</si>
  <si>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</si>
  <si>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</si>
  <si>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</si>
  <si>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</si>
  <si>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</si>
  <si>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</si>
  <si>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</si>
  <si>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</si>
  <si>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</si>
  <si>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</si>
  <si>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</si>
  <si>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</si>
  <si>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</si>
  <si>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</si>
  <si>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</si>
  <si>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</si>
  <si>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</si>
  <si>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</si>
  <si>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</si>
  <si>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</si>
  <si>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</si>
  <si>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</si>
  <si>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</si>
  <si>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</si>
  <si>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</si>
  <si>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</si>
  <si>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</si>
  <si>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</si>
  <si>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</si>
  <si>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</si>
  <si>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</si>
  <si>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</si>
  <si>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</si>
  <si>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</si>
  <si>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</si>
  <si>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</si>
  <si>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</si>
  <si>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</si>
  <si>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</si>
  <si>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</si>
  <si>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</si>
  <si>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</si>
  <si>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</si>
  <si>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</si>
  <si>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</si>
  <si>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</si>
  <si>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</si>
  <si>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</si>
  <si>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</si>
  <si>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</si>
  <si>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</si>
  <si>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</si>
  <si>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</si>
  <si>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</si>
  <si>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</si>
  <si>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</si>
  <si>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</si>
  <si>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</si>
  <si>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</si>
  <si>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</si>
  <si>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</si>
  <si>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</si>
  <si>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</si>
  <si>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</si>
  <si>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</si>
  <si>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</si>
  <si>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</si>
  <si>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</si>
  <si>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</si>
  <si>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</si>
  <si>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</si>
  <si>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</si>
  <si>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</si>
  <si>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</si>
  <si>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</si>
  <si>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</si>
  <si>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</si>
  <si>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</si>
  <si>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</si>
  <si>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</si>
  <si>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</si>
  <si>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</si>
  <si>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</si>
  <si>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</si>
  <si>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</si>
  <si>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</si>
  <si>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</si>
  <si>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</si>
  <si>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</si>
  <si>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</si>
  <si>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</si>
  <si>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</si>
  <si>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</si>
  <si>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</si>
  <si>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</si>
  <si>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</si>
  <si>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</si>
  <si>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</si>
  <si>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</si>
  <si>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</si>
  <si>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</si>
  <si>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</si>
  <si>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</si>
  <si>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</si>
  <si>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</si>
  <si>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</si>
  <si>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</si>
  <si>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</si>
  <si>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</si>
  <si>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</si>
  <si>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</si>
  <si>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</si>
  <si>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</si>
  <si>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</si>
  <si>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</si>
  <si>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</si>
  <si>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</si>
  <si>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</si>
  <si>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</si>
  <si>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</si>
  <si>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</si>
  <si>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</si>
  <si>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</si>
  <si>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</si>
  <si>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</si>
  <si>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</si>
  <si>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</si>
  <si>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Sub-Category </t>
  </si>
  <si>
    <t>Parent Category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</si>
  <si>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</si>
  <si>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</si>
  <si>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</si>
  <si>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</si>
  <si>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</si>
  <si>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</si>
  <si>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</si>
  <si>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</si>
  <si>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</si>
  <si>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</si>
  <si>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</si>
  <si>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</si>
  <si>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</si>
  <si>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Row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</si>
  <si>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</si>
  <si>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</si>
  <si>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</si>
  <si>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</si>
  <si>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</si>
  <si>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</si>
  <si>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</si>
  <si>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</si>
  <si>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</si>
  <si>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</si>
  <si>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</si>
  <si>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</si>
  <si>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</si>
  <si>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</si>
  <si>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</si>
  <si>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</si>
  <si>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</si>
  <si>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</si>
  <si>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</si>
  <si>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</si>
  <si>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</si>
  <si>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</si>
  <si>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</si>
  <si>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</si>
  <si>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</si>
  <si>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</si>
  <si>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</si>
  <si>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</si>
  <si>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</si>
  <si>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</si>
  <si>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</si>
  <si>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</si>
  <si>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</si>
  <si>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</si>
  <si>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</si>
  <si>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</si>
  <si>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</si>
  <si>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</si>
  <si>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</si>
  <si>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</si>
  <si>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</si>
  <si>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Succesful</t>
  </si>
  <si>
    <t>Number Failed</t>
  </si>
  <si>
    <t xml:space="preserve">Number Canceled </t>
  </si>
  <si>
    <t>Total Projects</t>
  </si>
  <si>
    <t>Percent Sucessful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</si>
  <si>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</si>
  <si>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</si>
  <si>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</si>
  <si>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</si>
  <si>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</si>
  <si>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</si>
  <si>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</si>
  <si>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</si>
  <si>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</si>
  <si>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</si>
  <si>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</si>
  <si>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</si>
  <si>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</si>
  <si>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</si>
  <si>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</si>
  <si>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</si>
  <si>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 xml:space="preserve">Successful </t>
  </si>
  <si>
    <t>Mean</t>
  </si>
  <si>
    <t>Median</t>
  </si>
  <si>
    <t>Minium</t>
  </si>
  <si>
    <t>Maximum</t>
  </si>
  <si>
    <t>Variance</t>
  </si>
  <si>
    <t>Standard Deviation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</si>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</sst>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_);_(* \(#,##0.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9" fontId="0" fillId="0" borderId="0" xfId="43" applyFont="1"/>
    <xf numFmtId="168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Table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 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 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6-486C-A856-FC0DE64F2CDA}"/>
            </c:ext>
          </c:extLst>
        </c:ser>
        <c:ser>
          <c:idx val="1"/>
          <c:order val="1"/>
          <c:tx>
            <c:strRef>
              <c:f>'Category Pivot Table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 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 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6-486C-A856-FC0DE64F2CDA}"/>
            </c:ext>
          </c:extLst>
        </c:ser>
        <c:ser>
          <c:idx val="2"/>
          <c:order val="2"/>
          <c:tx>
            <c:strRef>
              <c:f>'Category Pivot Table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 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 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6-486C-A856-FC0DE64F2CDA}"/>
            </c:ext>
          </c:extLst>
        </c:ser>
        <c:ser>
          <c:idx val="3"/>
          <c:order val="3"/>
          <c:tx>
            <c:strRef>
              <c:f>'Category Pivot Table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 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 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6-486C-A856-FC0DE64F2CDA}"/>
            </c:ext>
          </c:extLst>
        </c:ser>
        <c:ser>
          <c:idx val="4"/>
          <c:order val="4"/>
          <c:tx>
            <c:strRef>
              <c:f>'Category Pivot Table 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 Table 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 Table 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8E36-486C-A856-FC0DE64F2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149072"/>
        <c:axId val="1453326656"/>
      </c:barChart>
      <c:catAx>
        <c:axId val="10891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26656"/>
        <c:crosses val="autoZero"/>
        <c:auto val="1"/>
        <c:lblAlgn val="ctr"/>
        <c:lblOffset val="100"/>
        <c:noMultiLvlLbl val="0"/>
      </c:catAx>
      <c:valAx>
        <c:axId val="1453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2-4E68-BDB3-EE14E62CE0AC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2-4E68-BDB3-EE14E62CE0AC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2-4E68-BDB3-EE14E62CE0AC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32-4E68-BDB3-EE14E62CE0AC}"/>
            </c:ext>
          </c:extLst>
        </c:ser>
        <c:ser>
          <c:idx val="4"/>
          <c:order val="4"/>
          <c:tx>
            <c:strRef>
              <c:f>'Sub-Category Pivot Table'!$F$4:$F$5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'Sub-Category Pivot Table'!$F$6:$F$31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B632-4E68-BDB3-EE14E62C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9254736"/>
        <c:axId val="1453346000"/>
      </c:barChart>
      <c:catAx>
        <c:axId val="10892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346000"/>
        <c:crosses val="autoZero"/>
        <c:auto val="1"/>
        <c:lblAlgn val="ctr"/>
        <c:lblOffset val="100"/>
        <c:noMultiLvlLbl val="0"/>
      </c:catAx>
      <c:valAx>
        <c:axId val="14533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Table!PivotTable4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 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B-47A0-8446-49C51E1CEFF4}"/>
            </c:ext>
          </c:extLst>
        </c:ser>
        <c:ser>
          <c:idx val="1"/>
          <c:order val="1"/>
          <c:tx>
            <c:strRef>
              <c:f>'Parent 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B-47A0-8446-49C51E1CEFF4}"/>
            </c:ext>
          </c:extLst>
        </c:ser>
        <c:ser>
          <c:idx val="2"/>
          <c:order val="2"/>
          <c:tx>
            <c:strRef>
              <c:f>'Parent 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Pivot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1B-47A0-8446-49C51E1CEFF4}"/>
            </c:ext>
          </c:extLst>
        </c:ser>
        <c:ser>
          <c:idx val="3"/>
          <c:order val="3"/>
          <c:tx>
            <c:strRef>
              <c:f>'Parent 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'Parent Category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Category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1B-47A0-8446-49C51E1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825184"/>
        <c:axId val="1126049056"/>
      </c:lineChart>
      <c:catAx>
        <c:axId val="10308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49056"/>
        <c:crosses val="autoZero"/>
        <c:auto val="1"/>
        <c:lblAlgn val="ctr"/>
        <c:lblOffset val="100"/>
        <c:noMultiLvlLbl val="0"/>
      </c:catAx>
      <c:valAx>
        <c:axId val="11260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'Crowdfunding Goal Analysis'!$B$1</c:f>
              <c:strCache>
                <c:ptCount val="1"/>
                <c:pt idx="0">
                  <c:v>Number 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D-454A-B933-EC54563384C8}"/>
            </c:ext>
          </c:extLst>
        </c:ser>
        <c:ser>
          <c:idx val="1"/>
          <c:order val="1"/>
          <c:tx>
            <c:strRef>
              <c:f>'Crowdfunding Goal Analysis'!$C$1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D-454A-B933-EC54563384C8}"/>
            </c:ext>
          </c:extLst>
        </c:ser>
        <c:ser>
          <c:idx val="2"/>
          <c:order val="2"/>
          <c:tx>
            <c:strRef>
              <c:f>'Crowdfunding Goal Analysis'!$D$1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D-454A-B933-EC54563384C8}"/>
            </c:ext>
          </c:extLst>
        </c:ser>
        <c:ser>
          <c:idx val="3"/>
          <c:order val="3"/>
          <c:tx>
            <c:strRef>
              <c:f>'Crowdfunding Goal Analysis'!$E$1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D-454A-B933-EC54563384C8}"/>
            </c:ext>
          </c:extLst>
        </c:ser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 Sucessful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BD-454A-B933-EC54563384C8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BD-454A-B933-EC54563384C8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BD-454A-B933-EC5456338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63680"/>
        <c:axId val="630321472"/>
      </c:lineChart>
      <c:catAx>
        <c:axId val="11876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21472"/>
        <c:crosses val="autoZero"/>
        <c:auto val="1"/>
        <c:lblAlgn val="ctr"/>
        <c:lblOffset val="100"/>
        <c:noMultiLvlLbl val="0"/>
      </c:catAx>
      <c:valAx>
        <c:axId val="6303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947737</xdr:colOff>
      <xdr:row>4</xdr:row>
      <xdr:rowOff>57150</xdr:rowOff>
    </xdr:from>
    <xdr:to>
      <xdr:col>12</xdr:col>
      <xdr:colOff>509587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9</xdr:row>
      <xdr:rowOff>76199</xdr:rowOff>
    </xdr:from>
    <xdr:to>
      <xdr:col>16</xdr:col>
      <xdr:colOff>466725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6</xdr:row>
      <xdr:rowOff>57150</xdr:rowOff>
    </xdr:from>
    <xdr:to>
      <xdr:col>14</xdr:col>
      <xdr:colOff>185737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0</xdr:row>
          <xdr:rowOff>66675</xdr:rowOff>
        </xdr:from>
        <xdr:to>
          <xdr:col>18</xdr:col>
          <xdr:colOff>85725</xdr:colOff>
          <xdr:row>25</xdr:row>
          <xdr:rowOff>190500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16</xdr:row>
      <xdr:rowOff>142875</xdr:rowOff>
    </xdr:from>
    <xdr:to>
      <xdr:col>8</xdr:col>
      <xdr:colOff>176213</xdr:colOff>
      <xdr:row>32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2A9C7-0A08-6E58-C284-3CF67B8FC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114300</xdr:rowOff>
    </xdr:from>
    <xdr:to>
      <xdr:col>19</xdr:col>
      <xdr:colOff>295275</xdr:colOff>
      <xdr:row>22</xdr:row>
      <xdr:rowOff>47625</xdr:rowOff>
    </xdr:to>
    <xdr:sp macro="" textlink="">
      <xdr:nvSpPr>
        <xdr:cNvPr id="9217" name="Text Box 1">
          <a:extLst>
            <a:ext uri="{FF2B5EF4-FFF2-40B4-BE49-F238E27FC236}">
              <a16:creationId xmlns:a16="http://schemas.microsoft.com/office/drawing/2014/main" id="{0FBBAA85-34AA-D7D3-0895-A40ABEE1F7DE}"/>
            </a:ext>
          </a:extLst>
        </xdr:cNvPr>
        <xdr:cNvSpPr txBox="1">
          <a:spLocks noChangeArrowheads="1"/>
        </xdr:cNvSpPr>
      </xdr:nvSpPr>
      <xdr:spPr bwMode="auto">
        <a:xfrm>
          <a:off x="5067300" y="1914525"/>
          <a:ext cx="10534650" cy="2533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Use your data to determine whether the mean or the median better summarizes the data.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The mean better summarizes the data.</a:t>
          </a:r>
        </a:p>
        <a:p>
          <a:pPr algn="l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Use your data to determine if there is more variability with successful or unsuccessful campaigns. Does this make sense? Why or why not?  </a:t>
          </a:r>
          <a:r>
            <a:rPr lang="en-US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   More variablility with the successful campaigns                                                                         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O'Neill" refreshedDate="45272.819785995373" createdVersion="8" refreshedVersion="8" minRefreshableVersion="3" recordCount="1001" xr:uid="{AF0F5D54-2D16-4E5D-B61E-201F615AC9B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O'Neill" refreshedDate="45272.839302777778" createdVersion="8" refreshedVersion="8" minRefreshableVersion="3" recordCount="1000" xr:uid="{98C1DC40-EA45-4CC8-A5A4-D1867F0AD95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50C2A-BBCB-4484-9239-3FD1CEF776A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D73B3-F3A5-4D98-8128-5E02BAE5A5D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B78D0-F632-4C3F-BF32-20A28952EA8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A880" zoomScale="80" zoomScaleNormal="80" workbookViewId="0">
      <selection activeCell="G2" sqref="G2:H1000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4.5" style="5" bestFit="1" customWidth="1"/>
    <col min="8" max="8" width="13" bestFit="1" customWidth="1"/>
    <col min="9" max="9" width="16.5" bestFit="1" customWidth="1"/>
    <col min="12" max="13" width="11.25" bestFit="1" customWidth="1"/>
    <col min="14" max="14" width="22.75" bestFit="1" customWidth="1"/>
    <col min="15" max="15" width="27.375" customWidth="1"/>
    <col min="18" max="18" width="28" bestFit="1" customWidth="1"/>
    <col min="19" max="19" width="28" customWidth="1"/>
    <col min="20" max="20" width="13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8">
        <f>IF(L2&lt;&gt;"", (L2/86400) + 25569, "")</f>
        <v>42336.25</v>
      </c>
      <c r="O2" s="9">
        <f>IF(M2&lt;&gt;"", (M2/86400) + 25569, "")</f>
        <v>42353.25</v>
      </c>
      <c r="P2" t="b">
        <v>0</v>
      </c>
      <c r="Q2" t="b">
        <v>0</v>
      </c>
      <c r="R2" t="s">
        <v>17</v>
      </c>
      <c r="S2" t="str">
        <f>IFERROR(LEFT(R2,SEARCH("/",R2)-1),R2)</f>
        <v>food</v>
      </c>
      <c r="T2" t="str">
        <f>IFERROR(RIGHT(R2, LEN(R2)- SEARCH("/",R2)),"")</f>
        <v>food trucks</v>
      </c>
    </row>
    <row r="3" spans="1:20" ht="19.5" hidden="1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IF(L3&lt;&gt;"", (L3/86400) + 25569, "")</f>
        <v>41870.208333333336</v>
      </c>
      <c r="O3" s="9">
        <f t="shared" ref="O3:O66" si="2">IF(M3&lt;&gt;"", (M3/86400) + 25569, "")</f>
        <v>41872.208333333336</v>
      </c>
      <c r="P3" t="b">
        <v>0</v>
      </c>
      <c r="Q3" t="b">
        <v>1</v>
      </c>
      <c r="R3" t="s">
        <v>23</v>
      </c>
      <c r="S3" t="str">
        <f t="shared" ref="S3:S66" si="3">IFERROR(LEFT(R3,SEARCH("/",R3)-1),R3)</f>
        <v>music</v>
      </c>
      <c r="T3" t="str">
        <f t="shared" ref="T3:T66" si="4">IFERROR(RIGHT(R3, LEN(R3)- SEARCH("/",R3)),"")</f>
        <v>rock</v>
      </c>
    </row>
    <row r="4" spans="1:20" ht="33.75" hidden="1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9.5" hidden="1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9.5" hidden="1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9.5" hidden="1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9.5" hidden="1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3.75" hidden="1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9.5" hidden="1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9.5" hidden="1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9.5" hidden="1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9.5" hidden="1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9.5" hidden="1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9.5" hidden="1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9.5" hidden="1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9.5" hidden="1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9.5" hidden="1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9.5" hidden="1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9.5" hidden="1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9.5" hidden="1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9.5" hidden="1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9.5" hidden="1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3.75" hidden="1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9.5" hidden="1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9.5" hidden="1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3.75" hidden="1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9.5" hidden="1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9.5" hidden="1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9.5" hidden="1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9.5" hidden="1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9.5" hidden="1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9.5" hidden="1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9.5" hidden="1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9.5" hidden="1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9.5" hidden="1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9.5" hidden="1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9.5" hidden="1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3.75" hidden="1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3.75" hidden="1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9.5" hidden="1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9.5" hidden="1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9.5" hidden="1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9.5" hidden="1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19.5" hidden="1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9.5" hidden="1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IF(L67&lt;&gt;"", (L67/86400) + 25569, "")</f>
        <v>40570.25</v>
      </c>
      <c r="O67" s="9">
        <f t="shared" ref="O67:O130" si="8">IF(M67&lt;&gt;"", (M67/86400) + 25569, "")</f>
        <v>40577.25</v>
      </c>
      <c r="P67" t="b">
        <v>0</v>
      </c>
      <c r="Q67" t="b">
        <v>0</v>
      </c>
      <c r="R67" t="s">
        <v>33</v>
      </c>
      <c r="S67" t="str">
        <f t="shared" ref="S67:S130" si="9">IFERROR(LEFT(R67,SEARCH("/",R67)-1),R67)</f>
        <v>theater</v>
      </c>
      <c r="T67" t="str">
        <f t="shared" ref="T67:T130" si="10">IFERROR(RIGHT(R67, LEN(R67)- SEARCH("/",R67)),"")</f>
        <v>plays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3.75" hidden="1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9.5" hidden="1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9.5" hidden="1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9.5" hidden="1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3.75" hidden="1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9.5" hidden="1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9.5" hidden="1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9.5" hidden="1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9.5" hidden="1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19.5" hidden="1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9.5" hidden="1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9.5" hidden="1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9.5" hidden="1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9.5" hidden="1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9.5" hidden="1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9.5" hidden="1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9.5" hidden="1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9.5" hidden="1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3.75" hidden="1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9.5" hidden="1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9.5" hidden="1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3.75" hidden="1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9.5" hidden="1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9.5" hidden="1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19.5" hidden="1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9.5" hidden="1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9.5" hidden="1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9.5" hidden="1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9.5" hidden="1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9.5" hidden="1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3.75" hidden="1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3.75" hidden="1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9.5" hidden="1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9.5" hidden="1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9.5" hidden="1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9.5" hidden="1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9.5" hidden="1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9.5" hidden="1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3.75" hidden="1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9.5" hidden="1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9.5" hidden="1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9.5" hidden="1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9.5" hidden="1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9.5" hidden="1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9.5" hidden="1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IF(L131&lt;&gt;"", (L131/86400) + 25569, "")</f>
        <v>42038.25</v>
      </c>
      <c r="O131" s="9">
        <f t="shared" ref="O131:O194" si="14">IF(M131&lt;&gt;"", (M131/86400) + 25569, "")</f>
        <v>42063.25</v>
      </c>
      <c r="P131" t="b">
        <v>0</v>
      </c>
      <c r="Q131" t="b">
        <v>0</v>
      </c>
      <c r="R131" t="s">
        <v>17</v>
      </c>
      <c r="S131" t="str">
        <f t="shared" ref="S131:S194" si="15">IFERROR(LEFT(R131,SEARCH("/",R131)-1),R131)</f>
        <v>food</v>
      </c>
      <c r="T131" t="str">
        <f t="shared" ref="T131:T194" si="16">IFERROR(RIGHT(R131, LEN(R131)- SEARCH("/",R131)),"")</f>
        <v>food trucks</v>
      </c>
    </row>
    <row r="132" spans="1:20" ht="19.5" hidden="1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3.75" hidden="1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9.5" hidden="1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9.5" hidden="1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9.5" hidden="1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9.5" hidden="1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3.75" hidden="1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9.5" hidden="1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19.5" hidden="1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9.5" hidden="1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9.5" hidden="1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9.5" hidden="1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3.75" hidden="1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19.5" hidden="1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9.5" hidden="1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9.5" hidden="1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9.5" hidden="1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9.5" hidden="1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9.5" hidden="1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9.5" hidden="1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9.5" hidden="1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3.75" hidden="1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9.5" hidden="1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9.5" hidden="1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9.5" hidden="1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9.5" hidden="1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9.5" hidden="1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9.5" hidden="1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19.5" hidden="1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9.5" hidden="1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9.5" hidden="1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3.75" hidden="1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9.5" hidden="1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3.75" hidden="1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9.5" hidden="1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9.5" hidden="1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9.5" hidden="1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IF(L195&lt;&gt;"", (L195/86400) + 25569, "")</f>
        <v>43198.208333333328</v>
      </c>
      <c r="O195" s="9">
        <f t="shared" ref="O195:O258" si="20">IF(M195&lt;&gt;"", (M195/86400) + 25569, "")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IFERROR(LEFT(R195,SEARCH("/",R195)-1),R195)</f>
        <v>music</v>
      </c>
      <c r="T195" t="str">
        <f t="shared" ref="T195:T258" si="22">IFERROR(RIGHT(R195, LEN(R195)- SEARCH("/",R195)),"")</f>
        <v>indie rock</v>
      </c>
    </row>
    <row r="196" spans="1:20" ht="19.5" hidden="1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9.5" hidden="1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9.5" hidden="1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19.5" hidden="1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9.5" hidden="1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3.75" hidden="1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9.5" hidden="1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9.5" hidden="1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3.75" hidden="1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9.5" hidden="1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9.5" hidden="1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19.5" hidden="1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3.75" hidden="1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9.5" hidden="1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9.5" hidden="1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9.5" hidden="1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9.5" hidden="1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9.5" hidden="1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9.5" hidden="1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9.5" hidden="1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9.5" hidden="1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9.5" hidden="1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9.5" hidden="1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9.5" hidden="1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9.5" hidden="1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9.5" hidden="1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9.5" hidden="1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9.5" hidden="1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9.5" hidden="1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3.75" hidden="1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9.5" hidden="1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9.5" hidden="1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9.5" hidden="1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9.5" hidden="1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3.75" hidden="1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3.75" hidden="1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9.5" hidden="1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9.5" hidden="1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9.5" hidden="1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9.5" hidden="1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9.5" hidden="1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3.75" hidden="1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3.75" hidden="1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3.75" hidden="1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9.5" hidden="1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IF(L259&lt;&gt;"", (L259/86400) + 25569, "")</f>
        <v>41338.25</v>
      </c>
      <c r="O259" s="9">
        <f t="shared" ref="O259:O322" si="26">IF(M259&lt;&gt;"", (M259/86400) + 25569, "")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IFERROR(LEFT(R259,SEARCH("/",R259)-1),R259)</f>
        <v>theater</v>
      </c>
      <c r="T259" t="str">
        <f t="shared" ref="T259:T322" si="28">IFERROR(RIGHT(R259, LEN(R259)- SEARCH("/",R259)),"")</f>
        <v>plays</v>
      </c>
    </row>
    <row r="260" spans="1:20" ht="19.5" hidden="1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3.75" hidden="1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9.5" hidden="1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9.5" hidden="1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9.5" hidden="1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9.5" hidden="1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9.5" hidden="1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9.5" hidden="1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9.5" hidden="1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9.5" hidden="1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9.5" hidden="1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3.75" hidden="1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9.5" hidden="1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9.5" hidden="1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3.75" hidden="1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3.75" hidden="1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9.5" hidden="1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9.5" hidden="1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3.75" hidden="1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9.5" hidden="1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9.5" hidden="1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9.5" hidden="1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9.5" hidden="1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9.5" hidden="1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9.5" hidden="1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9.5" hidden="1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9.5" hidden="1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9.5" hidden="1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19.5" hidden="1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9.5" hidden="1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9.5" hidden="1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9.5" hidden="1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9.5" hidden="1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9.5" hidden="1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9.5" hidden="1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9.5" hidden="1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9.5" hidden="1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9.5" hidden="1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IF(L323&lt;&gt;"", (L323/86400) + 25569, "")</f>
        <v>40634.208333333336</v>
      </c>
      <c r="O323" s="9">
        <f t="shared" ref="O323:O386" si="32">IF(M323&lt;&gt;"", (M323/86400) + 25569, "")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IFERROR(LEFT(R323,SEARCH("/",R323)-1),R323)</f>
        <v>film &amp; video</v>
      </c>
      <c r="T323" t="str">
        <f t="shared" ref="T323:T386" si="34">IFERROR(RIGHT(R323, LEN(R323)- SEARCH("/",R323)),"")</f>
        <v>shorts</v>
      </c>
    </row>
    <row r="324" spans="1:20" ht="33.75" hidden="1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9.5" hidden="1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3.75" hidden="1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9.5" hidden="1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3.75" hidden="1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9.5" hidden="1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3.75" hidden="1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9.5" hidden="1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9.5" hidden="1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9.5" hidden="1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9.5" hidden="1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9.5" hidden="1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9.5" hidden="1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9.5" hidden="1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9.5" hidden="1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9.5" hidden="1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9.5" hidden="1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9.5" hidden="1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9.5" hidden="1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9.5" hidden="1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9.5" hidden="1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9.5" hidden="1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9.5" hidden="1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9.5" hidden="1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9.5" hidden="1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9.5" hidden="1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9.5" hidden="1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9.5" hidden="1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9.5" hidden="1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9.5" hidden="1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3.75" hidden="1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9.5" hidden="1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9.5" hidden="1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3.75" hidden="1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9.5" hidden="1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9.5" hidden="1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9.5" hidden="1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3.75" hidden="1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IF(L387&lt;&gt;"", (L387/86400) + 25569, "")</f>
        <v>43553.208333333328</v>
      </c>
      <c r="O387" s="9">
        <f t="shared" ref="O387:O450" si="38">IF(M387&lt;&gt;"", (M387/86400) + 25569, "")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IFERROR(LEFT(R387,SEARCH("/",R387)-1),R387)</f>
        <v>publishing</v>
      </c>
      <c r="T387" t="str">
        <f t="shared" ref="T387:T450" si="40">IFERROR(RIGHT(R387, LEN(R387)- SEARCH("/",R387)),"")</f>
        <v>nonfiction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9.5" hidden="1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9.5" hidden="1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9.5" hidden="1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9.5" hidden="1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9.5" hidden="1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3.75" hidden="1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9.5" hidden="1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9.5" hidden="1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19.5" hidden="1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9.5" hidden="1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9.5" hidden="1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9.5" hidden="1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9.5" hidden="1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9.5" hidden="1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9.5" hidden="1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9.5" hidden="1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9.5" hidden="1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9.5" hidden="1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9.5" hidden="1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9.5" hidden="1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3.75" hidden="1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9.5" hidden="1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9.5" hidden="1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9.5" hidden="1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9.5" hidden="1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9.5" hidden="1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9.5" hidden="1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9.5" hidden="1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9.5" hidden="1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9.5" hidden="1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3.75" hidden="1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9.5" hidden="1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9.5" hidden="1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9.5" hidden="1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9.5" hidden="1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9.5" hidden="1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3.75" hidden="1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3.75" hidden="1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9.5" hidden="1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IF(L451&lt;&gt;"", (L451/86400) + 25569, "")</f>
        <v>43530.25</v>
      </c>
      <c r="O451" s="9">
        <f t="shared" ref="O451:O514" si="44">IF(M451&lt;&gt;"", (M451/86400) + 25569, "")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IFERROR(LEFT(R451,SEARCH("/",R451)-1),R451)</f>
        <v>games</v>
      </c>
      <c r="T451" t="str">
        <f t="shared" ref="T451:T514" si="46">IFERROR(RIGHT(R451, LEN(R451)- SEARCH("/",R451)),"")</f>
        <v>video games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9.5" hidden="1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9.5" hidden="1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3.75" hidden="1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9.5" hidden="1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9.5" hidden="1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9.5" hidden="1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3.75" hidden="1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9.5" hidden="1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9.5" hidden="1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9.5" hidden="1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3.75" hidden="1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9.5" hidden="1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9.5" hidden="1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9.5" hidden="1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9.5" hidden="1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9.5" hidden="1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3.75" hidden="1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9.5" hidden="1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9.5" hidden="1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9.5" hidden="1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9.5" hidden="1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9.5" hidden="1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9.5" hidden="1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9.5" hidden="1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9.5" hidden="1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3.75" hidden="1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9.5" hidden="1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9.5" hidden="1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9.5" hidden="1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9.5" hidden="1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9.5" hidden="1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3.75" hidden="1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9.5" hidden="1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9.5" hidden="1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9.5" hidden="1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9.5" hidden="1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9.5" hidden="1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IF(L515&lt;&gt;"", (L515/86400) + 25569, "")</f>
        <v>40430.208333333336</v>
      </c>
      <c r="O515" s="9">
        <f t="shared" ref="O515:O578" si="50">IF(M515&lt;&gt;"", (M515/86400) + 25569, "")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IFERROR(LEFT(R515,SEARCH("/",R515)-1),R515)</f>
        <v>film &amp; video</v>
      </c>
      <c r="T515" t="str">
        <f t="shared" ref="T515:T578" si="52">IFERROR(RIGHT(R515, LEN(R515)- SEARCH("/",R515)),"")</f>
        <v>television</v>
      </c>
    </row>
    <row r="516" spans="1:20" ht="19.5" hidden="1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9.5" hidden="1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9.5" hidden="1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9.5" hidden="1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9.5" hidden="1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9.5" hidden="1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3.75" hidden="1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3.75" hidden="1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9.5" hidden="1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9.5" hidden="1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9.5" hidden="1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9.5" hidden="1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9.5" hidden="1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9.5" hidden="1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3.75" hidden="1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9.5" hidden="1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9.5" hidden="1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9.5" hidden="1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3.75" hidden="1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3.75" hidden="1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3.75" hidden="1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9.5" hidden="1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9.5" hidden="1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9.5" hidden="1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9.5" hidden="1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9.5" hidden="1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9.5" hidden="1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9.5" hidden="1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9.5" hidden="1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9.5" hidden="1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3.75" hidden="1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9.5" hidden="1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9.5" hidden="1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9.5" hidden="1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9.5" hidden="1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9.5" hidden="1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9.5" hidden="1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9.5" hidden="1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IF(L579&lt;&gt;"", (L579/86400) + 25569, "")</f>
        <v>40613.25</v>
      </c>
      <c r="O579" s="9">
        <f t="shared" ref="O579:O642" si="56">IF(M579&lt;&gt;"", (M579/86400) + 25569, "")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IFERROR(LEFT(R579,SEARCH("/",R579)-1),R579)</f>
        <v>music</v>
      </c>
      <c r="T579" t="str">
        <f t="shared" ref="T579:T642" si="58">IFERROR(RIGHT(R579, LEN(R579)- SEARCH("/",R579)),"")</f>
        <v>jazz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9.5" hidden="1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9.5" hidden="1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3.75" hidden="1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19.5" hidden="1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9.5" hidden="1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9.5" hidden="1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9.5" hidden="1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9.5" hidden="1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3.75" hidden="1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9.5" hidden="1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9.5" hidden="1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9.5" hidden="1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19.5" hidden="1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9.5" hidden="1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9.5" hidden="1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9.5" hidden="1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9.5" hidden="1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9.5" hidden="1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9.5" hidden="1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9.5" hidden="1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3.75" hidden="1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9.5" hidden="1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9.5" hidden="1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19.5" hidden="1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3.75" hidden="1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9.5" hidden="1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9.5" hidden="1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9.5" hidden="1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9.5" hidden="1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9.5" hidden="1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9.5" hidden="1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9.5" hidden="1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3.75" hidden="1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9.5" hidden="1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9.5" hidden="1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9.5" hidden="1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9.5" hidden="1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9.5" hidden="1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9.5" hidden="1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9.5" hidden="1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9.5" hidden="1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3.75" hidden="1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IF(L643&lt;&gt;"", (L643/86400) + 25569, "")</f>
        <v>42786.25</v>
      </c>
      <c r="O643" s="9">
        <f t="shared" ref="O643:O706" si="62">IF(M643&lt;&gt;"", (M643/86400) + 25569, "")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IFERROR(LEFT(R643,SEARCH("/",R643)-1),R643)</f>
        <v>theater</v>
      </c>
      <c r="T643" t="str">
        <f t="shared" ref="T643:T706" si="64">IFERROR(RIGHT(R643, LEN(R643)- SEARCH("/",R643)),"")</f>
        <v>plays</v>
      </c>
    </row>
    <row r="644" spans="1:20" ht="19.5" hidden="1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9.5" hidden="1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9.5" hidden="1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9.5" hidden="1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9.5" hidden="1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9.5" hidden="1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9.5" hidden="1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9.5" hidden="1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9.5" hidden="1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9.5" hidden="1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3.75" hidden="1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9.5" hidden="1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3.75" hidden="1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3.75" hidden="1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9.5" hidden="1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9.5" hidden="1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9.5" hidden="1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9.5" hidden="1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9.5" hidden="1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9.5" hidden="1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9.5" hidden="1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9.5" hidden="1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9.5" hidden="1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9.5" hidden="1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9.5" hidden="1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9.5" hidden="1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9.5" hidden="1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9.5" hidden="1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9.5" hidden="1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19.5" hidden="1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9.5" hidden="1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3.75" hidden="1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9.5" hidden="1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3.75" hidden="1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IF(L707&lt;&gt;"", (L707/86400) + 25569, "")</f>
        <v>41619.25</v>
      </c>
      <c r="O707" s="9">
        <f t="shared" ref="O707:O770" si="68">IF(M707&lt;&gt;"", (M707/86400) + 25569, "")</f>
        <v>41623.25</v>
      </c>
      <c r="P707" t="b">
        <v>0</v>
      </c>
      <c r="Q707" t="b">
        <v>0</v>
      </c>
      <c r="R707" t="s">
        <v>68</v>
      </c>
      <c r="S707" t="str">
        <f t="shared" ref="S707:S770" si="69">IFERROR(LEFT(R707,SEARCH("/",R707)-1),R707)</f>
        <v>publishing</v>
      </c>
      <c r="T707" t="str">
        <f t="shared" ref="T707:T770" si="70">IFERROR(RIGHT(R707, LEN(R707)- SEARCH("/",R707)),"")</f>
        <v>nonfiction</v>
      </c>
    </row>
    <row r="708" spans="1:20" ht="33.75" hidden="1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3.75" hidden="1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9.5" hidden="1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9.5" hidden="1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3.75" hidden="1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3.75" hidden="1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9.5" hidden="1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9.5" hidden="1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9.5" hidden="1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3.75" hidden="1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9.5" hidden="1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9.5" hidden="1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3.75" hidden="1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9.5" hidden="1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9.5" hidden="1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9.5" hidden="1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3.75" hidden="1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9.5" hidden="1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9.5" hidden="1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3.75" hidden="1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9.5" hidden="1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9.5" hidden="1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9.5" hidden="1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9.5" hidden="1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3.75" hidden="1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9.5" hidden="1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3.75" hidden="1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9.5" hidden="1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9.5" hidden="1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9.5" hidden="1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9.5" hidden="1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9.5" hidden="1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9.5" hidden="1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9.5" hidden="1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9.5" hidden="1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9.5" hidden="1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9.5" hidden="1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9.5" hidden="1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9.5" hidden="1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19.5" hidden="1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9.5" hidden="1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9.5" hidden="1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9.5" hidden="1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9.5" hidden="1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9.5" hidden="1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3.75" hidden="1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9.5" hidden="1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9.5" hidden="1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IF(L771&lt;&gt;"", (L771/86400) + 25569, "")</f>
        <v>41501.208333333336</v>
      </c>
      <c r="O771" s="9">
        <f t="shared" ref="O771:O834" si="74">IF(M771&lt;&gt;"", (M771/86400) + 25569, "")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IFERROR(LEFT(R771,SEARCH("/",R771)-1),R771)</f>
        <v>games</v>
      </c>
      <c r="T771" t="str">
        <f t="shared" ref="T771:T834" si="76">IFERROR(RIGHT(R771, LEN(R771)- SEARCH("/",R771)),"")</f>
        <v>video games</v>
      </c>
    </row>
    <row r="772" spans="1:20" ht="19.5" hidden="1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9.5" hidden="1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9.5" hidden="1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9.5" hidden="1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9.5" hidden="1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9.5" hidden="1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19.5" hidden="1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9.5" hidden="1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9.5" hidden="1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9.5" hidden="1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9.5" hidden="1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3.75" hidden="1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9.5" hidden="1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9.5" hidden="1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9.5" hidden="1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9.5" hidden="1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9.5" hidden="1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9.5" hidden="1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9.5" hidden="1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9.5" hidden="1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3.75" hidden="1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3.75" hidden="1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9.5" hidden="1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9.5" hidden="1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9.5" hidden="1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19.5" hidden="1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9.5" hidden="1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9.5" hidden="1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3.75" hidden="1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19.5" hidden="1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9.5" hidden="1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9.5" hidden="1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9.5" hidden="1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9.5" hidden="1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9.5" hidden="1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19.5" hidden="1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9.5" hidden="1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9.5" hidden="1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3.75" hidden="1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3.75" hidden="1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3.75" hidden="1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9.5" hidden="1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9.5" hidden="1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IF(L835&lt;&gt;"", (L835/86400) + 25569, "")</f>
        <v>40588.25</v>
      </c>
      <c r="O835" s="9">
        <f t="shared" ref="O835:O898" si="80">IF(M835&lt;&gt;"", (M835/86400) + 25569, "")</f>
        <v>40599.25</v>
      </c>
      <c r="P835" t="b">
        <v>0</v>
      </c>
      <c r="Q835" t="b">
        <v>0</v>
      </c>
      <c r="R835" t="s">
        <v>206</v>
      </c>
      <c r="S835" t="str">
        <f t="shared" ref="S835:S898" si="81">IFERROR(LEFT(R835,SEARCH("/",R835)-1),R835)</f>
        <v>publishing</v>
      </c>
      <c r="T835" t="str">
        <f t="shared" ref="T835:T898" si="82">IFERROR(RIGHT(R835, LEN(R835)- SEARCH("/",R835)),"")</f>
        <v>translations</v>
      </c>
    </row>
    <row r="836" spans="1:20" ht="19.5" hidden="1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9.5" hidden="1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9.5" hidden="1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9.5" hidden="1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9.5" hidden="1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9.5" hidden="1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3.75" hidden="1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9.5" hidden="1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9.5" hidden="1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9.5" hidden="1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9.5" hidden="1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9.5" hidden="1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9.5" hidden="1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3.75" hidden="1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9.5" hidden="1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19.5" hidden="1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9.5" hidden="1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9.5" hidden="1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3.75" hidden="1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3.75" hidden="1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9.5" hidden="1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9.5" hidden="1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9.5" hidden="1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9.5" hidden="1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9.5" hidden="1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9.5" hidden="1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3.75" hidden="1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9.5" hidden="1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3.75" hidden="1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9.5" hidden="1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9.5" hidden="1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9.5" hidden="1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9.5" hidden="1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9.5" hidden="1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9.5" hidden="1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3.75" hidden="1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9.5" hidden="1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3.75" hidden="1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9.5" hidden="1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9.5" hidden="1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3.75" hidden="1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9.5" hidden="1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9.5" hidden="1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9.5" hidden="1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3.75" hidden="1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IF(L899&lt;&gt;"", (L899/86400) + 25569, "")</f>
        <v>43583.208333333328</v>
      </c>
      <c r="O899" s="9">
        <f t="shared" ref="O899:O962" si="86">IF(M899&lt;&gt;"", (M899/86400) + 25569, "")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IFERROR(LEFT(R899,SEARCH("/",R899)-1),R899)</f>
        <v>theater</v>
      </c>
      <c r="T899" t="str">
        <f t="shared" ref="T899:T962" si="88">IFERROR(RIGHT(R899, LEN(R899)- SEARCH("/",R899)),"")</f>
        <v>plays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9.5" hidden="1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9.5" hidden="1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9.5" hidden="1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3.75" hidden="1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9.5" hidden="1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3.75" hidden="1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9.5" hidden="1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9.5" hidden="1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9.5" hidden="1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9.5" hidden="1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9.5" hidden="1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9.5" hidden="1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9.5" hidden="1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9.5" hidden="1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9.5" hidden="1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9.5" hidden="1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9.5" hidden="1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9.5" hidden="1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3.75" hidden="1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9.5" hidden="1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9.5" hidden="1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9.5" hidden="1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9.5" hidden="1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9.5" hidden="1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9.5" hidden="1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3.75" hidden="1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9.5" hidden="1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9.5" hidden="1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9.5" hidden="1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9.5" hidden="1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9.5" hidden="1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3.75" hidden="1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9.5" hidden="1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9.5" hidden="1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9.5" hidden="1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3.75" hidden="1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9.5" hidden="1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3.75" hidden="1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19.5" hidden="1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IF(L963&lt;&gt;"", (L963/86400) + 25569, "")</f>
        <v>40591.25</v>
      </c>
      <c r="O963" s="9">
        <f t="shared" ref="O963:O1001" si="92">IF(M963&lt;&gt;"", (M963/86400) + 25569, "")</f>
        <v>40595.25</v>
      </c>
      <c r="P963" t="b">
        <v>0</v>
      </c>
      <c r="Q963" t="b">
        <v>0</v>
      </c>
      <c r="R963" t="s">
        <v>206</v>
      </c>
      <c r="S963" t="str">
        <f t="shared" ref="S963:S1001" si="93">IFERROR(LEFT(R963,SEARCH("/",R963)-1),R963)</f>
        <v>publishing</v>
      </c>
      <c r="T963" t="str">
        <f t="shared" ref="T963:T1001" si="94">IFERROR(RIGHT(R963, LEN(R963)- SEARCH("/",R963)),"")</f>
        <v>translations</v>
      </c>
    </row>
    <row r="964" spans="1:20" ht="19.5" hidden="1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9.5" hidden="1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9.5" hidden="1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9.5" hidden="1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9.5" hidden="1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3.75" hidden="1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9.5" hidden="1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3.75" hidden="1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9.5" hidden="1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9.5" hidden="1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3.75" hidden="1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9.5" hidden="1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9.5" hidden="1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9.5" hidden="1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9.5" hidden="1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3.75" hidden="1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9.5" hidden="1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9.5" hidden="1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9.5" hidden="1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9.5" hidden="1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9.5" hidden="1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9.5" hidden="1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9.5" hidden="1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9.5" hidden="1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9808-68FA-4460-8EF4-C04AE05ACB09}">
  <sheetPr codeName="Sheet2"/>
  <dimension ref="A1:G15"/>
  <sheetViews>
    <sheetView workbookViewId="0">
      <selection activeCell="B8" sqref="B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  <col min="8" max="10" width="15.25" bestFit="1" customWidth="1"/>
    <col min="11" max="11" width="11" bestFit="1" customWidth="1"/>
  </cols>
  <sheetData>
    <row r="1" spans="1:7" x14ac:dyDescent="0.25">
      <c r="A1" s="6" t="s">
        <v>6</v>
      </c>
      <c r="B1" t="s">
        <v>2033</v>
      </c>
    </row>
    <row r="3" spans="1:7" x14ac:dyDescent="0.25">
      <c r="A3" s="6" t="s">
        <v>2047</v>
      </c>
      <c r="B3" s="6" t="s">
        <v>2034</v>
      </c>
    </row>
    <row r="4" spans="1:7" x14ac:dyDescent="0.25">
      <c r="A4" s="6" t="s">
        <v>2046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  <c r="G4" t="s">
        <v>2045</v>
      </c>
    </row>
    <row r="5" spans="1:7" x14ac:dyDescent="0.25">
      <c r="A5" s="7" t="s">
        <v>2035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5">
      <c r="A6" s="7" t="s">
        <v>2036</v>
      </c>
      <c r="B6">
        <v>4</v>
      </c>
      <c r="C6">
        <v>20</v>
      </c>
      <c r="E6">
        <v>22</v>
      </c>
      <c r="G6">
        <v>46</v>
      </c>
    </row>
    <row r="7" spans="1:7" x14ac:dyDescent="0.25">
      <c r="A7" s="7" t="s">
        <v>2037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5">
      <c r="A8" s="7" t="s">
        <v>2038</v>
      </c>
      <c r="E8">
        <v>4</v>
      </c>
      <c r="G8">
        <v>4</v>
      </c>
    </row>
    <row r="9" spans="1:7" x14ac:dyDescent="0.25">
      <c r="A9" s="7" t="s">
        <v>2039</v>
      </c>
      <c r="B9">
        <v>10</v>
      </c>
      <c r="C9">
        <v>66</v>
      </c>
      <c r="E9">
        <v>99</v>
      </c>
      <c r="G9">
        <v>175</v>
      </c>
    </row>
    <row r="10" spans="1:7" x14ac:dyDescent="0.25">
      <c r="A10" s="7" t="s">
        <v>2040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5">
      <c r="A11" s="7" t="s">
        <v>2041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5">
      <c r="A12" s="7" t="s">
        <v>2042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5">
      <c r="A13" s="7" t="s">
        <v>2043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5">
      <c r="A14" s="7" t="s">
        <v>2044</v>
      </c>
    </row>
    <row r="15" spans="1:7" x14ac:dyDescent="0.25">
      <c r="A15" s="7" t="s">
        <v>2045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12DC-5BC2-4C5E-9577-D7FA230AF32F}">
  <sheetPr codeName="Sheet3"/>
  <dimension ref="A1:G31"/>
  <sheetViews>
    <sheetView workbookViewId="0">
      <selection activeCell="G50" sqref="G5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6.875" bestFit="1" customWidth="1"/>
    <col min="7" max="7" width="11" bestFit="1" customWidth="1"/>
  </cols>
  <sheetData>
    <row r="1" spans="1:7" x14ac:dyDescent="0.25">
      <c r="A1" s="6" t="s">
        <v>6</v>
      </c>
      <c r="B1" t="s">
        <v>2033</v>
      </c>
    </row>
    <row r="2" spans="1:7" x14ac:dyDescent="0.25">
      <c r="A2" s="6" t="s">
        <v>2032</v>
      </c>
      <c r="B2" t="s">
        <v>2033</v>
      </c>
    </row>
    <row r="4" spans="1:7" x14ac:dyDescent="0.25">
      <c r="A4" s="6" t="s">
        <v>2047</v>
      </c>
      <c r="B4" s="6" t="s">
        <v>2034</v>
      </c>
    </row>
    <row r="5" spans="1:7" x14ac:dyDescent="0.25">
      <c r="A5" s="6" t="s">
        <v>2046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  <c r="G5" t="s">
        <v>2045</v>
      </c>
    </row>
    <row r="6" spans="1:7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5">
      <c r="A7" s="7" t="s">
        <v>2049</v>
      </c>
      <c r="E7">
        <v>4</v>
      </c>
      <c r="G7">
        <v>4</v>
      </c>
    </row>
    <row r="8" spans="1:7" x14ac:dyDescent="0.25">
      <c r="A8" s="7" t="s">
        <v>2050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5">
      <c r="A9" s="7" t="s">
        <v>2051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5">
      <c r="A10" s="7" t="s">
        <v>2052</v>
      </c>
      <c r="C10">
        <v>8</v>
      </c>
      <c r="E10">
        <v>10</v>
      </c>
      <c r="G10">
        <v>18</v>
      </c>
    </row>
    <row r="11" spans="1:7" x14ac:dyDescent="0.25">
      <c r="A11" s="7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25">
      <c r="A12" s="7" t="s">
        <v>2054</v>
      </c>
      <c r="B12">
        <v>4</v>
      </c>
      <c r="C12">
        <v>20</v>
      </c>
      <c r="E12">
        <v>22</v>
      </c>
      <c r="G12">
        <v>46</v>
      </c>
    </row>
    <row r="13" spans="1:7" x14ac:dyDescent="0.25">
      <c r="A13" s="7" t="s">
        <v>2055</v>
      </c>
      <c r="B13">
        <v>3</v>
      </c>
      <c r="C13">
        <v>19</v>
      </c>
      <c r="E13">
        <v>23</v>
      </c>
      <c r="G13">
        <v>45</v>
      </c>
    </row>
    <row r="14" spans="1:7" x14ac:dyDescent="0.25">
      <c r="A14" s="7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25">
      <c r="A15" s="7" t="s">
        <v>2057</v>
      </c>
      <c r="C15">
        <v>3</v>
      </c>
      <c r="E15">
        <v>4</v>
      </c>
      <c r="G15">
        <v>7</v>
      </c>
    </row>
    <row r="16" spans="1:7" x14ac:dyDescent="0.25">
      <c r="A16" s="7" t="s">
        <v>2058</v>
      </c>
      <c r="C16">
        <v>8</v>
      </c>
      <c r="D16">
        <v>1</v>
      </c>
      <c r="E16">
        <v>4</v>
      </c>
      <c r="G16">
        <v>13</v>
      </c>
    </row>
    <row r="17" spans="1:7" x14ac:dyDescent="0.25">
      <c r="A17" s="7" t="s">
        <v>2059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5">
      <c r="A18" s="7" t="s">
        <v>2060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5">
      <c r="A19" s="7" t="s">
        <v>2061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5">
      <c r="A20" s="7" t="s">
        <v>2062</v>
      </c>
      <c r="C20">
        <v>4</v>
      </c>
      <c r="E20">
        <v>4</v>
      </c>
      <c r="G20">
        <v>8</v>
      </c>
    </row>
    <row r="21" spans="1:7" x14ac:dyDescent="0.25">
      <c r="A21" s="7" t="s">
        <v>2063</v>
      </c>
      <c r="B21">
        <v>6</v>
      </c>
      <c r="C21">
        <v>30</v>
      </c>
      <c r="E21">
        <v>49</v>
      </c>
      <c r="G21">
        <v>85</v>
      </c>
    </row>
    <row r="22" spans="1:7" x14ac:dyDescent="0.25">
      <c r="A22" s="7" t="s">
        <v>2064</v>
      </c>
      <c r="C22">
        <v>9</v>
      </c>
      <c r="E22">
        <v>5</v>
      </c>
      <c r="G22">
        <v>14</v>
      </c>
    </row>
    <row r="23" spans="1:7" x14ac:dyDescent="0.25">
      <c r="A23" s="7" t="s">
        <v>2065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5">
      <c r="A24" s="7" t="s">
        <v>2066</v>
      </c>
      <c r="B24">
        <v>3</v>
      </c>
      <c r="C24">
        <v>3</v>
      </c>
      <c r="E24">
        <v>11</v>
      </c>
      <c r="G24">
        <v>17</v>
      </c>
    </row>
    <row r="25" spans="1:7" x14ac:dyDescent="0.25">
      <c r="A25" s="7" t="s">
        <v>2067</v>
      </c>
      <c r="C25">
        <v>7</v>
      </c>
      <c r="E25">
        <v>14</v>
      </c>
      <c r="G25">
        <v>21</v>
      </c>
    </row>
    <row r="26" spans="1:7" x14ac:dyDescent="0.25">
      <c r="A26" s="7" t="s">
        <v>2068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5">
      <c r="A27" s="7" t="s">
        <v>2069</v>
      </c>
      <c r="C27">
        <v>16</v>
      </c>
      <c r="D27">
        <v>1</v>
      </c>
      <c r="E27">
        <v>28</v>
      </c>
      <c r="G27">
        <v>45</v>
      </c>
    </row>
    <row r="28" spans="1:7" x14ac:dyDescent="0.25">
      <c r="A28" s="7" t="s">
        <v>2070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5">
      <c r="A29" s="7" t="s">
        <v>2071</v>
      </c>
      <c r="E29">
        <v>3</v>
      </c>
      <c r="G29">
        <v>3</v>
      </c>
    </row>
    <row r="30" spans="1:7" x14ac:dyDescent="0.25">
      <c r="A30" s="7" t="s">
        <v>2044</v>
      </c>
    </row>
    <row r="31" spans="1:7" x14ac:dyDescent="0.25">
      <c r="A31" s="7" t="s">
        <v>2045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C796-2FF0-4D2A-A2E4-13C9B67D4308}">
  <sheetPr codeName="Sheet4"/>
  <dimension ref="A1:F18"/>
  <sheetViews>
    <sheetView workbookViewId="0">
      <selection activeCell="F18" sqref="F18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2032</v>
      </c>
      <c r="B1" t="s">
        <v>2033</v>
      </c>
    </row>
    <row r="2" spans="1:6" x14ac:dyDescent="0.25">
      <c r="A2" s="6" t="s">
        <v>2086</v>
      </c>
      <c r="B2" t="s">
        <v>2033</v>
      </c>
    </row>
    <row r="4" spans="1:6" x14ac:dyDescent="0.25">
      <c r="A4" s="6" t="s">
        <v>2047</v>
      </c>
      <c r="B4" s="6" t="s">
        <v>2034</v>
      </c>
    </row>
    <row r="5" spans="1:6" x14ac:dyDescent="0.25">
      <c r="A5" s="6" t="s">
        <v>2046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2045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7986-04AF-4A4E-B996-7F01646B0258}">
  <sheetPr codeName="Sheet6"/>
  <dimension ref="A1"/>
  <sheetViews>
    <sheetView workbookViewId="0">
      <selection activeCell="G40" sqref="G40"/>
    </sheetView>
  </sheetViews>
  <sheetFormatPr defaultRowHeight="15.7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146" r:id="rId4">
          <objectPr defaultSize="0" r:id="rId5">
            <anchor moveWithCells="1">
              <from>
                <xdr:col>0</xdr:col>
                <xdr:colOff>76200</xdr:colOff>
                <xdr:row>0</xdr:row>
                <xdr:rowOff>66675</xdr:rowOff>
              </from>
              <to>
                <xdr:col>18</xdr:col>
                <xdr:colOff>85725</xdr:colOff>
                <xdr:row>25</xdr:row>
                <xdr:rowOff>190500</xdr:rowOff>
              </to>
            </anchor>
          </objectPr>
        </oleObject>
      </mc:Choice>
      <mc:Fallback>
        <oleObject progId="Word.Document.12" shapeId="6146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5DB0-D6BE-4CC8-843B-E8BBF8721E95}">
  <sheetPr codeName="Sheet5"/>
  <dimension ref="A1:H13"/>
  <sheetViews>
    <sheetView workbookViewId="0">
      <selection activeCell="G38" sqref="G38"/>
    </sheetView>
  </sheetViews>
  <sheetFormatPr defaultRowHeight="15.75" x14ac:dyDescent="0.25"/>
  <cols>
    <col min="1" max="1" width="26.375" bestFit="1" customWidth="1"/>
    <col min="2" max="2" width="15.5" bestFit="1" customWidth="1"/>
    <col min="3" max="3" width="12.625" bestFit="1" customWidth="1"/>
    <col min="4" max="4" width="15.875" bestFit="1" customWidth="1"/>
    <col min="5" max="5" width="12" bestFit="1" customWidth="1"/>
    <col min="6" max="6" width="15.25" bestFit="1" customWidth="1"/>
    <col min="7" max="7" width="15.5" bestFit="1" customWidth="1"/>
    <col min="8" max="8" width="18.7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COUNTIFS(Crowdfunding!G:G, "Successful", Crowdfunding!D:D, "&lt;1000")</f>
        <v>30</v>
      </c>
      <c r="C2">
        <f>COUNTIFS(Crowdfunding!G:G, "failed", Crowdfunding!D:D, "&lt;1000")</f>
        <v>20</v>
      </c>
      <c r="D2">
        <f>COUNTIFS(Crowdfunding!G:G, "Canceled", Crowdfunding!D:D, "&lt;1000")</f>
        <v>1</v>
      </c>
      <c r="E2">
        <f>SUM(B2:D2)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2096</v>
      </c>
      <c r="B3">
        <f>COUNTIFS(Crowdfunding!G:G, "Successful", Crowdfunding!D:D, "&gt;=1000", Crowdfunding!D:D, "&lt;4999")</f>
        <v>191</v>
      </c>
      <c r="C3">
        <f>COUNTIFS(Crowdfunding!G:G, "failed", Crowdfunding!D:D, "&gt;=1000", Crowdfunding!D:D, "&lt;4999")</f>
        <v>38</v>
      </c>
      <c r="D3">
        <f>COUNTIFS(Crowdfunding!G:G, "canceled", Crowdfunding!D:D, "&gt;=1000", Crowdfunding!D:D, "&lt;4999")</f>
        <v>2</v>
      </c>
      <c r="E3">
        <f t="shared" ref="E3:E13" si="0">SUM(B3:D3)</f>
        <v>231</v>
      </c>
      <c r="F3" s="12">
        <f t="shared" ref="F3:G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2097</v>
      </c>
      <c r="B4">
        <f>COUNTIFS(Crowdfunding!G:G, "Successful", Crowdfunding!D:D, "&gt;=5000", Crowdfunding!D:D, "&lt;9999")</f>
        <v>164</v>
      </c>
      <c r="C4">
        <f>COUNTIFS(Crowdfunding!G:G, "failed", Crowdfunding!D:D, "&gt;=5000", Crowdfunding!D:D, "&lt;9999")</f>
        <v>126</v>
      </c>
      <c r="D4">
        <f>COUNTIFS(Crowdfunding!G:G, "canceled", Crowdfunding!D:D, "&gt;=5000", Crowdfunding!D:D, "&lt;9999")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2098</v>
      </c>
      <c r="B5">
        <f>COUNTIFS(Crowdfunding!G:G, "Successful", Crowdfunding!D:D, "&gt;=10000", Crowdfunding!D:D, "&lt;14999")</f>
        <v>4</v>
      </c>
      <c r="C5">
        <f>COUNTIFS(Crowdfunding!$G:$G, "failed", Crowdfunding!$D:$D, "&gt;=10000", Crowdfunding!$D:$D, "&lt;14999")</f>
        <v>5</v>
      </c>
      <c r="D5">
        <f>COUNTIFS(Crowdfunding!$G:$G, "canceled", Crowdfunding!$D:$D, "&gt;=10000", Crowdfunding!$D:$D, "&lt;14999")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2099</v>
      </c>
      <c r="B6">
        <f>COUNTIFS(Crowdfunding!G:G, "Successful", Crowdfunding!D:D, "&gt;=15000", Crowdfunding!D:D, "&lt;19999")</f>
        <v>10</v>
      </c>
      <c r="C6">
        <f>COUNTIFS(Crowdfunding!G:G, "failed", Crowdfunding!D:D, "&gt;=15000", Crowdfunding!D:D, "&lt;19999")</f>
        <v>0</v>
      </c>
      <c r="D6">
        <f>COUNTIFS(Crowdfunding!G:G, "canceled", Crowdfunding!D:D, "&gt;=15000", Crowdfunding!D:D, "&lt;19999")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2100</v>
      </c>
      <c r="B7">
        <f>COUNTIFS(Crowdfunding!G:G, "Successful", Crowdfunding!D:D, "&gt;=20000", Crowdfunding!D:D, "&lt;24999")</f>
        <v>7</v>
      </c>
      <c r="C7">
        <f>COUNTIFS(Crowdfunding!G:G, "failed", Crowdfunding!D:D, "&gt;=20000", Crowdfunding!D:D, "&lt;24999")</f>
        <v>0</v>
      </c>
      <c r="D7">
        <f>COUNTIFS(Crowdfunding!G:G, "canceled", Crowdfunding!D:D, "&gt;=20000", Crowdfunding!D:D, "&lt;24999")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2101</v>
      </c>
      <c r="B8">
        <f>COUNTIFS(Crowdfunding!G:G, "Successful", Crowdfunding!D:D, "&gt;=25000", Crowdfunding!D:D, "&lt;29999")</f>
        <v>11</v>
      </c>
      <c r="C8">
        <f>COUNTIFS(Crowdfunding!G:G, "failed", Crowdfunding!D:D, "&gt;=25000", Crowdfunding!D:D, "&lt;29999")</f>
        <v>3</v>
      </c>
      <c r="D8">
        <f>COUNTIFS(Crowdfunding!G:G, "camceled", Crowdfunding!D:D, "&gt;=25000", Crowdfunding!D:D, "&lt;29999")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2102</v>
      </c>
      <c r="B9">
        <f>COUNTIFS(Crowdfunding!G:G, "Successful", Crowdfunding!D:D, "&gt;=30000", Crowdfunding!D:D, "&lt;34999")</f>
        <v>7</v>
      </c>
      <c r="C9">
        <f>COUNTIFS(Crowdfunding!G:G, "failed", Crowdfunding!D:D, "&gt;=30000", Crowdfunding!D:D, "&lt;34999")</f>
        <v>0</v>
      </c>
      <c r="D9">
        <f>COUNTIFS(Crowdfunding!H:H, "canceled", Crowdfunding!D:D, "&gt;=30000", Crowdfunding!D:D, "&lt;34999")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2103</v>
      </c>
      <c r="B10">
        <f>COUNTIFS(Crowdfunding!G:G, "Successful", Crowdfunding!D:D, "&gt;=35000", Crowdfunding!D:D, "&lt;39999")</f>
        <v>8</v>
      </c>
      <c r="C10">
        <f>COUNTIFS(Crowdfunding!G:G, "failed", Crowdfunding!D:D, "&gt;=35000", Crowdfunding!D:D, "&lt;39999")</f>
        <v>3</v>
      </c>
      <c r="D10">
        <f>COUNTIFS(Crowdfunding!G:G, "canceled", Crowdfunding!D:D, "&gt;=35000", Crowdfunding!D:D, "&lt;39999")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2104</v>
      </c>
      <c r="B11">
        <f>COUNTIFS(Crowdfunding!G:G, "Successful", Crowdfunding!D:D, "&gt;=40000", Crowdfunding!D:D, "&lt;44999")</f>
        <v>11</v>
      </c>
      <c r="C11">
        <f>COUNTIFS(Crowdfunding!G:G, "failed", Crowdfunding!D:D, "&gt;=40000", Crowdfunding!D:D, "&lt;44999")</f>
        <v>3</v>
      </c>
      <c r="D11">
        <f>COUNTIFS(Crowdfunding!G:G, "canceled", Crowdfunding!D:D, "&gt;=40000", Crowdfunding!D:D, "&lt;44999")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2105</v>
      </c>
      <c r="B12">
        <f>COUNTIFS(Crowdfunding!G:G, "Successful", Crowdfunding!D:D, "&gt;=45000", Crowdfunding!D:D, "&lt;49999")</f>
        <v>8</v>
      </c>
      <c r="C12">
        <f>COUNTIFS(Crowdfunding!G:G, "failed", Crowdfunding!D:D, "&gt;=45000", Crowdfunding!D:D, "&lt;49999")</f>
        <v>3</v>
      </c>
      <c r="D12">
        <f>COUNTIFS(Crowdfunding!D:D, "canceled", Crowdfunding!D:D, "&gt;=45000", Crowdfunding!D:D, "&lt;49999")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2106</v>
      </c>
      <c r="B13">
        <f>COUNTIFS(Crowdfunding!G:G, "Successful", Crowdfunding!D:D, "&gt;50000")</f>
        <v>114</v>
      </c>
      <c r="C13">
        <f>COUNTIFS(Crowdfunding!G:G, "failed", Crowdfunding!D:D, "&gt;50000")</f>
        <v>163</v>
      </c>
      <c r="D13">
        <f>COUNTIFS(Crowdfunding!G:G, "canceled", Crowdfunding!D:D, "&gt;50000")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345E-DFB5-440F-A9B0-9C34E968F04E}">
  <sheetPr codeName="Sheet7"/>
  <dimension ref="A1:K566"/>
  <sheetViews>
    <sheetView tabSelected="1" workbookViewId="0">
      <selection activeCell="E15" sqref="E15"/>
    </sheetView>
  </sheetViews>
  <sheetFormatPr defaultRowHeight="15.75" x14ac:dyDescent="0.25"/>
  <cols>
    <col min="1" max="1" width="13" customWidth="1"/>
    <col min="2" max="2" width="12.75" bestFit="1" customWidth="1"/>
    <col min="5" max="5" width="12.75" bestFit="1" customWidth="1"/>
    <col min="7" max="7" width="16.375" bestFit="1" customWidth="1"/>
    <col min="8" max="8" width="12.625" bestFit="1" customWidth="1"/>
    <col min="10" max="10" width="16.375" bestFit="1" customWidth="1"/>
  </cols>
  <sheetData>
    <row r="1" spans="1:11" x14ac:dyDescent="0.25">
      <c r="A1" t="s">
        <v>2107</v>
      </c>
      <c r="B1" t="s">
        <v>2108</v>
      </c>
      <c r="D1" t="s">
        <v>2107</v>
      </c>
      <c r="E1" t="s">
        <v>2108</v>
      </c>
      <c r="G1" s="11" t="s">
        <v>2109</v>
      </c>
      <c r="J1" s="10" t="s">
        <v>2116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G2" t="s">
        <v>2110</v>
      </c>
      <c r="H2">
        <f>AVERAGE(B2:B566)</f>
        <v>851.14690265486729</v>
      </c>
      <c r="J2" t="s">
        <v>2110</v>
      </c>
      <c r="K2">
        <f>AVERAGE(E2:E365)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G3" t="s">
        <v>2111</v>
      </c>
      <c r="H3">
        <f>MEDIAN(B2:B566)</f>
        <v>201</v>
      </c>
      <c r="J3" t="s">
        <v>2111</v>
      </c>
      <c r="K3">
        <f>MEDIAN(E2:E365)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t="s">
        <v>2112</v>
      </c>
      <c r="H4">
        <f>MIN(B2:B566)</f>
        <v>16</v>
      </c>
      <c r="J4" t="s">
        <v>2112</v>
      </c>
      <c r="K4">
        <f>MIN(E2:E365)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2113</v>
      </c>
      <c r="H5">
        <f>MAX(B2:B566)</f>
        <v>7295</v>
      </c>
      <c r="J5" t="s">
        <v>2113</v>
      </c>
      <c r="K5">
        <f>MAX(E2:E365)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2114</v>
      </c>
      <c r="H6" s="13">
        <f>VARP(B2:B566)</f>
        <v>1603373.7324019109</v>
      </c>
      <c r="J6" t="s">
        <v>2114</v>
      </c>
      <c r="K6">
        <f>VARP(E2:E365)</f>
        <v>921574.68174133555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2115</v>
      </c>
      <c r="H7">
        <f>_xlfn.STDEV.S(B2:B566)</f>
        <v>1267.366006183523</v>
      </c>
      <c r="J7" t="s">
        <v>2115</v>
      </c>
      <c r="K7">
        <f>_xlfn.STDEV.P(E2:E365)</f>
        <v>959.98681331637863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c8491c-18d1-4ded-ba5d-0aea748cace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E9FEEA4AD984084C6FAA17CF9B8FB" ma:contentTypeVersion="12" ma:contentTypeDescription="Create a new document." ma:contentTypeScope="" ma:versionID="821463e167e79d54332ea84464311970">
  <xsd:schema xmlns:xsd="http://www.w3.org/2001/XMLSchema" xmlns:xs="http://www.w3.org/2001/XMLSchema" xmlns:p="http://schemas.microsoft.com/office/2006/metadata/properties" xmlns:ns3="54c8491c-18d1-4ded-ba5d-0aea748cace4" xmlns:ns4="139da05e-09b8-4f2f-8c34-75dbca4bcbd4" targetNamespace="http://schemas.microsoft.com/office/2006/metadata/properties" ma:root="true" ma:fieldsID="0c93e298270b0da8c46377c3c1cddd88" ns3:_="" ns4:_="">
    <xsd:import namespace="54c8491c-18d1-4ded-ba5d-0aea748cace4"/>
    <xsd:import namespace="139da05e-09b8-4f2f-8c34-75dbca4bcb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8491c-18d1-4ded-ba5d-0aea748cac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da05e-09b8-4f2f-8c34-75dbca4bcbd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F17C7-3A4A-4B5E-B36F-E3DF05CFDA51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  <ds:schemaRef ds:uri="54c8491c-18d1-4ded-ba5d-0aea748cace4"/>
    <ds:schemaRef ds:uri="http://schemas.microsoft.com/office/2006/documentManagement/types"/>
    <ds:schemaRef ds:uri="http://schemas.microsoft.com/office/infopath/2007/PartnerControls"/>
    <ds:schemaRef ds:uri="139da05e-09b8-4f2f-8c34-75dbca4bcbd4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BE8FFAA-C32E-40A3-930F-6A2EF3A909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2233C2-81BF-4FA1-994E-1AE429516D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8491c-18d1-4ded-ba5d-0aea748cace4"/>
    <ds:schemaRef ds:uri="139da05e-09b8-4f2f-8c34-75dbca4bcb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Pivot Table </vt:lpstr>
      <vt:lpstr>Sub-Category Pivot Table</vt:lpstr>
      <vt:lpstr>Parent Category Pivot Table</vt:lpstr>
      <vt:lpstr>Analysis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O'Neill, Cole</cp:lastModifiedBy>
  <dcterms:created xsi:type="dcterms:W3CDTF">2021-09-29T18:52:28Z</dcterms:created>
  <dcterms:modified xsi:type="dcterms:W3CDTF">2023-12-15T02:04:35Z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0x01010017BE9FEEA4AD984084C6FAA17CF9B8FB</vt:lpwstr>
  </property>
</Properties>
</file>