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filterPrivacy="1"/>
  <xr:revisionPtr revIDLastSave="0" documentId="13_ncr:1_{29A6ECB4-2042-471D-806D-61D99F501671}" xr6:coauthVersionLast="45" xr6:coauthVersionMax="45" xr10:uidLastSave="{00000000-0000-0000-0000-000000000000}"/>
  <bookViews>
    <workbookView xWindow="-120" yWindow="-120" windowWidth="29040" windowHeight="15840" xr2:uid="{00000000-000D-0000-FFFF-FFFF00000000}"/>
  </bookViews>
  <sheets>
    <sheet name="Cash Flow" sheetId="1" r:id="rId1"/>
    <sheet name="Cash Flow Chart" sheetId="2" r:id="rId2"/>
  </sheets>
  <definedNames>
    <definedName name="Cash_beginning">'Cash Flow'!$C$7</definedName>
    <definedName name="Cash_minimum">'Cash Flow'!$C$4</definedName>
    <definedName name="CashChart">'Cash Flow'!$D$6:$O$7</definedName>
    <definedName name="Company_name">'Cash Flow'!$B$2</definedName>
    <definedName name="_xlnm.Print_Titles" localSheetId="0">'Cash Flow'!$6:$6</definedName>
    <definedName name="Start_date">'Cash Flow'!$C$3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 l="1"/>
  <c r="C3" i="1"/>
  <c r="F16" i="1" l="1"/>
  <c r="D16" i="1"/>
  <c r="O4" i="1" l="1"/>
  <c r="N4" i="1"/>
  <c r="M4" i="1"/>
  <c r="L4" i="1"/>
  <c r="K4" i="1"/>
  <c r="J4" i="1"/>
  <c r="I4" i="1"/>
  <c r="H4" i="1"/>
  <c r="G4" i="1"/>
  <c r="F4" i="1"/>
  <c r="E4" i="1"/>
  <c r="P61" i="1" l="1"/>
  <c r="P56" i="1"/>
  <c r="C17" i="1" l="1"/>
  <c r="C53" i="1" s="1"/>
  <c r="D7" i="1" l="1"/>
  <c r="D17" i="1" s="1"/>
  <c r="E16" i="1" l="1"/>
  <c r="D37" i="2" l="1"/>
  <c r="P10" i="1" l="1"/>
  <c r="P11" i="1"/>
  <c r="P12" i="1"/>
  <c r="P13" i="1"/>
  <c r="P14" i="1"/>
  <c r="P15" i="1"/>
  <c r="P48" i="1"/>
  <c r="P49" i="1"/>
  <c r="P50" i="1"/>
  <c r="P47" i="1"/>
  <c r="P21" i="1"/>
  <c r="P22" i="1"/>
  <c r="P23" i="1"/>
  <c r="P24" i="1"/>
  <c r="P25" i="1"/>
  <c r="P26" i="1"/>
  <c r="P27" i="1"/>
  <c r="P28" i="1"/>
  <c r="P29" i="1"/>
  <c r="P30" i="1"/>
  <c r="P31" i="1"/>
  <c r="P32" i="1"/>
  <c r="P33" i="1"/>
  <c r="P34" i="1"/>
  <c r="P35" i="1"/>
  <c r="P36" i="1"/>
  <c r="P37" i="1"/>
  <c r="P38" i="1"/>
  <c r="P39" i="1"/>
  <c r="P40" i="1"/>
  <c r="P41" i="1"/>
  <c r="P42" i="1"/>
  <c r="P43" i="1"/>
  <c r="P44" i="1"/>
  <c r="P20" i="1"/>
  <c r="G16" i="1"/>
  <c r="H16" i="1"/>
  <c r="I16" i="1"/>
  <c r="J16" i="1"/>
  <c r="K16" i="1"/>
  <c r="L16" i="1"/>
  <c r="M16" i="1"/>
  <c r="N16" i="1"/>
  <c r="O16" i="1"/>
  <c r="P51" i="1" l="1"/>
  <c r="D45" i="1"/>
  <c r="D52" i="1" s="1"/>
  <c r="F45" i="1"/>
  <c r="F52" i="1" s="1"/>
  <c r="K45" i="1"/>
  <c r="K52" i="1" s="1"/>
  <c r="E45" i="1"/>
  <c r="E52" i="1" s="1"/>
  <c r="J45" i="1"/>
  <c r="J52" i="1" s="1"/>
  <c r="N45" i="1"/>
  <c r="N52" i="1" s="1"/>
  <c r="I45" i="1"/>
  <c r="I52" i="1" s="1"/>
  <c r="O45" i="1"/>
  <c r="O52" i="1" s="1"/>
  <c r="H45" i="1"/>
  <c r="H52" i="1" s="1"/>
  <c r="L45" i="1"/>
  <c r="L52" i="1" s="1"/>
  <c r="M45" i="1"/>
  <c r="M52" i="1" s="1"/>
  <c r="G45" i="1"/>
  <c r="G52" i="1" s="1"/>
  <c r="P16" i="1"/>
  <c r="P52" i="1" l="1"/>
  <c r="D53" i="1"/>
  <c r="E7" i="1" s="1"/>
  <c r="E17" i="1" s="1"/>
  <c r="E53" i="1" s="1"/>
  <c r="F7" i="1" s="1"/>
  <c r="F17" i="1" s="1"/>
  <c r="F53" i="1" s="1"/>
  <c r="G7" i="1" s="1"/>
  <c r="G17" i="1" s="1"/>
  <c r="G53" i="1" s="1"/>
  <c r="H7" i="1" s="1"/>
  <c r="H17" i="1" s="1"/>
  <c r="H53" i="1" s="1"/>
  <c r="I7" i="1" s="1"/>
  <c r="I17" i="1" s="1"/>
  <c r="I53" i="1" s="1"/>
  <c r="J7" i="1" s="1"/>
  <c r="J17" i="1" s="1"/>
  <c r="J53" i="1" s="1"/>
  <c r="K7" i="1" s="1"/>
  <c r="K17" i="1" s="1"/>
  <c r="K53" i="1" s="1"/>
  <c r="L7" i="1" s="1"/>
  <c r="L17" i="1" s="1"/>
  <c r="L53" i="1" s="1"/>
  <c r="M7" i="1" s="1"/>
  <c r="M17" i="1" s="1"/>
  <c r="M53" i="1" s="1"/>
  <c r="N7" i="1" s="1"/>
  <c r="N17" i="1" s="1"/>
  <c r="N53" i="1" s="1"/>
  <c r="O7" i="1" s="1"/>
  <c r="O17" i="1" s="1"/>
  <c r="O53" i="1" s="1"/>
  <c r="P45" i="1"/>
  <c r="P59" i="1" l="1"/>
  <c r="P58" i="1"/>
  <c r="P57" i="1"/>
  <c r="P60" i="1"/>
</calcChain>
</file>

<file path=xl/sharedStrings.xml><?xml version="1.0" encoding="utf-8"?>
<sst xmlns="http://schemas.openxmlformats.org/spreadsheetml/2006/main" count="128" uniqueCount="68">
  <si>
    <t>CASH RECEIPTS</t>
  </si>
  <si>
    <t>CASH PAID OUT</t>
  </si>
  <si>
    <t>Advertising</t>
  </si>
  <si>
    <t>Utilities</t>
  </si>
  <si>
    <t>Miscellaneous</t>
  </si>
  <si>
    <t>SUBTOTAL</t>
  </si>
  <si>
    <t>Loan principal payment</t>
  </si>
  <si>
    <t>Other startup costs</t>
  </si>
  <si>
    <t>TOTAL CASH PAID OUT</t>
  </si>
  <si>
    <t>Depreciation</t>
  </si>
  <si>
    <t>Starting date</t>
  </si>
  <si>
    <t>Loan proceeds</t>
  </si>
  <si>
    <t>Owner contributions</t>
  </si>
  <si>
    <t>Purchases for resale</t>
  </si>
  <si>
    <t>Small Business Cash Flow Projection</t>
  </si>
  <si>
    <t>Interest, other income</t>
  </si>
  <si>
    <t>Returns and allowances</t>
  </si>
  <si>
    <t>Commissions and fees</t>
  </si>
  <si>
    <t>Contract labor</t>
  </si>
  <si>
    <t>Employee benefit programs</t>
  </si>
  <si>
    <t>Insurance (other than health)</t>
  </si>
  <si>
    <t>Mortgage interest</t>
  </si>
  <si>
    <t>Other interest expense</t>
  </si>
  <si>
    <t>Office expense</t>
  </si>
  <si>
    <t>Pension and profit-sharing plan</t>
  </si>
  <si>
    <t>Repairs and maintenance</t>
  </si>
  <si>
    <t>Supplies (not in COGS)</t>
  </si>
  <si>
    <t>Taxes and licenses</t>
  </si>
  <si>
    <t>Travel</t>
  </si>
  <si>
    <t>Interest expense</t>
  </si>
  <si>
    <t>Other expenses</t>
  </si>
  <si>
    <t>OTHER OPERATING DATA</t>
  </si>
  <si>
    <t>Beginning</t>
  </si>
  <si>
    <t>Bad debt balance</t>
  </si>
  <si>
    <t>Inventory on hand</t>
  </si>
  <si>
    <t>Sales volume (dollars)</t>
  </si>
  <si>
    <t>Cash balance alert minimum</t>
  </si>
  <si>
    <t>Total</t>
  </si>
  <si>
    <t>Wages (less emp. credits)</t>
  </si>
  <si>
    <t>Rent or lease</t>
  </si>
  <si>
    <t>Rent or lease: vehicles, equipment</t>
  </si>
  <si>
    <t>To reserve and/or escrow</t>
  </si>
  <si>
    <t>Owners' withdrawal</t>
  </si>
  <si>
    <t>Capital purchases</t>
  </si>
  <si>
    <t>TOTAL CASH RECEIPTS</t>
  </si>
  <si>
    <t>Cash on hand (beginning of month)</t>
  </si>
  <si>
    <t>Materials and supplies (in COGS)</t>
  </si>
  <si>
    <t>Meals and entertainment</t>
  </si>
  <si>
    <t>Cash sales</t>
  </si>
  <si>
    <t>Collections on accounts receivable</t>
  </si>
  <si>
    <t>Total cash available</t>
  </si>
  <si>
    <t>Cash on hand (end of month)</t>
  </si>
  <si>
    <t>Accounts receivable balance</t>
  </si>
  <si>
    <t>Accounts payable balance</t>
  </si>
  <si>
    <t>Jan-18</t>
  </si>
  <si>
    <t>Feb-18</t>
  </si>
  <si>
    <t>Mar-18</t>
  </si>
  <si>
    <t>Apr-18</t>
  </si>
  <si>
    <t>May-18</t>
  </si>
  <si>
    <t>Jun-18</t>
  </si>
  <si>
    <t>Jul-18</t>
  </si>
  <si>
    <t>Aug-18</t>
  </si>
  <si>
    <t>Sep-18</t>
  </si>
  <si>
    <t>Oct-18</t>
  </si>
  <si>
    <t>Nov-18</t>
  </si>
  <si>
    <t>Dec-18</t>
  </si>
  <si>
    <t>Combination chart showing Cash on Hand Minimum Alert and Cash Flow Projection is in this cell.</t>
  </si>
  <si>
    <t>Acme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</si>
</sst>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mmmm"/>
    <numFmt numFmtId="166" formatCode="&quot;$&quot;#,##0"/>
  </numFmts>
  <fonts count="13" x14ac:knownFonts="1">
    <font>
      <sz val="8"/>
      <name val="Arial"/>
    </font>
    <font>
      <sz val="10"/>
      <name val="Arial"/>
      <family val="2"/>
    </font>
    <font>
      <sz val="8"/>
      <name val="Arial"/>
      <family val="2"/>
    </font>
    <font>
      <sz val="8"/>
      <name val="Arial"/>
      <family val="2"/>
      <scheme val="minor"/>
    </font>
    <font>
      <sz val="10"/>
      <color indexed="8"/>
      <name val="Arial"/>
      <family val="2"/>
      <scheme val="minor"/>
    </font>
    <font>
      <b/>
      <sz val="10"/>
      <name val="Arial"/>
      <family val="2"/>
      <scheme val="minor"/>
    </font>
    <font>
      <b/>
      <sz val="8"/>
      <name val="Arial"/>
      <family val="2"/>
      <scheme val="minor"/>
    </font>
    <font>
      <sz val="10"/>
      <name val="Arial"/>
      <family val="2"/>
      <scheme val="minor"/>
    </font>
    <font>
      <sz val="8"/>
      <color theme="0"/>
      <name val="Arial"/>
      <family val="2"/>
      <scheme val="minor"/>
    </font>
    <font>
      <b/>
      <sz val="14"/>
      <color theme="1" tint="0.249977111117893"/>
      <name val="Arial"/>
      <family val="2"/>
      <scheme val="major"/>
    </font>
    <font>
      <b/>
      <sz val="8"/>
      <color theme="0"/>
      <name val="Arial"/>
      <family val="2"/>
      <scheme val="minor"/>
    </font>
    <font>
      <sz val="8"/>
      <color theme="0" tint="-0.249977111117893"/>
      <name val="Arial"/>
      <family val="2"/>
      <scheme val="minor"/>
    </font>
    <font>
      <b/>
      <sz val="8"/>
      <color theme="1"/>
      <name val="Arial"/>
      <family val="2"/>
      <scheme val="minor"/>
    </font>
  </fonts>
  <fills count="7">
    <fill>
      <patternFill patternType="none"/>
    </fill>
    <fill>
      <patternFill patternType="gray125"/>
    </fill>
    <fill>
      <patternFill patternType="lightUp">
        <bgColor indexed="22"/>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1" tint="0.3499862666707357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23"/>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auto="1"/>
      </top>
      <bottom style="thin">
        <color auto="1"/>
      </bottom>
      <diagonal/>
    </border>
    <border>
      <left/>
      <right/>
      <top style="thin">
        <color indexed="64"/>
      </top>
      <bottom/>
      <diagonal/>
    </border>
    <border>
      <left style="thin">
        <color indexed="64"/>
      </left>
      <right/>
      <top style="thin">
        <color indexed="64"/>
      </top>
      <bottom/>
      <diagonal/>
    </border>
  </borders>
  <cellStyleXfs count="2">
    <xf numFmtId="0" fontId="0" fillId="0" borderId="0">
      <alignment wrapText="1"/>
    </xf>
    <xf numFmtId="164" fontId="1" fillId="0" borderId="0" applyFont="0" applyFill="0" applyBorder="0" applyAlignment="0" applyProtection="0"/>
  </cellStyleXfs>
  <cellXfs count="71">
    <xf numFmtId="0" fontId="0" fillId="0" borderId="0" xfId="0">
      <alignment wrapText="1"/>
    </xf>
    <xf numFmtId="0" fontId="3" fillId="0" borderId="0" xfId="0" applyFont="1" applyAlignment="1"/>
    <xf numFmtId="0" fontId="4" fillId="0" borderId="0" xfId="0" applyFont="1" applyFill="1" applyProtection="1">
      <alignment wrapText="1"/>
    </xf>
    <xf numFmtId="17" fontId="3" fillId="0" borderId="1" xfId="0" applyNumberFormat="1" applyFont="1" applyBorder="1" applyAlignment="1" applyProtection="1">
      <alignment horizontal="right" wrapText="1"/>
      <protection locked="0"/>
    </xf>
    <xf numFmtId="3" fontId="3" fillId="0" borderId="9" xfId="0" applyNumberFormat="1" applyFont="1" applyBorder="1" applyProtection="1">
      <alignment wrapText="1"/>
      <protection locked="0"/>
    </xf>
    <xf numFmtId="0" fontId="5" fillId="0" borderId="0" xfId="0" applyFont="1" applyBorder="1" applyAlignment="1"/>
    <xf numFmtId="0" fontId="3" fillId="0" borderId="0" xfId="0" applyFont="1" applyBorder="1" applyAlignment="1"/>
    <xf numFmtId="0" fontId="6" fillId="0" borderId="0" xfId="0" applyFont="1" applyBorder="1" applyAlignment="1">
      <alignment wrapText="1"/>
    </xf>
    <xf numFmtId="0" fontId="3" fillId="0" borderId="0" xfId="0" applyFont="1" applyBorder="1">
      <alignment wrapText="1"/>
    </xf>
    <xf numFmtId="0" fontId="6" fillId="0" borderId="3" xfId="0" applyFont="1" applyBorder="1" applyAlignment="1">
      <alignment wrapText="1"/>
    </xf>
    <xf numFmtId="3" fontId="3" fillId="2" borderId="10" xfId="0" applyNumberFormat="1" applyFont="1" applyFill="1" applyBorder="1">
      <alignment wrapText="1"/>
    </xf>
    <xf numFmtId="0" fontId="3" fillId="0" borderId="0" xfId="0" applyFont="1">
      <alignment wrapText="1"/>
    </xf>
    <xf numFmtId="3" fontId="3" fillId="0" borderId="4" xfId="0" applyNumberFormat="1" applyFont="1" applyBorder="1">
      <alignment wrapText="1"/>
    </xf>
    <xf numFmtId="3" fontId="3" fillId="0" borderId="1" xfId="0" applyNumberFormat="1" applyFont="1" applyBorder="1" applyProtection="1">
      <alignment wrapText="1"/>
      <protection locked="0"/>
    </xf>
    <xf numFmtId="3" fontId="3" fillId="0" borderId="7" xfId="0" applyNumberFormat="1" applyFont="1" applyBorder="1">
      <alignment wrapText="1"/>
    </xf>
    <xf numFmtId="0" fontId="6" fillId="0" borderId="7" xfId="0" applyFont="1" applyBorder="1" applyAlignment="1">
      <alignment wrapText="1"/>
    </xf>
    <xf numFmtId="0" fontId="3" fillId="0" borderId="7" xfId="0" applyFont="1" applyBorder="1">
      <alignment wrapText="1"/>
    </xf>
    <xf numFmtId="0" fontId="3" fillId="0" borderId="0" xfId="0" applyFont="1" applyAlignment="1">
      <alignment wrapText="1"/>
    </xf>
    <xf numFmtId="0" fontId="7" fillId="0" borderId="0" xfId="0" applyFont="1" applyFill="1" applyProtection="1">
      <alignment wrapText="1"/>
    </xf>
    <xf numFmtId="3" fontId="8" fillId="0" borderId="0" xfId="0" applyNumberFormat="1" applyFont="1" applyAlignment="1"/>
    <xf numFmtId="3" fontId="3" fillId="3" borderId="10" xfId="0" applyNumberFormat="1" applyFont="1" applyFill="1" applyBorder="1">
      <alignment wrapText="1"/>
    </xf>
    <xf numFmtId="3" fontId="3" fillId="3" borderId="3" xfId="0" applyNumberFormat="1" applyFont="1" applyFill="1" applyBorder="1">
      <alignment wrapText="1"/>
    </xf>
    <xf numFmtId="3" fontId="3" fillId="0" borderId="0" xfId="0" applyNumberFormat="1" applyFont="1">
      <alignment wrapText="1"/>
    </xf>
    <xf numFmtId="0" fontId="6" fillId="0" borderId="4" xfId="0" applyFont="1" applyBorder="1" applyAlignment="1">
      <alignment wrapText="1"/>
    </xf>
    <xf numFmtId="0" fontId="3" fillId="0" borderId="5" xfId="0" applyFont="1" applyFill="1" applyBorder="1" applyProtection="1">
      <alignment wrapText="1"/>
    </xf>
    <xf numFmtId="3" fontId="3" fillId="3" borderId="8" xfId="0" applyNumberFormat="1" applyFont="1" applyFill="1" applyBorder="1">
      <alignment wrapText="1"/>
    </xf>
    <xf numFmtId="3" fontId="3" fillId="2" borderId="11" xfId="0" applyNumberFormat="1" applyFont="1" applyFill="1" applyBorder="1">
      <alignment wrapText="1"/>
    </xf>
    <xf numFmtId="3" fontId="3" fillId="0" borderId="0" xfId="0" applyNumberFormat="1" applyFont="1" applyBorder="1">
      <alignment wrapText="1"/>
    </xf>
    <xf numFmtId="3" fontId="3" fillId="0" borderId="12" xfId="0" applyNumberFormat="1" applyFont="1" applyBorder="1" applyProtection="1">
      <alignment wrapText="1"/>
      <protection locked="0"/>
    </xf>
    <xf numFmtId="0" fontId="3" fillId="0" borderId="13" xfId="0" applyNumberFormat="1" applyFont="1" applyFill="1" applyBorder="1" applyAlignment="1"/>
    <xf numFmtId="0" fontId="3" fillId="0" borderId="13" xfId="0" applyFont="1" applyBorder="1" applyAlignment="1">
      <alignment wrapText="1"/>
    </xf>
    <xf numFmtId="0" fontId="3" fillId="0" borderId="5" xfId="0" applyNumberFormat="1" applyFont="1" applyFill="1" applyBorder="1" applyAlignment="1"/>
    <xf numFmtId="0" fontId="3" fillId="0" borderId="5" xfId="0" applyFont="1" applyBorder="1" applyAlignment="1">
      <alignment wrapText="1"/>
    </xf>
    <xf numFmtId="0" fontId="3" fillId="0" borderId="6" xfId="0" applyFont="1" applyBorder="1" applyAlignment="1">
      <alignment wrapText="1"/>
    </xf>
    <xf numFmtId="0" fontId="3" fillId="0" borderId="16" xfId="0" applyFont="1" applyBorder="1" applyAlignment="1">
      <alignment wrapText="1"/>
    </xf>
    <xf numFmtId="3" fontId="3" fillId="4" borderId="14" xfId="0" applyNumberFormat="1" applyFont="1" applyFill="1" applyBorder="1" applyProtection="1">
      <alignment wrapText="1"/>
    </xf>
    <xf numFmtId="0" fontId="3" fillId="0" borderId="17" xfId="0" applyFont="1" applyBorder="1" applyAlignment="1">
      <alignment wrapText="1"/>
    </xf>
    <xf numFmtId="3" fontId="3" fillId="4" borderId="15" xfId="0" applyNumberFormat="1" applyFont="1" applyFill="1" applyBorder="1" applyProtection="1">
      <alignment wrapText="1"/>
    </xf>
    <xf numFmtId="0" fontId="3" fillId="4" borderId="18" xfId="0" applyNumberFormat="1" applyFont="1" applyFill="1" applyBorder="1">
      <alignment wrapText="1"/>
    </xf>
    <xf numFmtId="0" fontId="3" fillId="2" borderId="10" xfId="0" applyFont="1" applyFill="1" applyBorder="1">
      <alignment wrapText="1"/>
    </xf>
    <xf numFmtId="3" fontId="3" fillId="3" borderId="11" xfId="0" applyNumberFormat="1" applyFont="1" applyFill="1" applyBorder="1">
      <alignment wrapText="1"/>
    </xf>
    <xf numFmtId="3" fontId="3" fillId="0" borderId="10" xfId="0" applyNumberFormat="1" applyFont="1" applyBorder="1" applyProtection="1">
      <alignment wrapText="1"/>
      <protection locked="0"/>
    </xf>
    <xf numFmtId="3" fontId="3" fillId="2" borderId="19" xfId="0" applyNumberFormat="1" applyFont="1" applyFill="1" applyBorder="1">
      <alignment wrapText="1"/>
    </xf>
    <xf numFmtId="3" fontId="3" fillId="0" borderId="19" xfId="0" applyNumberFormat="1" applyFont="1" applyBorder="1">
      <alignment wrapText="1"/>
    </xf>
    <xf numFmtId="3" fontId="3" fillId="3" borderId="19" xfId="0" applyNumberFormat="1" applyFont="1" applyFill="1" applyBorder="1">
      <alignment wrapText="1"/>
    </xf>
    <xf numFmtId="0" fontId="3" fillId="0" borderId="20" xfId="0" applyFont="1" applyBorder="1" applyAlignment="1">
      <alignment wrapText="1"/>
    </xf>
    <xf numFmtId="3" fontId="3" fillId="0" borderId="11" xfId="0" applyNumberFormat="1" applyFont="1" applyBorder="1">
      <alignment wrapText="1"/>
    </xf>
    <xf numFmtId="0" fontId="6" fillId="5" borderId="12" xfId="0" applyFont="1" applyFill="1" applyBorder="1" applyProtection="1">
      <alignment wrapText="1"/>
    </xf>
    <xf numFmtId="3" fontId="11" fillId="2" borderId="10" xfId="0" applyNumberFormat="1" applyFont="1" applyFill="1" applyBorder="1">
      <alignment wrapText="1"/>
    </xf>
    <xf numFmtId="0" fontId="6" fillId="5" borderId="12" xfId="0" applyFont="1" applyFill="1" applyBorder="1" applyAlignment="1">
      <alignment wrapText="1"/>
    </xf>
    <xf numFmtId="3" fontId="11" fillId="2" borderId="11" xfId="0" applyNumberFormat="1" applyFont="1" applyFill="1" applyBorder="1">
      <alignment wrapText="1"/>
    </xf>
    <xf numFmtId="0" fontId="12" fillId="5" borderId="0" xfId="0" applyNumberFormat="1" applyFont="1" applyFill="1" applyBorder="1" applyAlignment="1">
      <alignment wrapText="1"/>
    </xf>
    <xf numFmtId="0" fontId="6" fillId="5" borderId="8" xfId="0" applyFont="1" applyFill="1" applyBorder="1" applyAlignment="1">
      <alignment wrapText="1"/>
    </xf>
    <xf numFmtId="3" fontId="3" fillId="2" borderId="21" xfId="0" applyNumberFormat="1" applyFont="1" applyFill="1" applyBorder="1">
      <alignment wrapText="1"/>
    </xf>
    <xf numFmtId="166" fontId="5" fillId="0" borderId="0" xfId="1" applyNumberFormat="1" applyFont="1"/>
    <xf numFmtId="0" fontId="10" fillId="6" borderId="6" xfId="0" applyFont="1" applyFill="1" applyBorder="1" applyAlignment="1">
      <alignment horizontal="center" wrapText="1"/>
    </xf>
    <xf numFmtId="17" fontId="10" fillId="6" borderId="9" xfId="0" applyNumberFormat="1" applyFont="1" applyFill="1" applyBorder="1" applyAlignment="1">
      <alignment horizontal="center" wrapText="1"/>
    </xf>
    <xf numFmtId="165" fontId="10" fillId="6" borderId="8" xfId="0" applyNumberFormat="1" applyFont="1" applyFill="1" applyBorder="1" applyAlignment="1">
      <alignment horizontal="center" wrapText="1"/>
    </xf>
    <xf numFmtId="0" fontId="10" fillId="6" borderId="2" xfId="0" applyFont="1" applyFill="1" applyBorder="1" applyAlignment="1">
      <alignment wrapText="1"/>
    </xf>
    <xf numFmtId="17" fontId="8" fillId="6" borderId="2" xfId="0" applyNumberFormat="1" applyFont="1" applyFill="1" applyBorder="1" applyAlignment="1">
      <alignment horizontal="center" wrapText="1"/>
    </xf>
    <xf numFmtId="0" fontId="8" fillId="6" borderId="2" xfId="0" applyNumberFormat="1" applyFont="1" applyFill="1" applyBorder="1" applyAlignment="1">
      <alignment horizontal="center" wrapText="1"/>
    </xf>
    <xf numFmtId="17" fontId="10" fillId="6" borderId="11" xfId="0" applyNumberFormat="1" applyFont="1" applyFill="1" applyBorder="1" applyAlignment="1">
      <alignment horizontal="center" wrapText="1"/>
    </xf>
    <xf numFmtId="0" fontId="10" fillId="6" borderId="11" xfId="0" applyNumberFormat="1" applyFont="1" applyFill="1" applyBorder="1" applyAlignment="1">
      <alignment horizontal="center" wrapText="1"/>
    </xf>
    <xf numFmtId="0" fontId="10" fillId="6" borderId="2" xfId="0" applyFont="1" applyFill="1" applyBorder="1" applyAlignment="1"/>
    <xf numFmtId="0" fontId="8" fillId="6" borderId="2" xfId="0" applyFont="1" applyFill="1" applyBorder="1" applyAlignment="1">
      <alignment horizontal="center" wrapText="1"/>
    </xf>
    <xf numFmtId="0" fontId="6" fillId="5" borderId="22" xfId="0" applyFont="1" applyFill="1" applyBorder="1" applyAlignment="1">
      <alignment wrapText="1"/>
    </xf>
    <xf numFmtId="3" fontId="3" fillId="3" borderId="23" xfId="0" applyNumberFormat="1" applyFont="1" applyFill="1" applyBorder="1">
      <alignment wrapText="1"/>
    </xf>
    <xf numFmtId="3" fontId="3" fillId="3" borderId="21" xfId="0" applyNumberFormat="1" applyFont="1" applyFill="1" applyBorder="1">
      <alignment wrapText="1"/>
    </xf>
    <xf numFmtId="0" fontId="9" fillId="0" borderId="0" xfId="0" applyFont="1" applyFill="1" applyBorder="1" applyAlignment="1" applyProtection="1">
      <alignment horizontal="center" wrapText="1"/>
    </xf>
    <xf numFmtId="0" fontId="7" fillId="0" borderId="0" xfId="0" applyFont="1" applyFill="1" applyProtection="1">
      <alignment wrapText="1"/>
    </xf>
    <xf numFmtId="0" fontId="3" fillId="0" borderId="0" xfId="0" applyFont="1" applyAlignment="1">
      <alignment horizontal="center"/>
    </xf>
  </cellXfs>
  <cellStyles count="2">
    <cellStyle name="Currency" xfId="1" builtinId="4"/>
    <cellStyle name="Normal" xfId="0" builtinId="0" customBuiltin="1"/>
  </cellStyles>
  <dxfs count="143">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0" tint="-0.249977111117893"/>
        <name val="Arial"/>
        <family val="2"/>
        <scheme val="minor"/>
      </font>
      <numFmt numFmtId="3" formatCode="#,##0"/>
      <fill>
        <patternFill patternType="lightUp">
          <fgColor indexed="64"/>
          <bgColor indexed="22"/>
        </patternFill>
      </fill>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fill>
        <patternFill patternType="lightUp">
          <fgColor indexed="64"/>
          <bgColor indexed="22"/>
        </patternFill>
      </fill>
      <border diagonalUp="0" diagonalDown="0">
        <left style="thin">
          <color indexed="64"/>
        </left>
        <right/>
        <top style="thin">
          <color indexed="64"/>
        </top>
        <bottom/>
        <vertical/>
        <horizontal/>
      </border>
    </dxf>
    <dxf>
      <font>
        <b/>
        <i val="0"/>
        <strike val="0"/>
        <condense val="0"/>
        <extend val="0"/>
        <outline val="0"/>
        <shadow val="0"/>
        <u val="none"/>
        <vertAlign val="baseline"/>
        <sz val="8"/>
        <color auto="1"/>
        <name val="Arial"/>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8"/>
        <color auto="1"/>
        <name val="Arial"/>
        <family val="2"/>
        <scheme val="minor"/>
      </font>
      <alignment horizontal="general" vertical="bottom" textRotation="0" wrapText="1"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8"/>
        <color auto="1"/>
        <name val="Arial"/>
        <family val="2"/>
        <scheme val="minor"/>
      </font>
    </dxf>
    <dxf>
      <font>
        <b/>
        <i val="0"/>
        <strike val="0"/>
        <condense val="0"/>
        <extend val="0"/>
        <outline val="0"/>
        <shadow val="0"/>
        <u val="none"/>
        <vertAlign val="baseline"/>
        <sz val="8"/>
        <color theme="0"/>
        <name val="Arial"/>
        <family val="2"/>
        <scheme val="minor"/>
      </font>
      <numFmt numFmtId="22" formatCode="mmm/yy"/>
      <fill>
        <patternFill patternType="solid">
          <fgColor indexed="64"/>
          <bgColor theme="1" tint="0.499984740745262"/>
        </patternFill>
      </fill>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0.249977111117893"/>
        </patternFill>
      </fill>
      <border diagonalUp="0" diagonalDown="0">
        <left style="thin">
          <color indexed="64"/>
        </left>
        <right/>
        <top style="thin">
          <color indexed="64"/>
        </top>
        <bottom style="thin">
          <color indexed="64"/>
        </bottom>
        <vertical/>
        <horizontal/>
      </border>
      <protection locked="1"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family val="2"/>
        <scheme val="minor"/>
      </font>
      <protection locked="0" hidden="0"/>
    </dxf>
    <dxf>
      <border outline="0">
        <bottom style="thin">
          <color indexed="64"/>
        </bottom>
      </border>
    </dxf>
    <dxf>
      <font>
        <b val="0"/>
        <i val="0"/>
        <strike val="0"/>
        <condense val="0"/>
        <extend val="0"/>
        <outline val="0"/>
        <shadow val="0"/>
        <u val="none"/>
        <vertAlign val="baseline"/>
        <sz val="8"/>
        <color theme="0"/>
        <name val="Arial"/>
        <family val="2"/>
        <scheme val="minor"/>
      </font>
      <fill>
        <patternFill patternType="solid">
          <fgColor indexed="64"/>
          <bgColor theme="1" tint="0.34998626667073579"/>
        </patternFill>
      </fill>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fill>
        <patternFill patternType="lightUp">
          <fgColor indexed="64"/>
          <bgColor indexed="2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minor"/>
      </font>
      <numFmt numFmtId="3" formatCode="#,##0"/>
      <fill>
        <patternFill patternType="lightUp">
          <fgColor indexed="64"/>
          <bgColor indexed="22"/>
        </patternFill>
      </fill>
      <border diagonalUp="0" diagonalDown="0">
        <left style="thin">
          <color indexed="64"/>
        </left>
        <right style="thin">
          <color indexed="64"/>
        </right>
        <top/>
        <bottom/>
        <vertical/>
        <horizontal/>
      </border>
    </dxf>
    <dxf>
      <font>
        <b/>
        <i val="0"/>
        <strike val="0"/>
        <condense val="0"/>
        <extend val="0"/>
        <outline val="0"/>
        <shadow val="0"/>
        <u val="none"/>
        <vertAlign val="baseline"/>
        <sz val="8"/>
        <color auto="1"/>
        <name val="Arial"/>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auto="1"/>
        <name val="Arial"/>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8"/>
        <color auto="1"/>
        <name val="Arial"/>
        <family val="2"/>
        <scheme val="minor"/>
      </font>
      <protection locked="0" hidden="0"/>
    </dxf>
    <dxf>
      <border outline="0">
        <bottom style="thin">
          <color indexed="64"/>
        </bottom>
      </border>
    </dxf>
    <dxf>
      <font>
        <b val="0"/>
        <i val="0"/>
        <strike val="0"/>
        <condense val="0"/>
        <extend val="0"/>
        <outline val="0"/>
        <shadow val="0"/>
        <u val="none"/>
        <vertAlign val="baseline"/>
        <sz val="8"/>
        <color theme="0"/>
        <name val="Arial"/>
        <family val="2"/>
        <scheme val="minor"/>
      </font>
      <numFmt numFmtId="3" formatCode="#,##0"/>
      <fill>
        <patternFill patternType="solid">
          <fgColor indexed="64"/>
          <bgColor theme="1" tint="0.34998626667073579"/>
        </patternFill>
      </fill>
    </dxf>
    <dxf>
      <font>
        <b val="0"/>
        <i val="0"/>
        <strike val="0"/>
        <condense val="0"/>
        <extend val="0"/>
        <outline val="0"/>
        <shadow val="0"/>
        <u val="none"/>
        <vertAlign val="baseline"/>
        <sz val="8"/>
        <color auto="1"/>
        <name val="Arial"/>
        <family val="2"/>
        <scheme val="minor"/>
      </font>
      <numFmt numFmtId="3" formatCode="#,##0"/>
      <fill>
        <patternFill patternType="lightUp">
          <fgColor indexed="64"/>
          <bgColor indexed="22"/>
        </patternFill>
      </fill>
      <border diagonalUp="0" diagonalDown="0">
        <left style="thin">
          <color indexed="64"/>
        </left>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Arial"/>
        <family val="2"/>
        <scheme val="minor"/>
      </font>
      <numFmt numFmtId="3" formatCode="#,##0"/>
      <border diagonalUp="0" diagonalDown="0">
        <left/>
        <right style="thin">
          <color indexed="64"/>
        </right>
        <top/>
        <bottom/>
        <vertical/>
        <horizontal/>
      </border>
      <protection locked="0" hidden="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family val="2"/>
        <scheme val="minor"/>
      </font>
      <fill>
        <patternFill patternType="solid">
          <fgColor indexed="64"/>
          <bgColor theme="0" tint="-4.9989318521683403E-2"/>
        </patternFill>
      </fill>
    </dxf>
    <dxf>
      <border outline="0">
        <bottom style="thin">
          <color indexed="64"/>
        </bottom>
      </border>
    </dxf>
    <dxf>
      <font>
        <b/>
        <i val="0"/>
        <strike val="0"/>
        <condense val="0"/>
        <extend val="0"/>
        <outline val="0"/>
        <shadow val="0"/>
        <u val="none"/>
        <vertAlign val="baseline"/>
        <sz val="8"/>
        <color theme="0"/>
        <name val="Arial"/>
        <family val="2"/>
        <scheme val="minor"/>
      </font>
      <numFmt numFmtId="22" formatCode="mmm/yy"/>
      <fill>
        <patternFill patternType="solid">
          <fgColor indexed="64"/>
          <bgColor theme="1" tint="0.34998626667073579"/>
        </patternFill>
      </fill>
      <alignment horizontal="center" vertical="bottom"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top/>
        <bottom/>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fill>
        <patternFill patternType="solid">
          <fgColor indexed="64"/>
          <bgColor theme="0" tint="-4.9989318521683403E-2"/>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Arial"/>
        <family val="2"/>
        <scheme val="minor"/>
      </font>
      <numFmt numFmtId="3"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0" tint="-0.249977111117893"/>
        <name val="Arial"/>
        <family val="2"/>
        <scheme val="minor"/>
      </font>
      <numFmt numFmtId="3" formatCode="#,##0"/>
      <fill>
        <patternFill patternType="lightUp">
          <fgColor indexed="64"/>
          <bgColor indexed="2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minor"/>
      </font>
      <numFmt numFmtId="3" formatCode="#,##0"/>
      <fill>
        <patternFill patternType="lightUp">
          <fgColor indexed="64"/>
          <bgColor indexed="22"/>
        </patternFill>
      </fill>
      <border diagonalUp="0" diagonalDown="0">
        <left style="thin">
          <color indexed="64"/>
        </left>
        <right style="thin">
          <color indexed="64"/>
        </right>
        <top/>
        <bottom/>
        <vertical/>
        <horizontal/>
      </border>
    </dxf>
    <dxf>
      <font>
        <b/>
        <i val="0"/>
        <strike val="0"/>
        <condense val="0"/>
        <extend val="0"/>
        <outline val="0"/>
        <shadow val="0"/>
        <u val="none"/>
        <vertAlign val="baseline"/>
        <sz val="8"/>
        <color auto="1"/>
        <name val="Arial"/>
        <family val="2"/>
        <scheme val="minor"/>
      </font>
      <fill>
        <patternFill patternType="solid">
          <fgColor indexed="64"/>
          <bgColor theme="0"/>
        </patternFill>
      </fill>
      <border diagonalUp="0" diagonalDown="0" outline="0">
        <left/>
        <right style="thin">
          <color indexed="64"/>
        </right>
        <top/>
        <bottom/>
      </border>
      <protection locked="1" hidden="0"/>
    </dxf>
    <dxf>
      <font>
        <b val="0"/>
        <i val="0"/>
        <strike val="0"/>
        <condense val="0"/>
        <extend val="0"/>
        <outline val="0"/>
        <shadow val="0"/>
        <u val="none"/>
        <vertAlign val="baseline"/>
        <sz val="8"/>
        <color auto="1"/>
        <name val="Arial"/>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protection locked="1" hidden="0"/>
    </dxf>
    <dxf>
      <border outline="0">
        <left style="thin">
          <color indexed="64"/>
        </left>
        <right style="thin">
          <color indexed="64"/>
        </right>
        <top style="thin">
          <color indexed="64"/>
        </top>
      </border>
    </dxf>
    <dxf>
      <font>
        <b val="0"/>
        <i val="0"/>
        <strike val="0"/>
        <condense val="0"/>
        <extend val="0"/>
        <outline val="0"/>
        <shadow val="0"/>
        <u val="none"/>
        <vertAlign val="baseline"/>
        <sz val="8"/>
        <color auto="1"/>
        <name val="Arial"/>
        <family val="2"/>
        <scheme val="minor"/>
      </font>
      <protection locked="0" hidden="0"/>
    </dxf>
    <dxf>
      <border outline="0">
        <bottom style="thin">
          <color indexed="64"/>
        </bottom>
      </border>
    </dxf>
    <dxf>
      <font>
        <b val="0"/>
        <i val="0"/>
        <strike val="0"/>
        <condense val="0"/>
        <extend val="0"/>
        <outline val="0"/>
        <shadow val="0"/>
        <u val="none"/>
        <vertAlign val="baseline"/>
        <sz val="8"/>
        <color theme="0"/>
        <name val="Arial"/>
        <family val="2"/>
        <scheme val="minor"/>
      </font>
      <numFmt numFmtId="3" formatCode="#,##0"/>
      <fill>
        <patternFill patternType="solid">
          <fgColor indexed="64"/>
          <bgColor theme="1" tint="0.34998626667073579"/>
        </patternFill>
      </fill>
    </dxf>
    <dxf>
      <font>
        <color rgb="FFC00000"/>
      </font>
    </dxf>
    <dxf>
      <font>
        <b/>
        <i val="0"/>
      </font>
    </dxf>
    <dxf>
      <fill>
        <patternFill>
          <bgColor theme="0" tint="-4.9989318521683403E-2"/>
        </patternFill>
      </fill>
    </dxf>
    <dxf>
      <font>
        <b/>
        <i val="0"/>
        <color theme="0"/>
      </font>
      <fill>
        <patternFill>
          <bgColor theme="1" tint="0.499984740745262"/>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Cash" pivot="0" count="4" xr9:uid="{3973EF6A-B0C6-494A-AB23-DAB401262EA5}">
      <tableStyleElement type="wholeTable" dxfId="142"/>
      <tableStyleElement type="headerRow" dxfId="141"/>
      <tableStyleElement type="totalRow" dxfId="140"/>
      <tableStyleElement type="firstTotalCell" dxfId="13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DDDDDD"/>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CCFF"/>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Cash Flow Projection
Company Name</a:t>
            </a:r>
          </a:p>
        </c:rich>
      </c:tx>
      <c:layout>
        <c:manualLayout>
          <c:xMode val="edge"/>
          <c:yMode val="edge"/>
          <c:x val="0.37296784982359332"/>
          <c:y val="2.9227557411273492E-2"/>
        </c:manualLayout>
      </c:layout>
      <c:overlay val="0"/>
    </c:title>
    <c:autoTitleDeleted val="0"/>
    <c:plotArea>
      <c:layout>
        <c:manualLayout>
          <c:layoutTarget val="inner"/>
          <c:xMode val="edge"/>
          <c:yMode val="edge"/>
          <c:x val="7.0122020811520303E-2"/>
          <c:y val="0.20876826722338204"/>
          <c:w val="0.68496002937629952"/>
          <c:h val="0.6179540709812108"/>
        </c:manualLayout>
      </c:layout>
      <c:barChart>
        <c:barDir val="col"/>
        <c:grouping val="clustered"/>
        <c:varyColors val="0"/>
        <c:ser>
          <c:idx val="0"/>
          <c:order val="0"/>
          <c:tx>
            <c:v>Cash Flow Projection</c:v>
          </c:tx>
          <c:invertIfNegative val="0"/>
          <c:cat>
            <c:strRef>
              <c:f>'Cash Flow'!$C$6:$O$6</c:f>
              <c:strCache>
                <c:ptCount val="13"/>
                <c:pt idx="0">
                  <c:v>Beginning</c:v>
                </c:pt>
                <c:pt idx="1">
                  <c:v>Jan-18</c:v>
                </c:pt>
                <c:pt idx="2">
                  <c:v>Feb-18</c:v>
                </c:pt>
                <c:pt idx="3">
                  <c:v>Mar-18</c:v>
                </c:pt>
                <c:pt idx="4">
                  <c:v>Apr-18</c:v>
                </c:pt>
                <c:pt idx="5">
                  <c:v>May-18</c:v>
                </c:pt>
                <c:pt idx="6">
                  <c:v>Jun-18</c:v>
                </c:pt>
                <c:pt idx="7">
                  <c:v>Jul-18</c:v>
                </c:pt>
                <c:pt idx="8">
                  <c:v>Aug-18</c:v>
                </c:pt>
                <c:pt idx="9">
                  <c:v>Sep-18</c:v>
                </c:pt>
                <c:pt idx="10">
                  <c:v>Oct-18</c:v>
                </c:pt>
                <c:pt idx="11">
                  <c:v>Nov-18</c:v>
                </c:pt>
                <c:pt idx="12">
                  <c:v>Dec-18</c:v>
                </c:pt>
              </c:strCache>
            </c:strRef>
          </c:cat>
          <c:val>
            <c:numRef>
              <c:f>'Cash Flow'!$C$53:$O$53</c:f>
              <c:numCache>
                <c:formatCode>#,##0</c:formatCode>
                <c:ptCount val="13"/>
                <c:pt idx="0">
                  <c:v>2320</c:v>
                </c:pt>
                <c:pt idx="1">
                  <c:v>3159</c:v>
                </c:pt>
                <c:pt idx="2">
                  <c:v>3850</c:v>
                </c:pt>
                <c:pt idx="3">
                  <c:v>3313</c:v>
                </c:pt>
                <c:pt idx="4">
                  <c:v>3073</c:v>
                </c:pt>
                <c:pt idx="5">
                  <c:v>3176</c:v>
                </c:pt>
                <c:pt idx="6">
                  <c:v>1808</c:v>
                </c:pt>
                <c:pt idx="7">
                  <c:v>1607</c:v>
                </c:pt>
                <c:pt idx="8">
                  <c:v>1198</c:v>
                </c:pt>
                <c:pt idx="9">
                  <c:v>23</c:v>
                </c:pt>
                <c:pt idx="10">
                  <c:v>-1153</c:v>
                </c:pt>
                <c:pt idx="11">
                  <c:v>-483</c:v>
                </c:pt>
                <c:pt idx="12">
                  <c:v>-502</c:v>
                </c:pt>
              </c:numCache>
            </c:numRef>
          </c:val>
          <c:extLst>
            <c:ext xmlns:c16="http://schemas.microsoft.com/office/drawing/2014/chart" uri="{C3380CC4-5D6E-409C-BE32-E72D297353CC}">
              <c16:uniqueId val="{00000000-170E-4586-9BA1-20653FE14EBD}"/>
            </c:ext>
          </c:extLst>
        </c:ser>
        <c:dLbls>
          <c:showLegendKey val="0"/>
          <c:showVal val="0"/>
          <c:showCatName val="0"/>
          <c:showSerName val="0"/>
          <c:showPercent val="0"/>
          <c:showBubbleSize val="0"/>
        </c:dLbls>
        <c:gapWidth val="150"/>
        <c:axId val="149172224"/>
        <c:axId val="165924864"/>
      </c:barChart>
      <c:lineChart>
        <c:grouping val="standard"/>
        <c:varyColors val="0"/>
        <c:ser>
          <c:idx val="1"/>
          <c:order val="1"/>
          <c:tx>
            <c:v>Cash on Hand Minimum Alert</c:v>
          </c:tx>
          <c:cat>
            <c:strRef>
              <c:f>'Cash Flow'!$C$6:$O$6</c:f>
              <c:strCache>
                <c:ptCount val="13"/>
                <c:pt idx="0">
                  <c:v>Beginning</c:v>
                </c:pt>
                <c:pt idx="1">
                  <c:v>Jan-18</c:v>
                </c:pt>
                <c:pt idx="2">
                  <c:v>Feb-18</c:v>
                </c:pt>
                <c:pt idx="3">
                  <c:v>Mar-18</c:v>
                </c:pt>
                <c:pt idx="4">
                  <c:v>Apr-18</c:v>
                </c:pt>
                <c:pt idx="5">
                  <c:v>May-18</c:v>
                </c:pt>
                <c:pt idx="6">
                  <c:v>Jun-18</c:v>
                </c:pt>
                <c:pt idx="7">
                  <c:v>Jul-18</c:v>
                </c:pt>
                <c:pt idx="8">
                  <c:v>Aug-18</c:v>
                </c:pt>
                <c:pt idx="9">
                  <c:v>Sep-18</c:v>
                </c:pt>
                <c:pt idx="10">
                  <c:v>Oct-18</c:v>
                </c:pt>
                <c:pt idx="11">
                  <c:v>Nov-18</c:v>
                </c:pt>
                <c:pt idx="12">
                  <c:v>Dec-18</c:v>
                </c:pt>
              </c:strCache>
            </c:strRef>
          </c:cat>
          <c:val>
            <c:numRef>
              <c:f>'Cash Flow'!$C$4:$O$4</c:f>
              <c:numCache>
                <c:formatCode>#,##0</c:formatCode>
                <c:ptCount val="13"/>
                <c:pt idx="0">
                  <c:v>1000</c:v>
                </c:pt>
                <c:pt idx="1">
                  <c:v>1000</c:v>
                </c:pt>
                <c:pt idx="2">
                  <c:v>1000</c:v>
                </c:pt>
                <c:pt idx="3">
                  <c:v>1000</c:v>
                </c:pt>
                <c:pt idx="4">
                  <c:v>1000</c:v>
                </c:pt>
                <c:pt idx="5">
                  <c:v>1000</c:v>
                </c:pt>
                <c:pt idx="6">
                  <c:v>1000</c:v>
                </c:pt>
                <c:pt idx="7">
                  <c:v>1000</c:v>
                </c:pt>
                <c:pt idx="8">
                  <c:v>1000</c:v>
                </c:pt>
                <c:pt idx="9">
                  <c:v>1000</c:v>
                </c:pt>
                <c:pt idx="10">
                  <c:v>1000</c:v>
                </c:pt>
                <c:pt idx="11">
                  <c:v>1000</c:v>
                </c:pt>
                <c:pt idx="12">
                  <c:v>1000</c:v>
                </c:pt>
              </c:numCache>
            </c:numRef>
          </c:val>
          <c:smooth val="0"/>
          <c:extLst>
            <c:ext xmlns:c16="http://schemas.microsoft.com/office/drawing/2014/chart" uri="{C3380CC4-5D6E-409C-BE32-E72D297353CC}">
              <c16:uniqueId val="{00000001-170E-4586-9BA1-20653FE14EBD}"/>
            </c:ext>
          </c:extLst>
        </c:ser>
        <c:dLbls>
          <c:showLegendKey val="0"/>
          <c:showVal val="0"/>
          <c:showCatName val="0"/>
          <c:showSerName val="0"/>
          <c:showPercent val="0"/>
          <c:showBubbleSize val="0"/>
        </c:dLbls>
        <c:marker val="1"/>
        <c:smooth val="0"/>
        <c:axId val="149172224"/>
        <c:axId val="165924864"/>
      </c:lineChart>
      <c:catAx>
        <c:axId val="149172224"/>
        <c:scaling>
          <c:orientation val="minMax"/>
        </c:scaling>
        <c:delete val="0"/>
        <c:axPos val="b"/>
        <c:title>
          <c:tx>
            <c:rich>
              <a:bodyPr/>
              <a:lstStyle/>
              <a:p>
                <a:pPr>
                  <a:defRPr/>
                </a:pPr>
                <a:r>
                  <a:rPr lang="en-US"/>
                  <a:t>Period</a:t>
                </a:r>
              </a:p>
            </c:rich>
          </c:tx>
          <c:layout>
            <c:manualLayout>
              <c:xMode val="edge"/>
              <c:yMode val="edge"/>
              <c:x val="0.38109798775153103"/>
              <c:y val="0.92484342379958251"/>
            </c:manualLayout>
          </c:layout>
          <c:overlay val="0"/>
        </c:title>
        <c:numFmt formatCode="General" sourceLinked="1"/>
        <c:majorTickMark val="out"/>
        <c:minorTickMark val="none"/>
        <c:tickLblPos val="nextTo"/>
        <c:txPr>
          <a:bodyPr rot="-2700000" vert="horz"/>
          <a:lstStyle/>
          <a:p>
            <a:pPr>
              <a:defRPr>
                <a:solidFill>
                  <a:sysClr val="windowText" lastClr="000000"/>
                </a:solidFill>
              </a:defRPr>
            </a:pPr>
            <a:endParaRPr lang="en-US"/>
          </a:p>
        </c:txPr>
        <c:crossAx val="165924864"/>
        <c:crosses val="autoZero"/>
        <c:auto val="1"/>
        <c:lblAlgn val="ctr"/>
        <c:lblOffset val="100"/>
        <c:tickLblSkip val="1"/>
        <c:tickMarkSkip val="1"/>
        <c:noMultiLvlLbl val="0"/>
      </c:catAx>
      <c:valAx>
        <c:axId val="165924864"/>
        <c:scaling>
          <c:orientation val="minMax"/>
        </c:scaling>
        <c:delete val="0"/>
        <c:axPos val="l"/>
        <c:majorGridlines/>
        <c:title>
          <c:tx>
            <c:rich>
              <a:bodyPr/>
              <a:lstStyle/>
              <a:p>
                <a:pPr>
                  <a:defRPr/>
                </a:pPr>
                <a:r>
                  <a:rPr lang="en-US"/>
                  <a:t>Cash on Hand</a:t>
                </a:r>
              </a:p>
            </c:rich>
          </c:tx>
          <c:layout>
            <c:manualLayout>
              <c:xMode val="edge"/>
              <c:yMode val="edge"/>
              <c:x val="1.0162611711814535E-2"/>
              <c:y val="0.39874739039665974"/>
            </c:manualLayout>
          </c:layout>
          <c:overlay val="0"/>
        </c:title>
        <c:numFmt formatCode="#,##0" sourceLinked="1"/>
        <c:majorTickMark val="out"/>
        <c:minorTickMark val="none"/>
        <c:tickLblPos val="nextTo"/>
        <c:txPr>
          <a:bodyPr rot="0" vert="horz"/>
          <a:lstStyle/>
          <a:p>
            <a:pPr>
              <a:defRPr/>
            </a:pPr>
            <a:endParaRPr lang="en-US"/>
          </a:p>
        </c:txPr>
        <c:crossAx val="149172224"/>
        <c:crosses val="autoZero"/>
        <c:crossBetween val="between"/>
      </c:valAx>
    </c:plotArea>
    <c:legend>
      <c:legendPos val="r"/>
      <c:layout>
        <c:manualLayout>
          <c:xMode val="edge"/>
          <c:yMode val="edge"/>
          <c:x val="0.77845605712499333"/>
          <c:y val="0.45511482254697289"/>
          <c:w val="0.21341484594810523"/>
          <c:h val="8.9770354906054298E-2"/>
        </c:manualLayout>
      </c:layout>
      <c:overlay val="0"/>
      <c:txPr>
        <a:bodyPr/>
        <a:lstStyle/>
        <a:p>
          <a:pPr>
            <a:defRPr>
              <a:solidFill>
                <a:sysClr val="windowText" lastClr="000000"/>
              </a:solidFill>
            </a:defRPr>
          </a:pPr>
          <a:endParaRPr lang="en-US"/>
        </a:p>
      </c:txPr>
    </c:legend>
    <c:plotVisOnly val="1"/>
    <c:dispBlanksAs val="gap"/>
    <c:showDLblsOverMax val="0"/>
  </c:chart>
  <c:printSettings>
    <c:headerFooter alignWithMargins="0"/>
    <c:pageMargins b="1" l="0.75000000000000011" r="0.75000000000000011"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104775</xdr:rowOff>
    </xdr:from>
    <xdr:to>
      <xdr:col>16</xdr:col>
      <xdr:colOff>66675</xdr:colOff>
      <xdr:row>33</xdr:row>
      <xdr:rowOff>95250</xdr:rowOff>
    </xdr:to>
    <xdr:graphicFrame macro="">
      <xdr:nvGraphicFramePr>
        <xdr:cNvPr id="4098" name="Chart 2" descr="Combination chart showing Cash on Hand Minimum Alert and Cash Flow Projection ">
          <a:extLst>
            <a:ext uri="{FF2B5EF4-FFF2-40B4-BE49-F238E27FC236}">
              <a16:creationId xmlns:a16="http://schemas.microsoft.com/office/drawing/2014/main" id="{00000000-0008-0000-0100-000002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8D09BB-34D3-4AF7-9031-3D6DF1158C56}" name="CashReceipts" displayName="CashReceipts" ref="B9:P16" totalsRowCount="1" headerRowDxfId="137" dataDxfId="135" headerRowBorderDxfId="136" tableBorderDxfId="134">
  <autoFilter ref="B9:P15" xr:uid="{CFC3E0DF-7E01-43B0-81AC-B970BB27AC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B785BA6-709A-4A26-97A8-620F1A41A744}" name="CASH RECEIPTS" totalsRowLabel="TOTAL CASH RECEIPTS" dataDxfId="133" totalsRowDxfId="132"/>
    <tableColumn id="2" xr3:uid="{91C2B6BC-11DB-4F7F-A837-AA987D387048}" name="Beginning" dataDxfId="131" totalsRowDxfId="130"/>
    <tableColumn id="3" xr3:uid="{EAFC92A7-99F7-4058-BE5D-3FCB3E5080BC}" name="Jan-18" totalsRowFunction="custom" dataDxfId="129" totalsRowDxfId="128">
      <totalsRowFormula>SUM(D10,D12:D15,(D11*-1))</totalsRowFormula>
    </tableColumn>
    <tableColumn id="4" xr3:uid="{DF5F164F-FD23-4AAA-A7A5-55E2EA3129E5}" name="Feb-18" totalsRowFunction="custom" dataDxfId="127" totalsRowDxfId="126">
      <totalsRowFormula>SUM(E10,E12:E15,(E11*-1))</totalsRowFormula>
    </tableColumn>
    <tableColumn id="5" xr3:uid="{475C154A-8FF3-4B3F-858C-11CB0D071C8E}" name="Mar-18" totalsRowFunction="custom" dataDxfId="125" totalsRowDxfId="124">
      <totalsRowFormula>SUM(F10,F12:F15,(F11*-1))</totalsRowFormula>
    </tableColumn>
    <tableColumn id="6" xr3:uid="{A4A81A2E-5A80-49FF-B0C7-C3FD322D8328}" name="Apr-18" totalsRowFunction="custom" dataDxfId="123" totalsRowDxfId="122">
      <totalsRowFormula>SUM(G10,G12:G15,(G11*-1))</totalsRowFormula>
    </tableColumn>
    <tableColumn id="7" xr3:uid="{057ACB0A-F039-4246-886D-E108CD9A4C27}" name="May-18" totalsRowFunction="custom" dataDxfId="121" totalsRowDxfId="120">
      <totalsRowFormula>SUM(H10,H12:H15,(H11*-1))</totalsRowFormula>
    </tableColumn>
    <tableColumn id="8" xr3:uid="{02E2AB04-F8F4-47DA-9626-D1BA6BAAB183}" name="Jun-18" totalsRowFunction="custom" dataDxfId="119" totalsRowDxfId="118">
      <totalsRowFormula>SUM(I10,I12:I15,(I11*-1))</totalsRowFormula>
    </tableColumn>
    <tableColumn id="9" xr3:uid="{2E77A184-8560-4584-B7AB-3C29EF58CFEB}" name="Jul-18" totalsRowFunction="custom" dataDxfId="117" totalsRowDxfId="116">
      <totalsRowFormula>SUM(J10,J12:J15,(J11*-1))</totalsRowFormula>
    </tableColumn>
    <tableColumn id="10" xr3:uid="{AF505866-741F-472B-9321-9C1FE0A0C8BB}" name="Aug-18" totalsRowFunction="custom" dataDxfId="115" totalsRowDxfId="114">
      <totalsRowFormula>SUM(K10,K12:K15,(K11*-1))</totalsRowFormula>
    </tableColumn>
    <tableColumn id="11" xr3:uid="{86A5EB5F-CB3E-4435-B329-D75D16031EC4}" name="Sep-18" totalsRowFunction="custom" dataDxfId="113" totalsRowDxfId="112">
      <totalsRowFormula>SUM(L10,L12:L15,(L11*-1))</totalsRowFormula>
    </tableColumn>
    <tableColumn id="12" xr3:uid="{0CF60FD3-7405-45F1-9261-F99C8D40410D}" name="Oct-18" totalsRowFunction="custom" dataDxfId="111" totalsRowDxfId="110">
      <totalsRowFormula>SUM(M10,M12:M15,(M11*-1))</totalsRowFormula>
    </tableColumn>
    <tableColumn id="13" xr3:uid="{A9F2F9CA-E616-4FB8-B375-9D72A3A2306E}" name="Nov-18" totalsRowFunction="custom" dataDxfId="109" totalsRowDxfId="108">
      <totalsRowFormula>SUM(N10,N12:N15,(N11*-1))</totalsRowFormula>
    </tableColumn>
    <tableColumn id="14" xr3:uid="{8339EBEE-BBEA-46CE-BCF2-D019FBC764EA}" name="Dec-18" totalsRowFunction="custom" dataDxfId="107" totalsRowDxfId="106">
      <totalsRowFormula>SUM(O10,O12:O15,(O11*-1))</totalsRowFormula>
    </tableColumn>
    <tableColumn id="15" xr3:uid="{648D2FEE-FA3E-48F9-8B91-D10A39039861}" name="Total" totalsRowFunction="sum" dataDxfId="105" totalsRowDxfId="104"/>
  </tableColumns>
  <tableStyleInfo name="Cash" showFirstColumn="0" showLastColumn="0" showRowStripes="0" showColumnStripes="0"/>
  <extLst>
    <ext xmlns:x14="http://schemas.microsoft.com/office/spreadsheetml/2009/9/main" uri="{504A1905-F514-4f6f-8877-14C23A59335A}">
      <x14:table altTextSummary="Enter or modify Cash Receipts items and each month values in this table. Total Cash Receipts and Total Cash Available are auto calculated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C4B605-CC6D-4B4B-B065-4404522D4544}" name="CashOnHand" displayName="CashOnHand" ref="C6:P7" totalsRowShown="0" headerRowDxfId="103" dataDxfId="101" headerRowBorderDxfId="102" tableBorderDxfId="100">
  <autoFilter ref="C6:P7" xr:uid="{75A0FB42-9BAD-45ED-B6CD-B87D7AFD6F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C8D52D9-107B-402E-9F92-2189471D5CC0}" name="Beginning" dataDxfId="99"/>
    <tableColumn id="2" xr3:uid="{20D78004-755E-4402-9E26-152FC8ED5814}" name="Jan-18" dataDxfId="98">
      <calculatedColumnFormula>C53</calculatedColumnFormula>
    </tableColumn>
    <tableColumn id="3" xr3:uid="{58B5D5C5-7173-416A-A579-975E8462BF39}" name="Feb-18" dataDxfId="97">
      <calculatedColumnFormula>D53</calculatedColumnFormula>
    </tableColumn>
    <tableColumn id="4" xr3:uid="{CCD3D305-A175-4686-A03A-FE03A58B6046}" name="Mar-18" dataDxfId="96">
      <calculatedColumnFormula>E53</calculatedColumnFormula>
    </tableColumn>
    <tableColumn id="5" xr3:uid="{7487B9ED-A5B6-4275-B519-DF9A4DC952A3}" name="Apr-18" dataDxfId="95">
      <calculatedColumnFormula>F53</calculatedColumnFormula>
    </tableColumn>
    <tableColumn id="6" xr3:uid="{D0285F12-7AB3-434D-ACFC-557AB16EA276}" name="May-18" dataDxfId="94">
      <calculatedColumnFormula>G53</calculatedColumnFormula>
    </tableColumn>
    <tableColumn id="7" xr3:uid="{5905ED31-A771-4C77-9F7B-21EB8D7D866C}" name="Jun-18" dataDxfId="93">
      <calculatedColumnFormula>H53</calculatedColumnFormula>
    </tableColumn>
    <tableColumn id="8" xr3:uid="{9A51A46A-0270-4010-B46F-5E41DAC27337}" name="Jul-18" dataDxfId="92">
      <calculatedColumnFormula>I53</calculatedColumnFormula>
    </tableColumn>
    <tableColumn id="9" xr3:uid="{C50FCAC0-0903-4353-9342-19872C9474D2}" name="Aug-18" dataDxfId="91">
      <calculatedColumnFormula>J53</calculatedColumnFormula>
    </tableColumn>
    <tableColumn id="10" xr3:uid="{EAEAA103-AA5B-40BA-9E23-F7078AFE3478}" name="Sep-18" dataDxfId="90">
      <calculatedColumnFormula>K53</calculatedColumnFormula>
    </tableColumn>
    <tableColumn id="11" xr3:uid="{3ADBD22F-BC89-42A6-8F59-41DEDFECBC71}" name="Oct-18" dataDxfId="89">
      <calculatedColumnFormula>L53</calculatedColumnFormula>
    </tableColumn>
    <tableColumn id="12" xr3:uid="{B8EA8B1B-9036-4E9F-871B-2F4567DB2779}" name="Nov-18" dataDxfId="88">
      <calculatedColumnFormula>M53</calculatedColumnFormula>
    </tableColumn>
    <tableColumn id="13" xr3:uid="{4C066EE9-1CD6-4DEB-B04E-E8323FED01D8}" name="Dec-18" dataDxfId="87">
      <calculatedColumnFormula>N53</calculatedColumnFormula>
    </tableColumn>
    <tableColumn id="14" xr3:uid="{5C490499-9979-4A92-A6A0-E575500F609A}" name="Total" dataDxfId="86"/>
  </tableColumns>
  <tableStyleInfo name="Cash" showFirstColumn="0" showLastColumn="0" showRowStripes="1" showColumnStripes="0"/>
  <extLst>
    <ext xmlns:x14="http://schemas.microsoft.com/office/spreadsheetml/2009/9/main" uri="{504A1905-F514-4f6f-8877-14C23A59335A}">
      <x14:table altTextSummary="Enter Cash on hand in Beginning in this table. Cash on hand is auto calculated for each month"/>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8AA0C5-6F01-4707-BE57-FCE812638BFE}" name="Expenses" displayName="Expenses" ref="B19:P45" totalsRowCount="1" headerRowDxfId="85" dataDxfId="83" headerRowBorderDxfId="84" tableBorderDxfId="82">
  <autoFilter ref="B19:P44" xr:uid="{A0C50E5F-48E7-4FF5-9174-0349EDAEAE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E261CF7A-EEE7-487E-A66A-67839141F582}" name="CASH PAID OUT" totalsRowLabel="SUBTOTAL" dataDxfId="81" totalsRowDxfId="80"/>
    <tableColumn id="2" xr3:uid="{FFDDD715-00DA-40DA-B7B2-83C50324FA64}" name="Beginning" dataDxfId="79" totalsRowDxfId="78"/>
    <tableColumn id="3" xr3:uid="{12727C3A-6CCB-403A-9105-08531DDF44CE}" name="Jan-18" totalsRowFunction="sum" dataDxfId="77" totalsRowDxfId="76"/>
    <tableColumn id="4" xr3:uid="{6EABBF00-527B-42E9-AAE1-638685D3999F}" name="Feb-18" totalsRowFunction="sum" dataDxfId="75" totalsRowDxfId="74"/>
    <tableColumn id="5" xr3:uid="{6E514C19-7D32-44A7-A4A3-F9D85F38D8A4}" name="Mar-18" totalsRowFunction="sum" dataDxfId="73" totalsRowDxfId="72"/>
    <tableColumn id="6" xr3:uid="{D2A328FD-714B-4F71-A561-655887DCB47B}" name="Apr-18" totalsRowFunction="sum" dataDxfId="71" totalsRowDxfId="70"/>
    <tableColumn id="7" xr3:uid="{09AE9247-F0FE-4634-9245-22CC1836C30E}" name="May-18" totalsRowFunction="sum" dataDxfId="69" totalsRowDxfId="68"/>
    <tableColumn id="8" xr3:uid="{42F0DC4F-D407-4AF6-B7FA-D122931F81D2}" name="Jun-18" totalsRowFunction="sum" dataDxfId="67" totalsRowDxfId="66"/>
    <tableColumn id="9" xr3:uid="{1BC29ADC-3A19-4F5E-B845-D3517850D542}" name="Jul-18" totalsRowFunction="sum" dataDxfId="65" totalsRowDxfId="64"/>
    <tableColumn id="10" xr3:uid="{7E9CBC9D-813B-48E2-ACDE-F8151C065E95}" name="Aug-18" totalsRowFunction="sum" dataDxfId="63" totalsRowDxfId="62"/>
    <tableColumn id="11" xr3:uid="{93A6F074-1EB9-4DF9-841B-30012F554080}" name="Sep-18" totalsRowFunction="sum" dataDxfId="61" totalsRowDxfId="60"/>
    <tableColumn id="12" xr3:uid="{73EDC368-265A-47CD-AE46-9E515EE45D0F}" name="Oct-18" totalsRowFunction="sum" dataDxfId="59" totalsRowDxfId="58"/>
    <tableColumn id="13" xr3:uid="{72EC1B92-59C7-4508-BCE8-C01C817C1478}" name="Nov-18" totalsRowFunction="sum" dataDxfId="57" totalsRowDxfId="56"/>
    <tableColumn id="14" xr3:uid="{6793F1EB-794A-48A1-83D8-6D45C0C4EFEB}" name="Dec-18" totalsRowFunction="sum" dataDxfId="55" totalsRowDxfId="54"/>
    <tableColumn id="15" xr3:uid="{CF05919A-D829-4999-9210-E2C1BD966A3B}" name="Total" totalsRowFunction="sum" dataDxfId="53" totalsRowDxfId="52">
      <calculatedColumnFormula>SUM(D20:O20)</calculatedColumnFormula>
    </tableColumn>
  </tableColumns>
  <tableStyleInfo name="Cash" showFirstColumn="1" showLastColumn="0" showRowStripes="0" showColumnStripes="0"/>
  <extLst>
    <ext xmlns:x14="http://schemas.microsoft.com/office/spreadsheetml/2009/9/main" uri="{504A1905-F514-4f6f-8877-14C23A59335A}">
      <x14:table altTextSummary="Enter or modify Cash Paid Out items and each month values in this table. Subtotal is auto calculated at the end"/>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3E48D8-5F62-4E56-A19C-17B5CAD89806}" name="OtherOperationalData" displayName="OtherOperationalData" ref="B55:P61" totalsRowShown="0" headerRowDxfId="51" dataDxfId="49" headerRowBorderDxfId="50" tableBorderDxfId="48">
  <autoFilter ref="B55:P61" xr:uid="{EBE40B27-9006-4651-97E5-B016341E2CE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1785638-136E-4180-BDD5-9F557795924A}" name="OTHER OPERATING DATA" dataDxfId="47"/>
    <tableColumn id="2" xr3:uid="{49C0447E-568B-46DE-86FB-90FE5D013019}" name="Beginning" dataDxfId="46"/>
    <tableColumn id="3" xr3:uid="{5CFA0006-C51A-462F-B377-5467CF03CF17}" name="Jan-18" dataDxfId="45"/>
    <tableColumn id="4" xr3:uid="{E687853F-1199-4610-8A37-E142A3375112}" name="Feb-18" dataDxfId="44"/>
    <tableColumn id="5" xr3:uid="{263F49B6-4012-4DA7-B2DF-FA732D373244}" name="Mar-18" dataDxfId="43"/>
    <tableColumn id="6" xr3:uid="{C5456C5E-4132-4727-8418-C842DA645806}" name="Apr-18" dataDxfId="42"/>
    <tableColumn id="7" xr3:uid="{59ED6DE9-4845-496A-A605-8EE59D1E4E04}" name="May-18" dataDxfId="41"/>
    <tableColumn id="8" xr3:uid="{E6DE29CF-3911-46AF-8223-E89059A2917F}" name="Jun-18" dataDxfId="40"/>
    <tableColumn id="9" xr3:uid="{C70E3A64-BF98-4789-A61C-AAEFEA81362C}" name="Jul-18" dataDxfId="39"/>
    <tableColumn id="10" xr3:uid="{93DA4E61-DB06-4058-BA6E-A433F37CDCB9}" name="Aug-18" dataDxfId="38"/>
    <tableColumn id="11" xr3:uid="{50A81CB7-FCD1-4812-B36E-4477AD5F7566}" name="Sep-18" dataDxfId="37"/>
    <tableColumn id="12" xr3:uid="{AC61AB1E-C529-457F-A051-F183CBFCF56C}" name="Oct-18" dataDxfId="36"/>
    <tableColumn id="13" xr3:uid="{3168C820-C383-4C04-8C41-D7B406C319BC}" name="Nov-18" dataDxfId="35"/>
    <tableColumn id="14" xr3:uid="{3E4B229E-47D6-4929-975E-DEB4E0F3F706}" name="Dec-18" dataDxfId="34"/>
    <tableColumn id="15" xr3:uid="{FD6893EB-1DF7-4080-8C28-BC76105AFC1D}" name="Total" dataDxfId="33"/>
  </tableColumns>
  <tableStyleInfo name="Cash" showFirstColumn="1" showLastColumn="0" showRowStripes="0" showColumnStripes="0"/>
  <extLst>
    <ext xmlns:x14="http://schemas.microsoft.com/office/spreadsheetml/2009/9/main" uri="{504A1905-F514-4f6f-8877-14C23A59335A}">
      <x14:table altTextSummary="Enter or modify Other Operating Data items and each month values in this table. Total is auto calculated"/>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5F3D1-1F8B-4889-86FF-1AC757D0312E}" name="CashPaidOut" displayName="CashPaidOut" ref="B46:P52" totalsRowCount="1" headerRowDxfId="32" dataDxfId="31" tableBorderDxfId="30">
  <autoFilter ref="B46:P51" xr:uid="{DC4C7ED9-74F1-4A69-951F-0F4CF78541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C64AEAF-E62A-4A61-942F-43A9B0A1E14F}" name="CASH PAID OUT" totalsRowLabel="TOTAL CASH PAID OUT" dataDxfId="29" totalsRowDxfId="28"/>
    <tableColumn id="2" xr3:uid="{71D4A62C-EC6A-4CDA-AF06-A527AFAA7172}" name="Beginning" dataDxfId="27" totalsRowDxfId="26"/>
    <tableColumn id="3" xr3:uid="{1F5533FD-DD51-446B-AB43-B622A36D30A3}" name="Jan-18" totalsRowFunction="custom" dataDxfId="25" totalsRowDxfId="24">
      <totalsRowFormula>Expenses[[#Totals],[Jan-18]]+SUBTOTAL(109,CashPaidOut[Jan-18])</totalsRowFormula>
    </tableColumn>
    <tableColumn id="4" xr3:uid="{516593D0-4E8A-4599-AFCA-9A7BC28C6C1D}" name="Feb-18" totalsRowFunction="custom" dataDxfId="23" totalsRowDxfId="22">
      <totalsRowFormula>Expenses[[#Totals],[Feb-18]]+SUBTOTAL(109,CashPaidOut[Feb-18])</totalsRowFormula>
    </tableColumn>
    <tableColumn id="5" xr3:uid="{A50965D1-3E84-4803-A542-1601688C4076}" name="Mar-18" totalsRowFunction="custom" dataDxfId="21" totalsRowDxfId="20">
      <totalsRowFormula>Expenses[[#Totals],[Mar-18]]+SUBTOTAL(109,CashPaidOut[Mar-18])</totalsRowFormula>
    </tableColumn>
    <tableColumn id="6" xr3:uid="{C363A5CD-2ED6-4D10-B508-E20B96AD2391}" name="Apr-18" totalsRowFunction="custom" dataDxfId="19" totalsRowDxfId="18">
      <totalsRowFormula>Expenses[[#Totals],[Apr-18]]+SUBTOTAL(109,CashPaidOut[Apr-18])</totalsRowFormula>
    </tableColumn>
    <tableColumn id="7" xr3:uid="{8331B682-A4BD-4980-B245-12AD1BF8162C}" name="May-18" totalsRowFunction="custom" dataDxfId="17" totalsRowDxfId="16">
      <totalsRowFormula>Expenses[[#Totals],[May-18]]+SUBTOTAL(109,CashPaidOut[May-18])</totalsRowFormula>
    </tableColumn>
    <tableColumn id="8" xr3:uid="{1CE97521-1AA0-4EC8-9DA4-E5E05893A660}" name="Jun-18" totalsRowFunction="custom" dataDxfId="15" totalsRowDxfId="14">
      <totalsRowFormula>Expenses[[#Totals],[Jun-18]]+SUBTOTAL(109,CashPaidOut[Jun-18])</totalsRowFormula>
    </tableColumn>
    <tableColumn id="9" xr3:uid="{C24B8C99-2B79-47ED-BB89-AB63A03F7CA6}" name="Jul-18" totalsRowFunction="custom" dataDxfId="13" totalsRowDxfId="12">
      <totalsRowFormula>Expenses[[#Totals],[Jul-18]]+SUBTOTAL(109,CashPaidOut[Jul-18])</totalsRowFormula>
    </tableColumn>
    <tableColumn id="10" xr3:uid="{A00EC4F8-58B8-44C9-88FA-7F85F73B2036}" name="Aug-18" totalsRowFunction="custom" dataDxfId="11" totalsRowDxfId="10">
      <totalsRowFormula>Expenses[[#Totals],[Aug-18]]+SUBTOTAL(109,CashPaidOut[Aug-18])</totalsRowFormula>
    </tableColumn>
    <tableColumn id="11" xr3:uid="{156DCDCE-DCAA-4412-9047-B1245603FF37}" name="Sep-18" totalsRowFunction="custom" dataDxfId="9" totalsRowDxfId="8">
      <totalsRowFormula>Expenses[[#Totals],[Sep-18]]+SUBTOTAL(109,CashPaidOut[Sep-18])</totalsRowFormula>
    </tableColumn>
    <tableColumn id="12" xr3:uid="{1EE38CB3-8D36-47B4-BDA8-9CB849FE734C}" name="Oct-18" totalsRowFunction="custom" dataDxfId="7" totalsRowDxfId="6">
      <totalsRowFormula>Expenses[[#Totals],[Oct-18]]+SUBTOTAL(109,CashPaidOut[Oct-18])</totalsRowFormula>
    </tableColumn>
    <tableColumn id="13" xr3:uid="{3438184B-EC73-468E-9872-A32D32D47C8E}" name="Nov-18" totalsRowFunction="custom" dataDxfId="5" totalsRowDxfId="4">
      <totalsRowFormula>Expenses[[#Totals],[Nov-18]]+SUBTOTAL(109,CashPaidOut[Nov-18])</totalsRowFormula>
    </tableColumn>
    <tableColumn id="14" xr3:uid="{A80ACE2A-125C-4D05-A728-7744DD560A72}" name="Dec-18" totalsRowFunction="custom" dataDxfId="3" totalsRowDxfId="2">
      <totalsRowFormula>Expenses[[#Totals],[Dec-18]]+SUBTOTAL(109,CashPaidOut[Dec-18])</totalsRowFormula>
    </tableColumn>
    <tableColumn id="15" xr3:uid="{8ADCDC85-66BB-4B7D-A1C5-7A897B896A44}" name="Total" totalsRowFunction="custom" dataDxfId="1" totalsRowDxfId="0">
      <totalsRowFormula>SUM(D52:O52)</totalsRowFormula>
    </tableColumn>
  </tableColumns>
  <tableStyleInfo name="Cash" showFirstColumn="1" showLastColumn="0" showRowStripes="0" showColumnStripes="0"/>
  <extLst>
    <ext xmlns:x14="http://schemas.microsoft.com/office/spreadsheetml/2009/9/main" uri="{504A1905-F514-4f6f-8877-14C23A59335A}">
      <x14:table altTextSummary="Enter or modify Cash Paid Out items and each month values in this table. Total Cash Paid Out and Cash on hand at month-end are auto calculated at the e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Q61"/>
  <sheetViews>
    <sheetView showGridLines="0" tabSelected="1" zoomScaleNormal="100" workbookViewId="0"/>
  </sheetViews>
  <sheetFormatPr defaultColWidth="9.33203125" defaultRowHeight="11.25" x14ac:dyDescent="0.2"/>
  <cols>
    <col min="1" max="1" width="2.83203125" style="11" customWidth="1"/>
    <col min="2" max="2" width="31.1640625" style="17" customWidth="1"/>
    <col min="3" max="3" width="14.5" style="11" customWidth="1"/>
    <col min="4" max="10" width="11.83203125" style="11" customWidth="1"/>
    <col min="11" max="16" width="12.83203125" style="11" customWidth="1"/>
    <col min="17" max="17" width="2.83203125" style="11" customWidth="1"/>
    <col min="18" max="16384" width="9.33203125" style="11"/>
  </cols>
  <sheetData>
    <row r="1" spans="2:17" s="1" customFormat="1" ht="22.5" customHeight="1" x14ac:dyDescent="0.25">
      <c r="B1" s="68" t="s">
        <v>14</v>
      </c>
      <c r="C1" s="68"/>
      <c r="D1" s="68"/>
      <c r="E1" s="68"/>
      <c r="F1" s="68"/>
      <c r="G1" s="68"/>
      <c r="H1" s="68"/>
      <c r="I1" s="68"/>
      <c r="J1" s="68"/>
      <c r="K1" s="68"/>
      <c r="L1" s="68"/>
      <c r="M1" s="68"/>
      <c r="N1" s="68"/>
      <c r="O1" s="68"/>
      <c r="P1" s="68"/>
    </row>
    <row r="2" spans="2:17" s="1" customFormat="1" ht="18" x14ac:dyDescent="0.25">
      <c r="B2" s="68" t="s">
        <v>67</v>
      </c>
      <c r="C2" s="68"/>
      <c r="D2" s="68"/>
      <c r="E2" s="68"/>
      <c r="F2" s="68"/>
      <c r="G2" s="68"/>
      <c r="H2" s="68"/>
      <c r="I2" s="68"/>
      <c r="J2" s="68"/>
      <c r="K2" s="68"/>
      <c r="L2" s="68"/>
      <c r="M2" s="68"/>
      <c r="N2" s="68"/>
      <c r="O2" s="68"/>
      <c r="P2" s="68"/>
    </row>
    <row r="3" spans="2:17" s="1" customFormat="1" ht="12.75" x14ac:dyDescent="0.2">
      <c r="B3" s="18" t="s">
        <v>10</v>
      </c>
      <c r="C3" s="3">
        <f ca="1">TODAY()</f>
        <v>44136</v>
      </c>
    </row>
    <row r="4" spans="2:17" s="1" customFormat="1" ht="12.75" x14ac:dyDescent="0.2">
      <c r="B4" s="18" t="s">
        <v>36</v>
      </c>
      <c r="C4" s="4">
        <v>1000</v>
      </c>
      <c r="D4" s="19">
        <f t="shared" ref="D4" si="0">Cash_minimum</f>
        <v>1000</v>
      </c>
      <c r="E4" s="19">
        <f t="shared" ref="E4:O4" si="1">Cash_minimum</f>
        <v>1000</v>
      </c>
      <c r="F4" s="19">
        <f t="shared" si="1"/>
        <v>1000</v>
      </c>
      <c r="G4" s="19">
        <f t="shared" si="1"/>
        <v>1000</v>
      </c>
      <c r="H4" s="19">
        <f t="shared" si="1"/>
        <v>1000</v>
      </c>
      <c r="I4" s="19">
        <f t="shared" si="1"/>
        <v>1000</v>
      </c>
      <c r="J4" s="19">
        <f t="shared" si="1"/>
        <v>1000</v>
      </c>
      <c r="K4" s="19">
        <f t="shared" si="1"/>
        <v>1000</v>
      </c>
      <c r="L4" s="19">
        <f t="shared" si="1"/>
        <v>1000</v>
      </c>
      <c r="M4" s="19">
        <f t="shared" si="1"/>
        <v>1000</v>
      </c>
      <c r="N4" s="19">
        <f t="shared" si="1"/>
        <v>1000</v>
      </c>
      <c r="O4" s="19">
        <f t="shared" si="1"/>
        <v>1000</v>
      </c>
    </row>
    <row r="5" spans="2:17" s="1" customFormat="1" ht="12.75" x14ac:dyDescent="0.2">
      <c r="B5" s="18"/>
      <c r="H5" s="5"/>
      <c r="J5" s="6"/>
      <c r="K5" s="6"/>
      <c r="L5" s="6"/>
    </row>
    <row r="6" spans="2:17" s="8" customFormat="1" x14ac:dyDescent="0.2">
      <c r="B6" s="7"/>
      <c r="C6" s="55" t="s">
        <v>32</v>
      </c>
      <c r="D6" s="56" t="s">
        <v>54</v>
      </c>
      <c r="E6" s="56" t="s">
        <v>55</v>
      </c>
      <c r="F6" s="56" t="s">
        <v>56</v>
      </c>
      <c r="G6" s="56" t="s">
        <v>57</v>
      </c>
      <c r="H6" s="56" t="s">
        <v>58</v>
      </c>
      <c r="I6" s="56" t="s">
        <v>59</v>
      </c>
      <c r="J6" s="56" t="s">
        <v>60</v>
      </c>
      <c r="K6" s="56" t="s">
        <v>61</v>
      </c>
      <c r="L6" s="56" t="s">
        <v>62</v>
      </c>
      <c r="M6" s="56" t="s">
        <v>63</v>
      </c>
      <c r="N6" s="56" t="s">
        <v>64</v>
      </c>
      <c r="O6" s="56" t="s">
        <v>65</v>
      </c>
      <c r="P6" s="57" t="s">
        <v>37</v>
      </c>
    </row>
    <row r="7" spans="2:17" ht="22.5" x14ac:dyDescent="0.2">
      <c r="B7" s="9" t="s">
        <v>45</v>
      </c>
      <c r="C7" s="28">
        <v>2320</v>
      </c>
      <c r="D7" s="20">
        <f t="shared" ref="D7:O7" si="2">C53</f>
        <v>2320</v>
      </c>
      <c r="E7" s="20">
        <f t="shared" si="2"/>
        <v>3159</v>
      </c>
      <c r="F7" s="20">
        <f t="shared" si="2"/>
        <v>3850</v>
      </c>
      <c r="G7" s="20">
        <f t="shared" si="2"/>
        <v>3313</v>
      </c>
      <c r="H7" s="20">
        <f t="shared" si="2"/>
        <v>3073</v>
      </c>
      <c r="I7" s="20">
        <f t="shared" si="2"/>
        <v>3176</v>
      </c>
      <c r="J7" s="20">
        <f t="shared" si="2"/>
        <v>1808</v>
      </c>
      <c r="K7" s="20">
        <f t="shared" si="2"/>
        <v>1607</v>
      </c>
      <c r="L7" s="20">
        <f t="shared" si="2"/>
        <v>1198</v>
      </c>
      <c r="M7" s="20">
        <f t="shared" si="2"/>
        <v>23</v>
      </c>
      <c r="N7" s="20">
        <f t="shared" si="2"/>
        <v>-1153</v>
      </c>
      <c r="O7" s="20">
        <f t="shared" si="2"/>
        <v>-483</v>
      </c>
      <c r="P7" s="26"/>
    </row>
    <row r="8" spans="2:17" x14ac:dyDescent="0.2">
      <c r="B8" s="15"/>
      <c r="C8" s="27"/>
      <c r="D8" s="27"/>
      <c r="E8" s="27"/>
      <c r="F8" s="27"/>
      <c r="G8" s="27"/>
      <c r="H8" s="27"/>
      <c r="I8" s="27"/>
      <c r="J8" s="27"/>
      <c r="K8" s="27"/>
      <c r="L8" s="27"/>
      <c r="M8" s="27"/>
      <c r="N8" s="27"/>
      <c r="O8" s="27"/>
      <c r="P8" s="27"/>
      <c r="Q8" s="8"/>
    </row>
    <row r="9" spans="2:17" x14ac:dyDescent="0.2">
      <c r="B9" s="58" t="s">
        <v>0</v>
      </c>
      <c r="C9" s="55" t="s">
        <v>32</v>
      </c>
      <c r="D9" s="59" t="s">
        <v>54</v>
      </c>
      <c r="E9" s="59" t="s">
        <v>55</v>
      </c>
      <c r="F9" s="59" t="s">
        <v>56</v>
      </c>
      <c r="G9" s="59" t="s">
        <v>57</v>
      </c>
      <c r="H9" s="59" t="s">
        <v>58</v>
      </c>
      <c r="I9" s="59" t="s">
        <v>59</v>
      </c>
      <c r="J9" s="59" t="s">
        <v>60</v>
      </c>
      <c r="K9" s="59" t="s">
        <v>61</v>
      </c>
      <c r="L9" s="59" t="s">
        <v>62</v>
      </c>
      <c r="M9" s="59" t="s">
        <v>63</v>
      </c>
      <c r="N9" s="59" t="s">
        <v>64</v>
      </c>
      <c r="O9" s="59" t="s">
        <v>65</v>
      </c>
      <c r="P9" s="60" t="s">
        <v>37</v>
      </c>
    </row>
    <row r="10" spans="2:17" x14ac:dyDescent="0.2">
      <c r="B10" s="24" t="s">
        <v>48</v>
      </c>
      <c r="C10" s="10"/>
      <c r="D10" s="4">
        <v>720</v>
      </c>
      <c r="E10" s="4">
        <v>973</v>
      </c>
      <c r="F10" s="43">
        <v>574</v>
      </c>
      <c r="G10" s="43">
        <v>645</v>
      </c>
      <c r="H10" s="43">
        <v>842</v>
      </c>
      <c r="I10" s="43">
        <v>997</v>
      </c>
      <c r="J10" s="43">
        <v>313</v>
      </c>
      <c r="K10" s="43">
        <v>336</v>
      </c>
      <c r="L10" s="43">
        <v>704</v>
      </c>
      <c r="M10" s="43">
        <v>578</v>
      </c>
      <c r="N10" s="43">
        <v>998</v>
      </c>
      <c r="O10" s="43">
        <v>619</v>
      </c>
      <c r="P10" s="25">
        <f t="shared" ref="P10:P15" si="3">SUM(D10:O10)</f>
        <v>8299</v>
      </c>
    </row>
    <row r="11" spans="2:17" x14ac:dyDescent="0.2">
      <c r="B11" s="24" t="s">
        <v>16</v>
      </c>
      <c r="C11" s="10"/>
      <c r="D11" s="4">
        <v>878</v>
      </c>
      <c r="E11" s="4">
        <v>477</v>
      </c>
      <c r="F11" s="4">
        <v>142</v>
      </c>
      <c r="G11" s="4">
        <v>814</v>
      </c>
      <c r="H11" s="4">
        <v>282</v>
      </c>
      <c r="I11" s="4">
        <v>955</v>
      </c>
      <c r="J11" s="4">
        <v>366</v>
      </c>
      <c r="K11" s="4">
        <v>170</v>
      </c>
      <c r="L11" s="4">
        <v>773</v>
      </c>
      <c r="M11" s="4">
        <v>498</v>
      </c>
      <c r="N11" s="4">
        <v>213</v>
      </c>
      <c r="O11" s="4">
        <v>866</v>
      </c>
      <c r="P11" s="25">
        <f t="shared" si="3"/>
        <v>6434</v>
      </c>
    </row>
    <row r="12" spans="2:17" x14ac:dyDescent="0.2">
      <c r="B12" s="24" t="s">
        <v>49</v>
      </c>
      <c r="C12" s="10"/>
      <c r="D12" s="13">
        <v>813</v>
      </c>
      <c r="E12" s="13">
        <v>372</v>
      </c>
      <c r="F12" s="13">
        <v>238</v>
      </c>
      <c r="G12" s="13">
        <v>288</v>
      </c>
      <c r="H12" s="13">
        <v>165</v>
      </c>
      <c r="I12" s="13">
        <v>33</v>
      </c>
      <c r="J12" s="13">
        <v>995</v>
      </c>
      <c r="K12" s="13">
        <v>281</v>
      </c>
      <c r="L12" s="13">
        <v>123</v>
      </c>
      <c r="M12" s="13">
        <v>72</v>
      </c>
      <c r="N12" s="13">
        <v>610</v>
      </c>
      <c r="O12" s="13">
        <v>174</v>
      </c>
      <c r="P12" s="25">
        <f t="shared" si="3"/>
        <v>4164</v>
      </c>
    </row>
    <row r="13" spans="2:17" x14ac:dyDescent="0.2">
      <c r="B13" s="24" t="s">
        <v>15</v>
      </c>
      <c r="C13" s="10"/>
      <c r="D13" s="13">
        <v>800</v>
      </c>
      <c r="E13" s="13">
        <v>251</v>
      </c>
      <c r="F13" s="13">
        <v>265</v>
      </c>
      <c r="G13" s="13">
        <v>933</v>
      </c>
      <c r="H13" s="13">
        <v>155</v>
      </c>
      <c r="I13" s="13">
        <v>512</v>
      </c>
      <c r="J13" s="13">
        <v>472</v>
      </c>
      <c r="K13" s="13">
        <v>179</v>
      </c>
      <c r="L13" s="13">
        <v>464</v>
      </c>
      <c r="M13" s="13">
        <v>322</v>
      </c>
      <c r="N13" s="13">
        <v>602</v>
      </c>
      <c r="O13" s="13">
        <v>638</v>
      </c>
      <c r="P13" s="25">
        <f t="shared" si="3"/>
        <v>5593</v>
      </c>
    </row>
    <row r="14" spans="2:17" x14ac:dyDescent="0.2">
      <c r="B14" s="24" t="s">
        <v>11</v>
      </c>
      <c r="C14" s="10"/>
      <c r="D14" s="13">
        <v>297</v>
      </c>
      <c r="E14" s="13">
        <v>770</v>
      </c>
      <c r="F14" s="13">
        <v>159</v>
      </c>
      <c r="G14" s="13">
        <v>392</v>
      </c>
      <c r="H14" s="13">
        <v>708</v>
      </c>
      <c r="I14" s="13">
        <v>97</v>
      </c>
      <c r="J14" s="13">
        <v>167</v>
      </c>
      <c r="K14" s="13">
        <v>358</v>
      </c>
      <c r="L14" s="13">
        <v>219</v>
      </c>
      <c r="M14" s="13">
        <v>191</v>
      </c>
      <c r="N14" s="13">
        <v>223</v>
      </c>
      <c r="O14" s="13">
        <v>653</v>
      </c>
      <c r="P14" s="25">
        <f t="shared" si="3"/>
        <v>4234</v>
      </c>
    </row>
    <row r="15" spans="2:17" x14ac:dyDescent="0.2">
      <c r="B15" s="24" t="s">
        <v>12</v>
      </c>
      <c r="C15" s="10"/>
      <c r="D15" s="13">
        <v>915</v>
      </c>
      <c r="E15" s="13">
        <v>713</v>
      </c>
      <c r="F15" s="13">
        <v>539</v>
      </c>
      <c r="G15" s="13">
        <v>62</v>
      </c>
      <c r="H15" s="13">
        <v>608</v>
      </c>
      <c r="I15" s="13">
        <v>138</v>
      </c>
      <c r="J15" s="13">
        <v>581</v>
      </c>
      <c r="K15" s="13">
        <v>763</v>
      </c>
      <c r="L15" s="13">
        <v>318</v>
      </c>
      <c r="M15" s="13">
        <v>399</v>
      </c>
      <c r="N15" s="13">
        <v>606</v>
      </c>
      <c r="O15" s="13">
        <v>869</v>
      </c>
      <c r="P15" s="25">
        <f t="shared" si="3"/>
        <v>6511</v>
      </c>
    </row>
    <row r="16" spans="2:17" x14ac:dyDescent="0.2">
      <c r="B16" s="47" t="s">
        <v>44</v>
      </c>
      <c r="C16" s="48"/>
      <c r="D16" s="41">
        <f>SUM(D10,D12:D15,(D11*-1))</f>
        <v>2667</v>
      </c>
      <c r="E16" s="41">
        <f t="shared" ref="E16:O16" si="4">SUM(E10,E12:E15,(E11*-1))</f>
        <v>2602</v>
      </c>
      <c r="F16" s="67">
        <f t="shared" si="4"/>
        <v>1633</v>
      </c>
      <c r="G16" s="67">
        <f t="shared" si="4"/>
        <v>1506</v>
      </c>
      <c r="H16" s="67">
        <f t="shared" si="4"/>
        <v>2196</v>
      </c>
      <c r="I16" s="67">
        <f t="shared" si="4"/>
        <v>822</v>
      </c>
      <c r="J16" s="67">
        <f t="shared" si="4"/>
        <v>2162</v>
      </c>
      <c r="K16" s="67">
        <f t="shared" si="4"/>
        <v>1747</v>
      </c>
      <c r="L16" s="67">
        <f t="shared" si="4"/>
        <v>1055</v>
      </c>
      <c r="M16" s="67">
        <f t="shared" si="4"/>
        <v>1064</v>
      </c>
      <c r="N16" s="67">
        <f t="shared" si="4"/>
        <v>2826</v>
      </c>
      <c r="O16" s="67">
        <f t="shared" si="4"/>
        <v>2087</v>
      </c>
      <c r="P16" s="40">
        <f>SUBTOTAL(109,CashReceipts[Total])</f>
        <v>35235</v>
      </c>
    </row>
    <row r="17" spans="2:16" s="8" customFormat="1" x14ac:dyDescent="0.2">
      <c r="B17" s="9" t="s">
        <v>50</v>
      </c>
      <c r="C17" s="21">
        <f>(C7+CashReceipts[[#Totals],[Beginning]])</f>
        <v>2320</v>
      </c>
      <c r="D17" s="21">
        <f>(D7+CashReceipts[[#Totals],[Jan-18]])</f>
        <v>4987</v>
      </c>
      <c r="E17" s="21">
        <f>(E7+CashReceipts[[#Totals],[Feb-18]])</f>
        <v>5761</v>
      </c>
      <c r="F17" s="21">
        <f>(F7+CashReceipts[[#Totals],[Mar-18]])</f>
        <v>5483</v>
      </c>
      <c r="G17" s="21">
        <f>(G7+CashReceipts[[#Totals],[Apr-18]])</f>
        <v>4819</v>
      </c>
      <c r="H17" s="21">
        <f>(H7+CashReceipts[[#Totals],[May-18]])</f>
        <v>5269</v>
      </c>
      <c r="I17" s="21">
        <f>(I7+CashReceipts[[#Totals],[Jun-18]])</f>
        <v>3998</v>
      </c>
      <c r="J17" s="21">
        <f>(J7+CashReceipts[[#Totals],[Jul-18]])</f>
        <v>3970</v>
      </c>
      <c r="K17" s="21">
        <f>(K7+CashReceipts[[#Totals],[Aug-18]])</f>
        <v>3354</v>
      </c>
      <c r="L17" s="21">
        <f>(L7+CashReceipts[[#Totals],[Sep-18]])</f>
        <v>2253</v>
      </c>
      <c r="M17" s="21">
        <f>(M7+CashReceipts[[#Totals],[Oct-18]])</f>
        <v>1087</v>
      </c>
      <c r="N17" s="21">
        <f>(N7+CashReceipts[[#Totals],[Nov-18]])</f>
        <v>1673</v>
      </c>
      <c r="O17" s="21">
        <f>(O7+CashReceipts[[#Totals],[Dec-18]])</f>
        <v>1604</v>
      </c>
      <c r="P17" s="10"/>
    </row>
    <row r="18" spans="2:16" x14ac:dyDescent="0.2">
      <c r="B18" s="23"/>
      <c r="C18" s="14"/>
      <c r="D18" s="14"/>
      <c r="E18" s="14"/>
      <c r="F18" s="14"/>
      <c r="G18" s="14"/>
      <c r="H18" s="14"/>
      <c r="I18" s="14"/>
      <c r="J18" s="14"/>
      <c r="K18" s="14"/>
      <c r="L18" s="14"/>
      <c r="M18" s="14"/>
      <c r="N18" s="14"/>
      <c r="O18" s="14"/>
      <c r="P18" s="12"/>
    </row>
    <row r="19" spans="2:16" x14ac:dyDescent="0.2">
      <c r="B19" s="58" t="s">
        <v>1</v>
      </c>
      <c r="C19" s="55" t="s">
        <v>32</v>
      </c>
      <c r="D19" s="59" t="s">
        <v>54</v>
      </c>
      <c r="E19" s="59" t="s">
        <v>55</v>
      </c>
      <c r="F19" s="59" t="s">
        <v>56</v>
      </c>
      <c r="G19" s="59" t="s">
        <v>57</v>
      </c>
      <c r="H19" s="59" t="s">
        <v>58</v>
      </c>
      <c r="I19" s="59" t="s">
        <v>59</v>
      </c>
      <c r="J19" s="59" t="s">
        <v>60</v>
      </c>
      <c r="K19" s="59" t="s">
        <v>61</v>
      </c>
      <c r="L19" s="59" t="s">
        <v>62</v>
      </c>
      <c r="M19" s="59" t="s">
        <v>63</v>
      </c>
      <c r="N19" s="59" t="s">
        <v>64</v>
      </c>
      <c r="O19" s="59" t="s">
        <v>65</v>
      </c>
      <c r="P19" s="60" t="s">
        <v>37</v>
      </c>
    </row>
    <row r="20" spans="2:16" x14ac:dyDescent="0.2">
      <c r="B20" s="29" t="s">
        <v>2</v>
      </c>
      <c r="C20" s="10"/>
      <c r="D20" s="43">
        <v>78</v>
      </c>
      <c r="E20" s="43">
        <v>129</v>
      </c>
      <c r="F20" s="43">
        <v>103</v>
      </c>
      <c r="G20" s="43">
        <v>114</v>
      </c>
      <c r="H20" s="43">
        <v>49</v>
      </c>
      <c r="I20" s="43">
        <v>53</v>
      </c>
      <c r="J20" s="43">
        <v>134</v>
      </c>
      <c r="K20" s="43">
        <v>104</v>
      </c>
      <c r="L20" s="43">
        <v>87</v>
      </c>
      <c r="M20" s="43">
        <v>100</v>
      </c>
      <c r="N20" s="43">
        <v>17</v>
      </c>
      <c r="O20" s="43">
        <v>12</v>
      </c>
      <c r="P20" s="25">
        <f t="shared" ref="P20:P44" si="5">SUM(D20:O20)</f>
        <v>980</v>
      </c>
    </row>
    <row r="21" spans="2:16" x14ac:dyDescent="0.2">
      <c r="B21" s="29" t="s">
        <v>17</v>
      </c>
      <c r="C21" s="10"/>
      <c r="D21" s="4">
        <v>7</v>
      </c>
      <c r="E21" s="4">
        <v>7</v>
      </c>
      <c r="F21" s="4">
        <v>84</v>
      </c>
      <c r="G21" s="4">
        <v>49</v>
      </c>
      <c r="H21" s="4">
        <v>35</v>
      </c>
      <c r="I21" s="4">
        <v>3</v>
      </c>
      <c r="J21" s="4">
        <v>93</v>
      </c>
      <c r="K21" s="4">
        <v>10</v>
      </c>
      <c r="L21" s="4">
        <v>91</v>
      </c>
      <c r="M21" s="4">
        <v>112</v>
      </c>
      <c r="N21" s="4">
        <v>56</v>
      </c>
      <c r="O21" s="4">
        <v>150</v>
      </c>
      <c r="P21" s="25">
        <f t="shared" si="5"/>
        <v>697</v>
      </c>
    </row>
    <row r="22" spans="2:16" x14ac:dyDescent="0.2">
      <c r="B22" s="29" t="s">
        <v>18</v>
      </c>
      <c r="C22" s="10"/>
      <c r="D22" s="4">
        <v>23</v>
      </c>
      <c r="E22" s="4">
        <v>29</v>
      </c>
      <c r="F22" s="4">
        <v>141</v>
      </c>
      <c r="G22" s="4">
        <v>8</v>
      </c>
      <c r="H22" s="4">
        <v>35</v>
      </c>
      <c r="I22" s="4">
        <v>125</v>
      </c>
      <c r="J22" s="4">
        <v>0</v>
      </c>
      <c r="K22" s="4">
        <v>126</v>
      </c>
      <c r="L22" s="4">
        <v>17</v>
      </c>
      <c r="M22" s="4">
        <v>105</v>
      </c>
      <c r="N22" s="4">
        <v>45</v>
      </c>
      <c r="O22" s="4">
        <v>20</v>
      </c>
      <c r="P22" s="25">
        <f t="shared" si="5"/>
        <v>674</v>
      </c>
    </row>
    <row r="23" spans="2:16" x14ac:dyDescent="0.2">
      <c r="B23" s="29" t="s">
        <v>19</v>
      </c>
      <c r="C23" s="10"/>
      <c r="D23" s="4">
        <v>105</v>
      </c>
      <c r="E23" s="4">
        <v>64</v>
      </c>
      <c r="F23" s="4">
        <v>39</v>
      </c>
      <c r="G23" s="4">
        <v>13</v>
      </c>
      <c r="H23" s="4">
        <v>40</v>
      </c>
      <c r="I23" s="4">
        <v>0</v>
      </c>
      <c r="J23" s="4">
        <v>71</v>
      </c>
      <c r="K23" s="4">
        <v>66</v>
      </c>
      <c r="L23" s="4">
        <v>100</v>
      </c>
      <c r="M23" s="4">
        <v>77</v>
      </c>
      <c r="N23" s="4">
        <v>77</v>
      </c>
      <c r="O23" s="4">
        <v>19</v>
      </c>
      <c r="P23" s="25">
        <f t="shared" si="5"/>
        <v>671</v>
      </c>
    </row>
    <row r="24" spans="2:16" x14ac:dyDescent="0.2">
      <c r="B24" s="29" t="s">
        <v>20</v>
      </c>
      <c r="C24" s="10"/>
      <c r="D24" s="4">
        <v>80</v>
      </c>
      <c r="E24" s="4">
        <v>51</v>
      </c>
      <c r="F24" s="4">
        <v>90</v>
      </c>
      <c r="G24" s="4">
        <v>5</v>
      </c>
      <c r="H24" s="4">
        <v>122</v>
      </c>
      <c r="I24" s="4">
        <v>24</v>
      </c>
      <c r="J24" s="4">
        <v>6</v>
      </c>
      <c r="K24" s="4">
        <v>40</v>
      </c>
      <c r="L24" s="4">
        <v>72</v>
      </c>
      <c r="M24" s="4">
        <v>134</v>
      </c>
      <c r="N24" s="4">
        <v>49</v>
      </c>
      <c r="O24" s="4">
        <v>55</v>
      </c>
      <c r="P24" s="25">
        <f t="shared" si="5"/>
        <v>728</v>
      </c>
    </row>
    <row r="25" spans="2:16" x14ac:dyDescent="0.2">
      <c r="B25" s="30" t="s">
        <v>29</v>
      </c>
      <c r="C25" s="10"/>
      <c r="D25" s="4">
        <v>65</v>
      </c>
      <c r="E25" s="4">
        <v>1</v>
      </c>
      <c r="F25" s="4">
        <v>120</v>
      </c>
      <c r="G25" s="4">
        <v>19</v>
      </c>
      <c r="H25" s="4">
        <v>119</v>
      </c>
      <c r="I25" s="4">
        <v>116</v>
      </c>
      <c r="J25" s="4">
        <v>6</v>
      </c>
      <c r="K25" s="4">
        <v>62</v>
      </c>
      <c r="L25" s="4">
        <v>40</v>
      </c>
      <c r="M25" s="4">
        <v>23</v>
      </c>
      <c r="N25" s="4">
        <v>144</v>
      </c>
      <c r="O25" s="4">
        <v>34</v>
      </c>
      <c r="P25" s="25">
        <f t="shared" si="5"/>
        <v>749</v>
      </c>
    </row>
    <row r="26" spans="2:16" x14ac:dyDescent="0.2">
      <c r="B26" s="29" t="s">
        <v>46</v>
      </c>
      <c r="C26" s="10"/>
      <c r="D26" s="4">
        <v>91</v>
      </c>
      <c r="E26" s="4">
        <v>54</v>
      </c>
      <c r="F26" s="4">
        <v>47</v>
      </c>
      <c r="G26" s="4">
        <v>62</v>
      </c>
      <c r="H26" s="4">
        <v>122</v>
      </c>
      <c r="I26" s="4">
        <v>81</v>
      </c>
      <c r="J26" s="4">
        <v>126</v>
      </c>
      <c r="K26" s="4">
        <v>123</v>
      </c>
      <c r="L26" s="4">
        <v>72</v>
      </c>
      <c r="M26" s="4">
        <v>93</v>
      </c>
      <c r="N26" s="4">
        <v>89</v>
      </c>
      <c r="O26" s="4">
        <v>29</v>
      </c>
      <c r="P26" s="25">
        <f t="shared" si="5"/>
        <v>989</v>
      </c>
    </row>
    <row r="27" spans="2:16" x14ac:dyDescent="0.2">
      <c r="B27" s="29" t="s">
        <v>47</v>
      </c>
      <c r="C27" s="10"/>
      <c r="D27" s="13">
        <v>64</v>
      </c>
      <c r="E27" s="13">
        <v>84</v>
      </c>
      <c r="F27" s="13">
        <v>42</v>
      </c>
      <c r="G27" s="13">
        <v>48</v>
      </c>
      <c r="H27" s="13">
        <v>81</v>
      </c>
      <c r="I27" s="13">
        <v>26</v>
      </c>
      <c r="J27" s="13">
        <v>78</v>
      </c>
      <c r="K27" s="13">
        <v>83</v>
      </c>
      <c r="L27" s="13">
        <v>6</v>
      </c>
      <c r="M27" s="13">
        <v>109</v>
      </c>
      <c r="N27" s="13">
        <v>89</v>
      </c>
      <c r="O27" s="13">
        <v>57</v>
      </c>
      <c r="P27" s="25">
        <f t="shared" si="5"/>
        <v>767</v>
      </c>
    </row>
    <row r="28" spans="2:16" x14ac:dyDescent="0.2">
      <c r="B28" s="29" t="s">
        <v>21</v>
      </c>
      <c r="C28" s="10"/>
      <c r="D28" s="13">
        <v>22</v>
      </c>
      <c r="E28" s="13">
        <v>17</v>
      </c>
      <c r="F28" s="13">
        <v>2</v>
      </c>
      <c r="G28" s="13">
        <v>60</v>
      </c>
      <c r="H28" s="13">
        <v>107</v>
      </c>
      <c r="I28" s="13">
        <v>79</v>
      </c>
      <c r="J28" s="13">
        <v>111</v>
      </c>
      <c r="K28" s="13">
        <v>91</v>
      </c>
      <c r="L28" s="13">
        <v>112</v>
      </c>
      <c r="M28" s="13">
        <v>16</v>
      </c>
      <c r="N28" s="13">
        <v>140</v>
      </c>
      <c r="O28" s="13">
        <v>28</v>
      </c>
      <c r="P28" s="25">
        <f t="shared" si="5"/>
        <v>785</v>
      </c>
    </row>
    <row r="29" spans="2:16" x14ac:dyDescent="0.2">
      <c r="B29" s="29" t="s">
        <v>23</v>
      </c>
      <c r="C29" s="10"/>
      <c r="D29" s="13">
        <v>12</v>
      </c>
      <c r="E29" s="13">
        <v>2</v>
      </c>
      <c r="F29" s="13">
        <v>15</v>
      </c>
      <c r="G29" s="13">
        <v>21</v>
      </c>
      <c r="H29" s="13">
        <v>79</v>
      </c>
      <c r="I29" s="13">
        <v>108</v>
      </c>
      <c r="J29" s="13">
        <v>86</v>
      </c>
      <c r="K29" s="13">
        <v>15</v>
      </c>
      <c r="L29" s="13">
        <v>101</v>
      </c>
      <c r="M29" s="13">
        <v>40</v>
      </c>
      <c r="N29" s="13">
        <v>47</v>
      </c>
      <c r="O29" s="13">
        <v>91</v>
      </c>
      <c r="P29" s="25">
        <f t="shared" si="5"/>
        <v>617</v>
      </c>
    </row>
    <row r="30" spans="2:16" x14ac:dyDescent="0.2">
      <c r="B30" s="29" t="s">
        <v>22</v>
      </c>
      <c r="C30" s="10"/>
      <c r="D30" s="13">
        <v>35</v>
      </c>
      <c r="E30" s="13">
        <v>14</v>
      </c>
      <c r="F30" s="13">
        <v>103</v>
      </c>
      <c r="G30" s="13">
        <v>52</v>
      </c>
      <c r="H30" s="13">
        <v>98</v>
      </c>
      <c r="I30" s="13">
        <v>70</v>
      </c>
      <c r="J30" s="13">
        <v>11</v>
      </c>
      <c r="K30" s="13">
        <v>137</v>
      </c>
      <c r="L30" s="13">
        <v>49</v>
      </c>
      <c r="M30" s="13">
        <v>15</v>
      </c>
      <c r="N30" s="13">
        <v>106</v>
      </c>
      <c r="O30" s="13">
        <v>16</v>
      </c>
      <c r="P30" s="25">
        <f t="shared" si="5"/>
        <v>706</v>
      </c>
    </row>
    <row r="31" spans="2:16" x14ac:dyDescent="0.2">
      <c r="B31" s="29" t="s">
        <v>24</v>
      </c>
      <c r="C31" s="10"/>
      <c r="D31" s="13">
        <v>79</v>
      </c>
      <c r="E31" s="13">
        <v>103</v>
      </c>
      <c r="F31" s="13">
        <v>4</v>
      </c>
      <c r="G31" s="13">
        <v>30</v>
      </c>
      <c r="H31" s="13">
        <v>12</v>
      </c>
      <c r="I31" s="13">
        <v>7</v>
      </c>
      <c r="J31" s="13">
        <v>149</v>
      </c>
      <c r="K31" s="13">
        <v>64</v>
      </c>
      <c r="L31" s="13">
        <v>110</v>
      </c>
      <c r="M31" s="13">
        <v>61</v>
      </c>
      <c r="N31" s="13">
        <v>131</v>
      </c>
      <c r="O31" s="13">
        <v>38</v>
      </c>
      <c r="P31" s="25">
        <f t="shared" si="5"/>
        <v>788</v>
      </c>
    </row>
    <row r="32" spans="2:16" x14ac:dyDescent="0.2">
      <c r="B32" s="29" t="s">
        <v>13</v>
      </c>
      <c r="C32" s="10"/>
      <c r="D32" s="13">
        <v>15</v>
      </c>
      <c r="E32" s="13">
        <v>128</v>
      </c>
      <c r="F32" s="13">
        <v>56</v>
      </c>
      <c r="G32" s="13">
        <v>90</v>
      </c>
      <c r="H32" s="13">
        <v>88</v>
      </c>
      <c r="I32" s="13">
        <v>5</v>
      </c>
      <c r="J32" s="13">
        <v>99</v>
      </c>
      <c r="K32" s="13">
        <v>19</v>
      </c>
      <c r="L32" s="13">
        <v>99</v>
      </c>
      <c r="M32" s="13">
        <v>17</v>
      </c>
      <c r="N32" s="13">
        <v>50</v>
      </c>
      <c r="O32" s="13">
        <v>135</v>
      </c>
      <c r="P32" s="25">
        <f t="shared" si="5"/>
        <v>801</v>
      </c>
    </row>
    <row r="33" spans="2:16" x14ac:dyDescent="0.2">
      <c r="B33" s="29" t="s">
        <v>39</v>
      </c>
      <c r="C33" s="10"/>
      <c r="D33" s="13">
        <v>59</v>
      </c>
      <c r="E33" s="13">
        <v>42</v>
      </c>
      <c r="F33" s="13">
        <v>91</v>
      </c>
      <c r="G33" s="13">
        <v>14</v>
      </c>
      <c r="H33" s="13">
        <v>39</v>
      </c>
      <c r="I33" s="13">
        <v>17</v>
      </c>
      <c r="J33" s="13">
        <v>76</v>
      </c>
      <c r="K33" s="13">
        <v>78</v>
      </c>
      <c r="L33" s="13">
        <v>33</v>
      </c>
      <c r="M33" s="13">
        <v>67</v>
      </c>
      <c r="N33" s="13">
        <v>17</v>
      </c>
      <c r="O33" s="13">
        <v>133</v>
      </c>
      <c r="P33" s="25">
        <f t="shared" si="5"/>
        <v>666</v>
      </c>
    </row>
    <row r="34" spans="2:16" x14ac:dyDescent="0.2">
      <c r="B34" s="29" t="s">
        <v>40</v>
      </c>
      <c r="C34" s="10"/>
      <c r="D34" s="13">
        <v>48</v>
      </c>
      <c r="E34" s="13">
        <v>88</v>
      </c>
      <c r="F34" s="13">
        <v>114</v>
      </c>
      <c r="G34" s="13">
        <v>95</v>
      </c>
      <c r="H34" s="13">
        <v>89</v>
      </c>
      <c r="I34" s="13">
        <v>83</v>
      </c>
      <c r="J34" s="13">
        <v>135</v>
      </c>
      <c r="K34" s="13">
        <v>67</v>
      </c>
      <c r="L34" s="13">
        <v>95</v>
      </c>
      <c r="M34" s="13">
        <v>85</v>
      </c>
      <c r="N34" s="13">
        <v>59</v>
      </c>
      <c r="O34" s="13">
        <v>36</v>
      </c>
      <c r="P34" s="25">
        <f t="shared" si="5"/>
        <v>994</v>
      </c>
    </row>
    <row r="35" spans="2:16" x14ac:dyDescent="0.2">
      <c r="B35" s="29" t="s">
        <v>25</v>
      </c>
      <c r="C35" s="10"/>
      <c r="D35" s="13">
        <v>8</v>
      </c>
      <c r="E35" s="13">
        <v>98</v>
      </c>
      <c r="F35" s="13">
        <v>31</v>
      </c>
      <c r="G35" s="13">
        <v>21</v>
      </c>
      <c r="H35" s="13">
        <v>132</v>
      </c>
      <c r="I35" s="13">
        <v>62</v>
      </c>
      <c r="J35" s="13">
        <v>133</v>
      </c>
      <c r="K35" s="13">
        <v>74</v>
      </c>
      <c r="L35" s="13">
        <v>35</v>
      </c>
      <c r="M35" s="13">
        <v>53</v>
      </c>
      <c r="N35" s="13">
        <v>127</v>
      </c>
      <c r="O35" s="13">
        <v>42</v>
      </c>
      <c r="P35" s="25">
        <f t="shared" si="5"/>
        <v>816</v>
      </c>
    </row>
    <row r="36" spans="2:16" x14ac:dyDescent="0.2">
      <c r="B36" s="29" t="s">
        <v>26</v>
      </c>
      <c r="C36" s="10"/>
      <c r="D36" s="13">
        <v>75</v>
      </c>
      <c r="E36" s="13">
        <v>35</v>
      </c>
      <c r="F36" s="13">
        <v>56</v>
      </c>
      <c r="G36" s="13">
        <v>119</v>
      </c>
      <c r="H36" s="13">
        <v>16</v>
      </c>
      <c r="I36" s="13">
        <v>98</v>
      </c>
      <c r="J36" s="13">
        <v>89</v>
      </c>
      <c r="K36" s="13">
        <v>45</v>
      </c>
      <c r="L36" s="13">
        <v>140</v>
      </c>
      <c r="M36" s="13">
        <v>64</v>
      </c>
      <c r="N36" s="13">
        <v>88</v>
      </c>
      <c r="O36" s="13">
        <v>38</v>
      </c>
      <c r="P36" s="25">
        <f t="shared" si="5"/>
        <v>863</v>
      </c>
    </row>
    <row r="37" spans="2:16" x14ac:dyDescent="0.2">
      <c r="B37" s="29" t="s">
        <v>27</v>
      </c>
      <c r="C37" s="10"/>
      <c r="D37" s="13">
        <v>89</v>
      </c>
      <c r="E37" s="13">
        <v>26</v>
      </c>
      <c r="F37" s="13">
        <v>91</v>
      </c>
      <c r="G37" s="13">
        <v>134</v>
      </c>
      <c r="H37" s="13">
        <v>37</v>
      </c>
      <c r="I37" s="13">
        <v>114</v>
      </c>
      <c r="J37" s="13">
        <v>117</v>
      </c>
      <c r="K37" s="13">
        <v>73</v>
      </c>
      <c r="L37" s="13">
        <v>84</v>
      </c>
      <c r="M37" s="13">
        <v>15</v>
      </c>
      <c r="N37" s="13">
        <v>143</v>
      </c>
      <c r="O37" s="13">
        <v>128</v>
      </c>
      <c r="P37" s="25">
        <f t="shared" si="5"/>
        <v>1051</v>
      </c>
    </row>
    <row r="38" spans="2:16" x14ac:dyDescent="0.2">
      <c r="B38" s="29" t="s">
        <v>28</v>
      </c>
      <c r="C38" s="10"/>
      <c r="D38" s="13">
        <v>26</v>
      </c>
      <c r="E38" s="13">
        <v>128</v>
      </c>
      <c r="F38" s="13">
        <v>29</v>
      </c>
      <c r="G38" s="13">
        <v>83</v>
      </c>
      <c r="H38" s="13">
        <v>31</v>
      </c>
      <c r="I38" s="13">
        <v>24</v>
      </c>
      <c r="J38" s="13">
        <v>66</v>
      </c>
      <c r="K38" s="13">
        <v>117</v>
      </c>
      <c r="L38" s="13">
        <v>89</v>
      </c>
      <c r="M38" s="13">
        <v>121</v>
      </c>
      <c r="N38" s="13">
        <v>39</v>
      </c>
      <c r="O38" s="13">
        <v>25</v>
      </c>
      <c r="P38" s="25">
        <f t="shared" si="5"/>
        <v>778</v>
      </c>
    </row>
    <row r="39" spans="2:16" x14ac:dyDescent="0.2">
      <c r="B39" s="29" t="s">
        <v>3</v>
      </c>
      <c r="C39" s="10"/>
      <c r="D39" s="13">
        <v>88</v>
      </c>
      <c r="E39" s="13">
        <v>2</v>
      </c>
      <c r="F39" s="13">
        <v>51</v>
      </c>
      <c r="G39" s="13">
        <v>98</v>
      </c>
      <c r="H39" s="13">
        <v>18</v>
      </c>
      <c r="I39" s="13">
        <v>124</v>
      </c>
      <c r="J39" s="13">
        <v>95</v>
      </c>
      <c r="K39" s="13">
        <v>139</v>
      </c>
      <c r="L39" s="13">
        <v>145</v>
      </c>
      <c r="M39" s="13">
        <v>121</v>
      </c>
      <c r="N39" s="13">
        <v>18</v>
      </c>
      <c r="O39" s="13">
        <v>44</v>
      </c>
      <c r="P39" s="25">
        <f t="shared" si="5"/>
        <v>943</v>
      </c>
    </row>
    <row r="40" spans="2:16" x14ac:dyDescent="0.2">
      <c r="B40" s="31" t="s">
        <v>38</v>
      </c>
      <c r="C40" s="10"/>
      <c r="D40" s="13">
        <v>102</v>
      </c>
      <c r="E40" s="13">
        <v>45</v>
      </c>
      <c r="F40" s="13">
        <v>83</v>
      </c>
      <c r="G40" s="13">
        <v>133</v>
      </c>
      <c r="H40" s="13">
        <v>16</v>
      </c>
      <c r="I40" s="13">
        <v>3</v>
      </c>
      <c r="J40" s="13">
        <v>7</v>
      </c>
      <c r="K40" s="13">
        <v>30</v>
      </c>
      <c r="L40" s="13">
        <v>71</v>
      </c>
      <c r="M40" s="13">
        <v>100</v>
      </c>
      <c r="N40" s="13">
        <v>10</v>
      </c>
      <c r="O40" s="13">
        <v>112</v>
      </c>
      <c r="P40" s="25">
        <f t="shared" si="5"/>
        <v>712</v>
      </c>
    </row>
    <row r="41" spans="2:16" x14ac:dyDescent="0.2">
      <c r="B41" s="32" t="s">
        <v>30</v>
      </c>
      <c r="C41" s="10"/>
      <c r="D41" s="13">
        <v>35</v>
      </c>
      <c r="E41" s="13">
        <v>134</v>
      </c>
      <c r="F41" s="13">
        <v>122</v>
      </c>
      <c r="G41" s="13">
        <v>25</v>
      </c>
      <c r="H41" s="13">
        <v>8</v>
      </c>
      <c r="I41" s="13">
        <v>121</v>
      </c>
      <c r="J41" s="13">
        <v>111</v>
      </c>
      <c r="K41" s="13">
        <v>73</v>
      </c>
      <c r="L41" s="13">
        <v>10</v>
      </c>
      <c r="M41" s="13">
        <v>11</v>
      </c>
      <c r="N41" s="13">
        <v>135</v>
      </c>
      <c r="O41" s="13">
        <v>120</v>
      </c>
      <c r="P41" s="25">
        <f t="shared" si="5"/>
        <v>905</v>
      </c>
    </row>
    <row r="42" spans="2:16" x14ac:dyDescent="0.2">
      <c r="B42" s="32" t="s">
        <v>30</v>
      </c>
      <c r="C42" s="10"/>
      <c r="D42" s="13">
        <v>113</v>
      </c>
      <c r="E42" s="13">
        <v>55</v>
      </c>
      <c r="F42" s="13">
        <v>96</v>
      </c>
      <c r="G42" s="13">
        <v>66</v>
      </c>
      <c r="H42" s="13">
        <v>47</v>
      </c>
      <c r="I42" s="13">
        <v>100</v>
      </c>
      <c r="J42" s="13">
        <v>21</v>
      </c>
      <c r="K42" s="13">
        <v>59</v>
      </c>
      <c r="L42" s="13">
        <v>89</v>
      </c>
      <c r="M42" s="13">
        <v>99</v>
      </c>
      <c r="N42" s="13">
        <v>5</v>
      </c>
      <c r="O42" s="13">
        <v>102</v>
      </c>
      <c r="P42" s="25">
        <f t="shared" si="5"/>
        <v>852</v>
      </c>
    </row>
    <row r="43" spans="2:16" x14ac:dyDescent="0.2">
      <c r="B43" s="32" t="s">
        <v>30</v>
      </c>
      <c r="C43" s="10"/>
      <c r="D43" s="13">
        <v>73</v>
      </c>
      <c r="E43" s="13">
        <v>87</v>
      </c>
      <c r="F43" s="13">
        <v>80</v>
      </c>
      <c r="G43" s="13">
        <v>61</v>
      </c>
      <c r="H43" s="13">
        <v>123</v>
      </c>
      <c r="I43" s="13">
        <v>122</v>
      </c>
      <c r="J43" s="13">
        <v>57</v>
      </c>
      <c r="K43" s="13">
        <v>79</v>
      </c>
      <c r="L43" s="13">
        <v>122</v>
      </c>
      <c r="M43" s="13">
        <v>71</v>
      </c>
      <c r="N43" s="13">
        <v>81</v>
      </c>
      <c r="O43" s="13">
        <v>115</v>
      </c>
      <c r="P43" s="25">
        <f t="shared" si="5"/>
        <v>1071</v>
      </c>
    </row>
    <row r="44" spans="2:16" x14ac:dyDescent="0.2">
      <c r="B44" s="32" t="s">
        <v>4</v>
      </c>
      <c r="C44" s="10"/>
      <c r="D44" s="13">
        <v>100</v>
      </c>
      <c r="E44" s="13">
        <v>50</v>
      </c>
      <c r="F44" s="13">
        <v>40</v>
      </c>
      <c r="G44" s="13">
        <v>21</v>
      </c>
      <c r="H44" s="13">
        <v>89</v>
      </c>
      <c r="I44" s="13">
        <v>87</v>
      </c>
      <c r="J44" s="13">
        <v>9</v>
      </c>
      <c r="K44" s="13">
        <v>50</v>
      </c>
      <c r="L44" s="13">
        <v>121</v>
      </c>
      <c r="M44" s="13">
        <v>139</v>
      </c>
      <c r="N44" s="13">
        <v>83</v>
      </c>
      <c r="O44" s="13">
        <v>78</v>
      </c>
      <c r="P44" s="25">
        <f t="shared" si="5"/>
        <v>867</v>
      </c>
    </row>
    <row r="45" spans="2:16" x14ac:dyDescent="0.2">
      <c r="B45" s="49" t="s">
        <v>5</v>
      </c>
      <c r="C45" s="39"/>
      <c r="D45" s="41">
        <f>SUBTOTAL(109,Expenses[Jan-18])</f>
        <v>1492</v>
      </c>
      <c r="E45" s="41">
        <f>SUBTOTAL(109,Expenses[Feb-18])</f>
        <v>1473</v>
      </c>
      <c r="F45" s="41">
        <f>SUBTOTAL(109,Expenses[Mar-18])</f>
        <v>1730</v>
      </c>
      <c r="G45" s="41">
        <f>SUBTOTAL(109,Expenses[Apr-18])</f>
        <v>1441</v>
      </c>
      <c r="H45" s="41">
        <f>SUBTOTAL(109,Expenses[May-18])</f>
        <v>1632</v>
      </c>
      <c r="I45" s="41">
        <f>SUBTOTAL(109,Expenses[Jun-18])</f>
        <v>1652</v>
      </c>
      <c r="J45" s="41">
        <f>SUBTOTAL(109,Expenses[Jul-18])</f>
        <v>1886</v>
      </c>
      <c r="K45" s="41">
        <f>SUBTOTAL(109,Expenses[Aug-18])</f>
        <v>1824</v>
      </c>
      <c r="L45" s="41">
        <f>SUBTOTAL(109,Expenses[Sep-18])</f>
        <v>1990</v>
      </c>
      <c r="M45" s="41">
        <f>SUBTOTAL(109,Expenses[Oct-18])</f>
        <v>1848</v>
      </c>
      <c r="N45" s="41">
        <f>SUBTOTAL(109,Expenses[Nov-18])</f>
        <v>1845</v>
      </c>
      <c r="O45" s="41">
        <f>SUBTOTAL(109,Expenses[Dec-18])</f>
        <v>1657</v>
      </c>
      <c r="P45" s="40">
        <f>SUBTOTAL(109,Expenses[Total])</f>
        <v>20470</v>
      </c>
    </row>
    <row r="46" spans="2:16" x14ac:dyDescent="0.2">
      <c r="B46" s="51" t="s">
        <v>1</v>
      </c>
      <c r="C46" s="55" t="s">
        <v>32</v>
      </c>
      <c r="D46" s="61" t="s">
        <v>54</v>
      </c>
      <c r="E46" s="61" t="s">
        <v>55</v>
      </c>
      <c r="F46" s="61" t="s">
        <v>56</v>
      </c>
      <c r="G46" s="61" t="s">
        <v>57</v>
      </c>
      <c r="H46" s="61" t="s">
        <v>58</v>
      </c>
      <c r="I46" s="61" t="s">
        <v>59</v>
      </c>
      <c r="J46" s="61" t="s">
        <v>60</v>
      </c>
      <c r="K46" s="61" t="s">
        <v>61</v>
      </c>
      <c r="L46" s="61" t="s">
        <v>62</v>
      </c>
      <c r="M46" s="61" t="s">
        <v>63</v>
      </c>
      <c r="N46" s="61" t="s">
        <v>64</v>
      </c>
      <c r="O46" s="61" t="s">
        <v>65</v>
      </c>
      <c r="P46" s="62" t="s">
        <v>37</v>
      </c>
    </row>
    <row r="47" spans="2:16" x14ac:dyDescent="0.2">
      <c r="B47" s="45" t="s">
        <v>6</v>
      </c>
      <c r="C47" s="42"/>
      <c r="D47" s="4">
        <v>140</v>
      </c>
      <c r="E47" s="4">
        <v>129</v>
      </c>
      <c r="F47" s="4">
        <v>41</v>
      </c>
      <c r="G47" s="4">
        <v>12</v>
      </c>
      <c r="H47" s="4">
        <v>150</v>
      </c>
      <c r="I47" s="4">
        <v>148</v>
      </c>
      <c r="J47" s="4">
        <v>143</v>
      </c>
      <c r="K47" s="4">
        <v>54</v>
      </c>
      <c r="L47" s="4">
        <v>15</v>
      </c>
      <c r="M47" s="4">
        <v>78</v>
      </c>
      <c r="N47" s="4">
        <v>15</v>
      </c>
      <c r="O47" s="4">
        <v>19</v>
      </c>
      <c r="P47" s="44">
        <f t="shared" ref="P47:P52" si="6">SUM(D47:O47)</f>
        <v>944</v>
      </c>
    </row>
    <row r="48" spans="2:16" x14ac:dyDescent="0.2">
      <c r="B48" s="45" t="s">
        <v>43</v>
      </c>
      <c r="C48" s="42"/>
      <c r="D48" s="43">
        <v>4</v>
      </c>
      <c r="E48" s="43">
        <v>130</v>
      </c>
      <c r="F48" s="43">
        <v>123</v>
      </c>
      <c r="G48" s="43">
        <v>70</v>
      </c>
      <c r="H48" s="43">
        <v>68</v>
      </c>
      <c r="I48" s="43">
        <v>111</v>
      </c>
      <c r="J48" s="43">
        <v>29</v>
      </c>
      <c r="K48" s="43">
        <v>6</v>
      </c>
      <c r="L48" s="43">
        <v>17</v>
      </c>
      <c r="M48" s="43">
        <v>150</v>
      </c>
      <c r="N48" s="43">
        <v>123</v>
      </c>
      <c r="O48" s="43">
        <v>143</v>
      </c>
      <c r="P48" s="44">
        <f t="shared" si="6"/>
        <v>974</v>
      </c>
    </row>
    <row r="49" spans="2:16" x14ac:dyDescent="0.2">
      <c r="B49" s="45" t="s">
        <v>7</v>
      </c>
      <c r="C49" s="42"/>
      <c r="D49" s="43">
        <v>69</v>
      </c>
      <c r="E49" s="43">
        <v>15</v>
      </c>
      <c r="F49" s="43">
        <v>82</v>
      </c>
      <c r="G49" s="43">
        <v>107</v>
      </c>
      <c r="H49" s="43">
        <v>87</v>
      </c>
      <c r="I49" s="43">
        <v>72</v>
      </c>
      <c r="J49" s="43">
        <v>52</v>
      </c>
      <c r="K49" s="43">
        <v>38</v>
      </c>
      <c r="L49" s="43">
        <v>129</v>
      </c>
      <c r="M49" s="43">
        <v>72</v>
      </c>
      <c r="N49" s="43">
        <v>7</v>
      </c>
      <c r="O49" s="43">
        <v>10</v>
      </c>
      <c r="P49" s="44">
        <f t="shared" si="6"/>
        <v>740</v>
      </c>
    </row>
    <row r="50" spans="2:16" x14ac:dyDescent="0.2">
      <c r="B50" s="45" t="s">
        <v>41</v>
      </c>
      <c r="C50" s="42"/>
      <c r="D50" s="43">
        <v>37</v>
      </c>
      <c r="E50" s="43">
        <v>112</v>
      </c>
      <c r="F50" s="43">
        <v>46</v>
      </c>
      <c r="G50" s="43">
        <v>55</v>
      </c>
      <c r="H50" s="43">
        <v>90</v>
      </c>
      <c r="I50" s="43">
        <v>128</v>
      </c>
      <c r="J50" s="43">
        <v>133</v>
      </c>
      <c r="K50" s="43">
        <v>126</v>
      </c>
      <c r="L50" s="43">
        <v>15</v>
      </c>
      <c r="M50" s="43">
        <v>80</v>
      </c>
      <c r="N50" s="43">
        <v>125</v>
      </c>
      <c r="O50" s="43">
        <v>139</v>
      </c>
      <c r="P50" s="44">
        <f t="shared" si="6"/>
        <v>1086</v>
      </c>
    </row>
    <row r="51" spans="2:16" x14ac:dyDescent="0.2">
      <c r="B51" s="45" t="s">
        <v>42</v>
      </c>
      <c r="C51" s="42"/>
      <c r="D51" s="43">
        <v>86</v>
      </c>
      <c r="E51" s="43">
        <v>52</v>
      </c>
      <c r="F51" s="43">
        <v>148</v>
      </c>
      <c r="G51" s="43">
        <v>61</v>
      </c>
      <c r="H51" s="43">
        <v>66</v>
      </c>
      <c r="I51" s="43">
        <v>79</v>
      </c>
      <c r="J51" s="43">
        <v>120</v>
      </c>
      <c r="K51" s="43">
        <v>108</v>
      </c>
      <c r="L51" s="43">
        <v>64</v>
      </c>
      <c r="M51" s="43">
        <v>12</v>
      </c>
      <c r="N51" s="43">
        <v>41</v>
      </c>
      <c r="O51" s="43">
        <v>138</v>
      </c>
      <c r="P51" s="44">
        <f t="shared" si="6"/>
        <v>975</v>
      </c>
    </row>
    <row r="52" spans="2:16" x14ac:dyDescent="0.2">
      <c r="B52" s="65" t="s">
        <v>8</v>
      </c>
      <c r="C52" s="50"/>
      <c r="D52" s="66">
        <f>Expenses[[#Totals],[Jan-18]]+SUBTOTAL(109,CashPaidOut[Jan-18])</f>
        <v>1828</v>
      </c>
      <c r="E52" s="66">
        <f>Expenses[[#Totals],[Feb-18]]+SUBTOTAL(109,CashPaidOut[Feb-18])</f>
        <v>1911</v>
      </c>
      <c r="F52" s="66">
        <f>Expenses[[#Totals],[Mar-18]]+SUBTOTAL(109,CashPaidOut[Mar-18])</f>
        <v>2170</v>
      </c>
      <c r="G52" s="46">
        <f>Expenses[[#Totals],[Apr-18]]+SUBTOTAL(109,CashPaidOut[Apr-18])</f>
        <v>1746</v>
      </c>
      <c r="H52" s="46">
        <f>Expenses[[#Totals],[May-18]]+SUBTOTAL(109,CashPaidOut[May-18])</f>
        <v>2093</v>
      </c>
      <c r="I52" s="46">
        <f>Expenses[[#Totals],[Jun-18]]+SUBTOTAL(109,CashPaidOut[Jun-18])</f>
        <v>2190</v>
      </c>
      <c r="J52" s="46">
        <f>Expenses[[#Totals],[Jul-18]]+SUBTOTAL(109,CashPaidOut[Jul-18])</f>
        <v>2363</v>
      </c>
      <c r="K52" s="46">
        <f>Expenses[[#Totals],[Aug-18]]+SUBTOTAL(109,CashPaidOut[Aug-18])</f>
        <v>2156</v>
      </c>
      <c r="L52" s="46">
        <f>Expenses[[#Totals],[Sep-18]]+SUBTOTAL(109,CashPaidOut[Sep-18])</f>
        <v>2230</v>
      </c>
      <c r="M52" s="46">
        <f>Expenses[[#Totals],[Oct-18]]+SUBTOTAL(109,CashPaidOut[Oct-18])</f>
        <v>2240</v>
      </c>
      <c r="N52" s="46">
        <f>Expenses[[#Totals],[Nov-18]]+SUBTOTAL(109,CashPaidOut[Nov-18])</f>
        <v>2156</v>
      </c>
      <c r="O52" s="46">
        <f>Expenses[[#Totals],[Dec-18]]+SUBTOTAL(109,CashPaidOut[Dec-18])</f>
        <v>2106</v>
      </c>
      <c r="P52" s="66">
        <f t="shared" si="6"/>
        <v>25189</v>
      </c>
    </row>
    <row r="53" spans="2:16" x14ac:dyDescent="0.2">
      <c r="B53" s="52" t="s">
        <v>51</v>
      </c>
      <c r="C53" s="25">
        <f>C17</f>
        <v>2320</v>
      </c>
      <c r="D53" s="25">
        <f>D17-CashPaidOut[[#Totals],[Jan-18]]</f>
        <v>3159</v>
      </c>
      <c r="E53" s="25">
        <f>E17-CashPaidOut[[#Totals],[Feb-18]]</f>
        <v>3850</v>
      </c>
      <c r="F53" s="25">
        <f>F17-CashPaidOut[[#Totals],[Mar-18]]</f>
        <v>3313</v>
      </c>
      <c r="G53" s="25">
        <f>G17-CashPaidOut[[#Totals],[Apr-18]]</f>
        <v>3073</v>
      </c>
      <c r="H53" s="25">
        <f>H17-CashPaidOut[[#Totals],[May-18]]</f>
        <v>3176</v>
      </c>
      <c r="I53" s="25">
        <f>I17-CashPaidOut[[#Totals],[Jun-18]]</f>
        <v>1808</v>
      </c>
      <c r="J53" s="25">
        <f>J17-CashPaidOut[[#Totals],[Jul-18]]</f>
        <v>1607</v>
      </c>
      <c r="K53" s="25">
        <f>K17-CashPaidOut[[#Totals],[Aug-18]]</f>
        <v>1198</v>
      </c>
      <c r="L53" s="25">
        <f>L17-CashPaidOut[[#Totals],[Sep-18]]</f>
        <v>23</v>
      </c>
      <c r="M53" s="25">
        <f>M17-CashPaidOut[[#Totals],[Oct-18]]</f>
        <v>-1153</v>
      </c>
      <c r="N53" s="25">
        <f>N17-CashPaidOut[[#Totals],[Nov-18]]</f>
        <v>-483</v>
      </c>
      <c r="O53" s="25">
        <f>O17-CashPaidOut[[#Totals],[Dec-18]]</f>
        <v>-502</v>
      </c>
      <c r="P53" s="53"/>
    </row>
    <row r="54" spans="2:16" x14ac:dyDescent="0.2">
      <c r="B54" s="15"/>
      <c r="C54" s="16"/>
      <c r="D54" s="16"/>
      <c r="E54" s="16"/>
      <c r="F54" s="16"/>
      <c r="G54" s="16"/>
      <c r="H54" s="16"/>
      <c r="I54" s="16"/>
      <c r="J54" s="16"/>
      <c r="K54" s="16"/>
      <c r="L54" s="16"/>
      <c r="M54" s="16"/>
      <c r="N54" s="16"/>
      <c r="O54" s="16"/>
      <c r="P54" s="16"/>
    </row>
    <row r="55" spans="2:16" x14ac:dyDescent="0.2">
      <c r="B55" s="63" t="s">
        <v>31</v>
      </c>
      <c r="C55" s="55" t="s">
        <v>32</v>
      </c>
      <c r="D55" s="59" t="s">
        <v>54</v>
      </c>
      <c r="E55" s="59" t="s">
        <v>55</v>
      </c>
      <c r="F55" s="59" t="s">
        <v>56</v>
      </c>
      <c r="G55" s="59" t="s">
        <v>57</v>
      </c>
      <c r="H55" s="59" t="s">
        <v>58</v>
      </c>
      <c r="I55" s="59" t="s">
        <v>59</v>
      </c>
      <c r="J55" s="59" t="s">
        <v>60</v>
      </c>
      <c r="K55" s="59" t="s">
        <v>61</v>
      </c>
      <c r="L55" s="59" t="s">
        <v>62</v>
      </c>
      <c r="M55" s="59" t="s">
        <v>63</v>
      </c>
      <c r="N55" s="59" t="s">
        <v>64</v>
      </c>
      <c r="O55" s="59" t="s">
        <v>65</v>
      </c>
      <c r="P55" s="64" t="s">
        <v>37</v>
      </c>
    </row>
    <row r="56" spans="2:16" x14ac:dyDescent="0.2">
      <c r="B56" s="33" t="s">
        <v>35</v>
      </c>
      <c r="C56" s="13">
        <v>454</v>
      </c>
      <c r="D56" s="13">
        <v>440.46099999999996</v>
      </c>
      <c r="E56" s="13">
        <v>528.55319999999995</v>
      </c>
      <c r="F56" s="13">
        <v>581.40851999999995</v>
      </c>
      <c r="G56" s="13">
        <v>552.33809399999996</v>
      </c>
      <c r="H56" s="13">
        <v>563.38485587999992</v>
      </c>
      <c r="I56" s="13">
        <v>647.8925842619999</v>
      </c>
      <c r="J56" s="13">
        <v>758.03432358653981</v>
      </c>
      <c r="K56" s="13">
        <v>735.29329387894359</v>
      </c>
      <c r="L56" s="13">
        <v>860.29315383836399</v>
      </c>
      <c r="M56" s="13">
        <v>714.04331768584211</v>
      </c>
      <c r="N56" s="13">
        <v>614.07725320982422</v>
      </c>
      <c r="O56" s="13">
        <v>534.24721029254704</v>
      </c>
      <c r="P56" s="35">
        <f>SUM(OtherOperationalData[[#This Row],[Jan-18]:[Dec-18]])</f>
        <v>7530.0268066340595</v>
      </c>
    </row>
    <row r="57" spans="2:16" x14ac:dyDescent="0.2">
      <c r="B57" s="34" t="s">
        <v>52</v>
      </c>
      <c r="C57" s="13">
        <v>204</v>
      </c>
      <c r="D57" s="13">
        <v>216.24</v>
      </c>
      <c r="E57" s="13">
        <v>205.428</v>
      </c>
      <c r="F57" s="13">
        <v>230.07936000000001</v>
      </c>
      <c r="G57" s="13">
        <v>276.09523200000001</v>
      </c>
      <c r="H57" s="13">
        <v>265.05142272000001</v>
      </c>
      <c r="I57" s="13">
        <v>243.84730890240002</v>
      </c>
      <c r="J57" s="13">
        <v>275.54745905971197</v>
      </c>
      <c r="K57" s="13">
        <v>253.50366233493503</v>
      </c>
      <c r="L57" s="13">
        <v>278.85402856842853</v>
      </c>
      <c r="M57" s="13">
        <v>256.54570628295426</v>
      </c>
      <c r="N57" s="13">
        <v>230.89113565465883</v>
      </c>
      <c r="O57" s="13">
        <v>193.94855394991342</v>
      </c>
      <c r="P57" s="35">
        <f>SUM(OtherOperationalData[[#This Row],[Beginning]:[Dec-18]])</f>
        <v>3130.0318694730017</v>
      </c>
    </row>
    <row r="58" spans="2:16" x14ac:dyDescent="0.2">
      <c r="B58" s="34" t="s">
        <v>33</v>
      </c>
      <c r="C58" s="13">
        <v>31</v>
      </c>
      <c r="D58" s="13">
        <v>25.42</v>
      </c>
      <c r="E58" s="13">
        <v>25.165800000000001</v>
      </c>
      <c r="F58" s="13">
        <v>23.152536000000001</v>
      </c>
      <c r="G58" s="13">
        <v>24.310162800000004</v>
      </c>
      <c r="H58" s="13">
        <v>21.636044892000005</v>
      </c>
      <c r="I58" s="13">
        <v>19.256079953880004</v>
      </c>
      <c r="J58" s="13">
        <v>16.560228760336802</v>
      </c>
      <c r="K58" s="13">
        <v>19.04426307438732</v>
      </c>
      <c r="L58" s="13">
        <v>15.42585309025373</v>
      </c>
      <c r="M58" s="13">
        <v>14.80881896664358</v>
      </c>
      <c r="N58" s="13">
        <v>12.587496121647042</v>
      </c>
      <c r="O58" s="13">
        <v>14.601495501110568</v>
      </c>
      <c r="P58" s="35">
        <f>SUM(OtherOperationalData[[#This Row],[Beginning]:[Dec-18]])</f>
        <v>262.96877916025903</v>
      </c>
    </row>
    <row r="59" spans="2:16" x14ac:dyDescent="0.2">
      <c r="B59" s="34" t="s">
        <v>34</v>
      </c>
      <c r="C59" s="13">
        <v>252</v>
      </c>
      <c r="D59" s="13">
        <v>221.76</v>
      </c>
      <c r="E59" s="13">
        <v>248.37120000000002</v>
      </c>
      <c r="F59" s="13">
        <v>295.56172800000002</v>
      </c>
      <c r="G59" s="13">
        <v>292.60611072</v>
      </c>
      <c r="H59" s="13">
        <v>266.27156075520003</v>
      </c>
      <c r="I59" s="13">
        <v>292.89871683072005</v>
      </c>
      <c r="J59" s="13">
        <v>295.82770399902728</v>
      </c>
      <c r="K59" s="13">
        <v>301.74425807900781</v>
      </c>
      <c r="L59" s="13">
        <v>307.77914324058798</v>
      </c>
      <c r="M59" s="13">
        <v>249.30110602487628</v>
      </c>
      <c r="N59" s="13">
        <v>296.66831616960275</v>
      </c>
      <c r="O59" s="13">
        <v>353.03529624182727</v>
      </c>
      <c r="P59" s="35">
        <f>SUM(OtherOperationalData[[#This Row],[Beginning]:[Dec-18]])</f>
        <v>3673.8251400608497</v>
      </c>
    </row>
    <row r="60" spans="2:16" x14ac:dyDescent="0.2">
      <c r="B60" s="34" t="s">
        <v>53</v>
      </c>
      <c r="C60" s="13">
        <v>136</v>
      </c>
      <c r="D60" s="13">
        <v>119.68</v>
      </c>
      <c r="E60" s="13">
        <v>128.05760000000001</v>
      </c>
      <c r="F60" s="13">
        <v>148.54681600000001</v>
      </c>
      <c r="G60" s="13">
        <v>167.85790208</v>
      </c>
      <c r="H60" s="13">
        <v>167.85790208</v>
      </c>
      <c r="I60" s="13">
        <v>167.85790208</v>
      </c>
      <c r="J60" s="13">
        <v>177.92937620480001</v>
      </c>
      <c r="K60" s="13">
        <v>145.90208848793603</v>
      </c>
      <c r="L60" s="13">
        <v>131.31187963914243</v>
      </c>
      <c r="M60" s="13">
        <v>128.68564204635959</v>
      </c>
      <c r="N60" s="13">
        <v>127.398785625896</v>
      </c>
      <c r="O60" s="13">
        <v>138.86467633222665</v>
      </c>
      <c r="P60" s="35">
        <f>SUM(OtherOperationalData[[#This Row],[Beginning]:[Dec-18]])</f>
        <v>1885.9505705763609</v>
      </c>
    </row>
    <row r="61" spans="2:16" x14ac:dyDescent="0.2">
      <c r="B61" s="36" t="s">
        <v>9</v>
      </c>
      <c r="C61" s="38">
        <v>49</v>
      </c>
      <c r="D61" s="13">
        <v>40.18</v>
      </c>
      <c r="E61" s="13">
        <v>42.590800000000002</v>
      </c>
      <c r="F61" s="13">
        <v>45.572156000000007</v>
      </c>
      <c r="G61" s="13">
        <v>52.863700960000003</v>
      </c>
      <c r="H61" s="13">
        <v>48.634604883200005</v>
      </c>
      <c r="I61" s="13">
        <v>55.44344956684801</v>
      </c>
      <c r="J61" s="13">
        <v>49.344670114494733</v>
      </c>
      <c r="K61" s="13">
        <v>42.929862999610414</v>
      </c>
      <c r="L61" s="13">
        <v>45.076356149590936</v>
      </c>
      <c r="M61" s="13">
        <v>41.921011219119571</v>
      </c>
      <c r="N61" s="13">
        <v>47.370742677605108</v>
      </c>
      <c r="O61" s="13">
        <v>45.949620397276952</v>
      </c>
      <c r="P61" s="37">
        <f>SUM(OtherOperationalData[[#This Row],[Jan-18]:[Dec-18]])</f>
        <v>557.8769749677457</v>
      </c>
    </row>
  </sheetData>
  <sheetProtection insertColumns="0" insertRows="0"/>
  <mergeCells count="2">
    <mergeCell ref="B1:P1"/>
    <mergeCell ref="B2:P2"/>
  </mergeCells>
  <phoneticPr fontId="0" type="noConversion"/>
  <conditionalFormatting sqref="C7:O7">
    <cfRule type="cellIs" dxfId="138" priority="1" stopIfTrue="1" operator="lessThanOrEqual">
      <formula>$C$4</formula>
    </cfRule>
  </conditionalFormatting>
  <dataValidations count="31">
    <dataValidation type="decimal" allowBlank="1" showInputMessage="1" sqref="C7 D4:P4" xr:uid="{00000000-0002-0000-0000-000000000000}">
      <formula1>-10000000</formula1>
      <formula2>10000000</formula2>
    </dataValidation>
    <dataValidation operator="greaterThanOrEqual" allowBlank="1" showInputMessage="1" showErrorMessage="1" error="Please enter a number greater than zero." sqref="P6" xr:uid="{00000000-0002-0000-0000-000002000000}"/>
    <dataValidation type="decimal" operator="lessThanOrEqual" allowBlank="1" showInputMessage="1" showErrorMessage="1" sqref="C17:O17 C53:O53" xr:uid="{00000000-0002-0000-0000-000003000000}">
      <formula1>10000000</formula1>
    </dataValidation>
    <dataValidation type="date" allowBlank="1" showInputMessage="1" showErrorMessage="1" error="Please enter a valid date." prompt="Enter Starting Date in this cell" sqref="C3" xr:uid="{00000000-0002-0000-0000-000004000000}">
      <formula1>1</formula1>
      <formula2>73415</formula2>
    </dataValidation>
    <dataValidation type="decimal" operator="lessThanOrEqual" allowBlank="1" showInputMessage="1" sqref="D7:O7" xr:uid="{00000000-0002-0000-0000-000005000000}">
      <formula1>10000000</formula1>
    </dataValidation>
    <dataValidation type="decimal" errorStyle="warning" operator="lessThanOrEqual" allowBlank="1" showInputMessage="1" showErrorMessage="1" error="Please enter a number greater than zero" sqref="P10:P15 P20:P44 P56:P61 P47:P51" xr:uid="{804F8EE7-2B0B-46DA-9875-BB1371E4AA2F}">
      <formula1>10000000</formula1>
    </dataValidation>
    <dataValidation allowBlank="1" showInputMessage="1" showErrorMessage="1" prompt="Create Small Business Cash Flow Projection in this worksheet. Enter details in tables named Cash on Hand, Cash Receipts, Expenses, Cash Paid Out, and Other Operational Data " sqref="A1" xr:uid="{91E55EFA-4A23-4AFA-9AAC-6A7ACC776448}"/>
    <dataValidation allowBlank="1" showInputMessage="1" showErrorMessage="1" prompt="Title of this worksheet is in this cell. Enter Company Name in cell below" sqref="B1:P1" xr:uid="{566C09B0-E294-40F1-B0BF-5AB7430AC139}"/>
    <dataValidation allowBlank="1" showInputMessage="1" showErrorMessage="1" prompt="Enter Company Name in this cell, Starting Date in cell C3, and Cash balance alert minimum in cell C4" sqref="B2:P2" xr:uid="{CD64D921-F0AF-4AA9-A6DD-EFD35A9EC410}"/>
    <dataValidation allowBlank="1" showInputMessage="1" showErrorMessage="1" prompt="Enter Starting Date in cell at right" sqref="B3" xr:uid="{1F6A2E6B-9F5B-4777-8484-BD99AC75A5CA}"/>
    <dataValidation allowBlank="1" showInputMessage="1" showErrorMessage="1" prompt="Enter Cash balance alert minimum in cell at right" sqref="B4" xr:uid="{BB0AF17B-827E-4DCC-A0A3-36D2AF9B592B}"/>
    <dataValidation type="decimal" operator="lessThanOrEqual" allowBlank="1" showInputMessage="1" showErrorMessage="1" error="Please enter a number greater than zero." prompt="Enter Cash balance alert minimum in this cell and details in Cash on Hand table starting in cell C6. Cash on hand beginning of month label is in cell B7" sqref="C4" xr:uid="{E812B3AE-DBD1-4871-876D-92F6818D7312}">
      <formula1>10000000</formula1>
    </dataValidation>
    <dataValidation allowBlank="1" showInputMessage="1" showErrorMessage="1" prompt="Enter details in table at right" sqref="B6" xr:uid="{3830027A-6EBE-4F38-85D2-C701F11E6CFA}"/>
    <dataValidation allowBlank="1" showInputMessage="1" showErrorMessage="1" prompt="Enter Cash on hand in beginning of month in cell at right" sqref="B7" xr:uid="{D36564BD-6337-46DD-A1E7-94E630FDAC6F}"/>
    <dataValidation operator="greaterThanOrEqual" allowBlank="1" showInputMessage="1" showErrorMessage="1" error="Please enter a number greater than zero." prompt="Enter Cash on hand in beginning in cell below" sqref="C6" xr:uid="{2334E431-B28A-4AF1-AC6E-9209549B2125}"/>
    <dataValidation allowBlank="1" showInputMessage="1" prompt="Cash on hand is auto calculated for this month in cell below" sqref="D6:O6" xr:uid="{94B28EDD-F55B-4663-BE2E-CCA213201743}"/>
    <dataValidation allowBlank="1" showInputMessage="1" showErrorMessage="1" prompt="Enter details in Cash Receipts table below" sqref="B8" xr:uid="{DF3A80CC-4543-46BA-A64A-F2B21C703A6C}"/>
    <dataValidation allowBlank="1" showInputMessage="1" showErrorMessage="1" prompt="Enter or modify Cash Receipts items in this column under this heading" sqref="B9" xr:uid="{9ED0D7CD-6641-47A4-9A79-A8DF8CE60FFB}"/>
    <dataValidation allowBlank="1" showInputMessage="1" prompt="Enter values for this month in this column under this heading" sqref="D55:O55 E9:O9 D19:O19 D46:O46" xr:uid="{CD0EE526-ACDC-484C-A174-8BC10CBE8E88}"/>
    <dataValidation allowBlank="1" showInputMessage="1" prompt="Total is auto calculated in this column under this heading. Total Cash Receipts and Total Cash Available are auto calculated at the end" sqref="P9" xr:uid="{2BBE8409-69CE-4273-8AD1-C6AEFACB64D0}"/>
    <dataValidation allowBlank="1" showInputMessage="1" showErrorMessage="1" prompt="Enter details in Expenses table below and in Cash Paid Out table starting in cell B46" sqref="B18" xr:uid="{65B94BE2-9355-4B1B-8361-9D9CE86535DE}"/>
    <dataValidation allowBlank="1" showInputMessage="1" showErrorMessage="1" prompt="Enter or modify Cash Paid Out items in this column under this heading" sqref="B19 B46" xr:uid="{BEAAAFD7-D0F9-43D5-86CD-1B5D509474D8}"/>
    <dataValidation allowBlank="1" showInputMessage="1" showErrorMessage="1" prompt="Total is auto calculated in this column under this heading. Subtotal is auto calculated at the end" sqref="P19" xr:uid="{89B3E677-8BA4-4880-9CD5-17A1FD4ADEAB}"/>
    <dataValidation allowBlank="1" showInputMessage="1" showErrorMessage="1" prompt="Total is auto calculated in this column under this heading. Total Cash Paid Out and Cash on hand at the end of month are auto calculated at the end" sqref="P46" xr:uid="{45483346-E341-4465-97C7-BCF61DB0AA30}"/>
    <dataValidation allowBlank="1" showInputMessage="1" showErrorMessage="1" prompt="Enter or modify Other Operating Data items in this column under this heading" sqref="B55" xr:uid="{400A117D-A7AC-4B13-BDC9-7F384693D24D}"/>
    <dataValidation allowBlank="1" showInputMessage="1" showErrorMessage="1" prompt="Enter details in Other Operational Data table below" sqref="B54" xr:uid="{47453186-77C9-4FD0-AF82-0C218D8785B9}"/>
    <dataValidation allowBlank="1" showInputMessage="1" showErrorMessage="1" prompt="Total is auto calculated in this column under this heading" sqref="P55" xr:uid="{29AD6124-437C-48F9-904B-D7BD3A3B4C2B}"/>
    <dataValidation allowBlank="1" showInputMessage="1" sqref="D54:O54" xr:uid="{850D6EE5-2289-46E1-875A-162398F1BDB6}"/>
    <dataValidation operator="lessThanOrEqual" allowBlank="1" showInputMessage="1" showErrorMessage="1" error="Please enter a number greater than zero." sqref="P54" xr:uid="{D2A17DC1-E6CB-4A1C-B917-B2258C4313DD}"/>
    <dataValidation allowBlank="1" showInputMessage="1" showErrorMessage="1" prompt="Enter values for this month in this column under this heading" sqref="D9" xr:uid="{DF34088F-4FDC-4CEC-883D-3907B8512688}"/>
    <dataValidation type="decimal" allowBlank="1" showInputMessage="1" showErrorMessage="1" sqref="C56:C60 D10:O15 D20:O44 D47:O51 D57:O61" xr:uid="{84CAE0E0-3152-4547-A5F1-AF50A835ACC2}">
      <formula1>-10000000</formula1>
      <formula2>10000000</formula2>
    </dataValidation>
  </dataValidations>
  <printOptions horizontalCentered="1"/>
  <pageMargins left="0" right="0" top="0.5" bottom="0.25" header="0" footer="0"/>
  <pageSetup scale="84" orientation="landscape" r:id="rId1"/>
  <headerFooter alignWithMargins="0"/>
  <ignoredErrors>
    <ignoredError sqref="P20:P44" emptyCellReference="1"/>
  </ignoredErrors>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B2:Q38"/>
  <sheetViews>
    <sheetView showGridLines="0" workbookViewId="0"/>
  </sheetViews>
  <sheetFormatPr defaultColWidth="9.33203125" defaultRowHeight="11.25" x14ac:dyDescent="0.2"/>
  <cols>
    <col min="1" max="1" width="9.33203125" style="11"/>
    <col min="2" max="2" width="30.1640625" style="11" bestFit="1" customWidth="1"/>
    <col min="3" max="3" width="9.33203125" style="11"/>
    <col min="4" max="4" width="13.33203125" style="11" bestFit="1" customWidth="1"/>
    <col min="5" max="16384" width="9.33203125" style="11"/>
  </cols>
  <sheetData>
    <row r="2" spans="2:17" x14ac:dyDescent="0.2">
      <c r="B2" s="70" t="s">
        <v>66</v>
      </c>
      <c r="C2" s="70"/>
      <c r="D2" s="70"/>
      <c r="E2" s="70"/>
      <c r="F2" s="70"/>
      <c r="G2" s="70"/>
      <c r="H2" s="70"/>
      <c r="I2" s="70"/>
      <c r="J2" s="70"/>
      <c r="K2" s="70"/>
      <c r="L2" s="70"/>
      <c r="M2" s="70"/>
      <c r="N2" s="70"/>
      <c r="O2" s="70"/>
      <c r="P2" s="70"/>
      <c r="Q2" s="70"/>
    </row>
    <row r="3" spans="2:17" x14ac:dyDescent="0.2">
      <c r="B3" s="70"/>
      <c r="C3" s="70"/>
      <c r="D3" s="70"/>
      <c r="E3" s="70"/>
      <c r="F3" s="70"/>
      <c r="G3" s="70"/>
      <c r="H3" s="70"/>
      <c r="I3" s="70"/>
      <c r="J3" s="70"/>
      <c r="K3" s="70"/>
      <c r="L3" s="70"/>
      <c r="M3" s="70"/>
      <c r="N3" s="70"/>
      <c r="O3" s="70"/>
      <c r="P3" s="70"/>
      <c r="Q3" s="70"/>
    </row>
    <row r="4" spans="2:17" x14ac:dyDescent="0.2">
      <c r="B4" s="70"/>
      <c r="C4" s="70"/>
      <c r="D4" s="70"/>
      <c r="E4" s="70"/>
      <c r="F4" s="70"/>
      <c r="G4" s="70"/>
      <c r="H4" s="70"/>
      <c r="I4" s="70"/>
      <c r="J4" s="70"/>
      <c r="K4" s="70"/>
      <c r="L4" s="70"/>
      <c r="M4" s="70"/>
      <c r="N4" s="70"/>
      <c r="O4" s="70"/>
      <c r="P4" s="70"/>
      <c r="Q4" s="70"/>
    </row>
    <row r="5" spans="2:17" x14ac:dyDescent="0.2">
      <c r="B5" s="70"/>
      <c r="C5" s="70"/>
      <c r="D5" s="70"/>
      <c r="E5" s="70"/>
      <c r="F5" s="70"/>
      <c r="G5" s="70"/>
      <c r="H5" s="70"/>
      <c r="I5" s="70"/>
      <c r="J5" s="70"/>
      <c r="K5" s="70"/>
      <c r="L5" s="70"/>
      <c r="M5" s="70"/>
      <c r="N5" s="70"/>
      <c r="O5" s="70"/>
      <c r="P5" s="70"/>
      <c r="Q5" s="70"/>
    </row>
    <row r="6" spans="2:17" x14ac:dyDescent="0.2">
      <c r="B6" s="70"/>
      <c r="C6" s="70"/>
      <c r="D6" s="70"/>
      <c r="E6" s="70"/>
      <c r="F6" s="70"/>
      <c r="G6" s="70"/>
      <c r="H6" s="70"/>
      <c r="I6" s="70"/>
      <c r="J6" s="70"/>
      <c r="K6" s="70"/>
      <c r="L6" s="70"/>
      <c r="M6" s="70"/>
      <c r="N6" s="70"/>
      <c r="O6" s="70"/>
      <c r="P6" s="70"/>
      <c r="Q6" s="70"/>
    </row>
    <row r="7" spans="2:17" x14ac:dyDescent="0.2">
      <c r="B7" s="70"/>
      <c r="C7" s="70"/>
      <c r="D7" s="70"/>
      <c r="E7" s="70"/>
      <c r="F7" s="70"/>
      <c r="G7" s="70"/>
      <c r="H7" s="70"/>
      <c r="I7" s="70"/>
      <c r="J7" s="70"/>
      <c r="K7" s="70"/>
      <c r="L7" s="70"/>
      <c r="M7" s="70"/>
      <c r="N7" s="70"/>
      <c r="O7" s="70"/>
      <c r="P7" s="70"/>
      <c r="Q7" s="70"/>
    </row>
    <row r="8" spans="2:17" x14ac:dyDescent="0.2">
      <c r="B8" s="70"/>
      <c r="C8" s="70"/>
      <c r="D8" s="70"/>
      <c r="E8" s="70"/>
      <c r="F8" s="70"/>
      <c r="G8" s="70"/>
      <c r="H8" s="70"/>
      <c r="I8" s="70"/>
      <c r="J8" s="70"/>
      <c r="K8" s="70"/>
      <c r="L8" s="70"/>
      <c r="M8" s="70"/>
      <c r="N8" s="70"/>
      <c r="O8" s="70"/>
      <c r="P8" s="70"/>
      <c r="Q8" s="70"/>
    </row>
    <row r="9" spans="2:17" x14ac:dyDescent="0.2">
      <c r="B9" s="70"/>
      <c r="C9" s="70"/>
      <c r="D9" s="70"/>
      <c r="E9" s="70"/>
      <c r="F9" s="70"/>
      <c r="G9" s="70"/>
      <c r="H9" s="70"/>
      <c r="I9" s="70"/>
      <c r="J9" s="70"/>
      <c r="K9" s="70"/>
      <c r="L9" s="70"/>
      <c r="M9" s="70"/>
      <c r="N9" s="70"/>
      <c r="O9" s="70"/>
      <c r="P9" s="70"/>
      <c r="Q9" s="70"/>
    </row>
    <row r="10" spans="2:17" x14ac:dyDescent="0.2">
      <c r="B10" s="70"/>
      <c r="C10" s="70"/>
      <c r="D10" s="70"/>
      <c r="E10" s="70"/>
      <c r="F10" s="70"/>
      <c r="G10" s="70"/>
      <c r="H10" s="70"/>
      <c r="I10" s="70"/>
      <c r="J10" s="70"/>
      <c r="K10" s="70"/>
      <c r="L10" s="70"/>
      <c r="M10" s="70"/>
      <c r="N10" s="70"/>
      <c r="O10" s="70"/>
      <c r="P10" s="70"/>
      <c r="Q10" s="70"/>
    </row>
    <row r="11" spans="2:17" x14ac:dyDescent="0.2">
      <c r="B11" s="70"/>
      <c r="C11" s="70"/>
      <c r="D11" s="70"/>
      <c r="E11" s="70"/>
      <c r="F11" s="70"/>
      <c r="G11" s="70"/>
      <c r="H11" s="70"/>
      <c r="I11" s="70"/>
      <c r="J11" s="70"/>
      <c r="K11" s="70"/>
      <c r="L11" s="70"/>
      <c r="M11" s="70"/>
      <c r="N11" s="70"/>
      <c r="O11" s="70"/>
      <c r="P11" s="70"/>
      <c r="Q11" s="70"/>
    </row>
    <row r="12" spans="2:17" x14ac:dyDescent="0.2">
      <c r="B12" s="70"/>
      <c r="C12" s="70"/>
      <c r="D12" s="70"/>
      <c r="E12" s="70"/>
      <c r="F12" s="70"/>
      <c r="G12" s="70"/>
      <c r="H12" s="70"/>
      <c r="I12" s="70"/>
      <c r="J12" s="70"/>
      <c r="K12" s="70"/>
      <c r="L12" s="70"/>
      <c r="M12" s="70"/>
      <c r="N12" s="70"/>
      <c r="O12" s="70"/>
      <c r="P12" s="70"/>
      <c r="Q12" s="70"/>
    </row>
    <row r="13" spans="2:17" x14ac:dyDescent="0.2">
      <c r="B13" s="70"/>
      <c r="C13" s="70"/>
      <c r="D13" s="70"/>
      <c r="E13" s="70"/>
      <c r="F13" s="70"/>
      <c r="G13" s="70"/>
      <c r="H13" s="70"/>
      <c r="I13" s="70"/>
      <c r="J13" s="70"/>
      <c r="K13" s="70"/>
      <c r="L13" s="70"/>
      <c r="M13" s="70"/>
      <c r="N13" s="70"/>
      <c r="O13" s="70"/>
      <c r="P13" s="70"/>
      <c r="Q13" s="70"/>
    </row>
    <row r="14" spans="2:17" x14ac:dyDescent="0.2">
      <c r="B14" s="70"/>
      <c r="C14" s="70"/>
      <c r="D14" s="70"/>
      <c r="E14" s="70"/>
      <c r="F14" s="70"/>
      <c r="G14" s="70"/>
      <c r="H14" s="70"/>
      <c r="I14" s="70"/>
      <c r="J14" s="70"/>
      <c r="K14" s="70"/>
      <c r="L14" s="70"/>
      <c r="M14" s="70"/>
      <c r="N14" s="70"/>
      <c r="O14" s="70"/>
      <c r="P14" s="70"/>
      <c r="Q14" s="70"/>
    </row>
    <row r="15" spans="2:17" x14ac:dyDescent="0.2">
      <c r="B15" s="70"/>
      <c r="C15" s="70"/>
      <c r="D15" s="70"/>
      <c r="E15" s="70"/>
      <c r="F15" s="70"/>
      <c r="G15" s="70"/>
      <c r="H15" s="70"/>
      <c r="I15" s="70"/>
      <c r="J15" s="70"/>
      <c r="K15" s="70"/>
      <c r="L15" s="70"/>
      <c r="M15" s="70"/>
      <c r="N15" s="70"/>
      <c r="O15" s="70"/>
      <c r="P15" s="70"/>
      <c r="Q15" s="70"/>
    </row>
    <row r="16" spans="2:17" x14ac:dyDescent="0.2">
      <c r="B16" s="70"/>
      <c r="C16" s="70"/>
      <c r="D16" s="70"/>
      <c r="E16" s="70"/>
      <c r="F16" s="70"/>
      <c r="G16" s="70"/>
      <c r="H16" s="70"/>
      <c r="I16" s="70"/>
      <c r="J16" s="70"/>
      <c r="K16" s="70"/>
      <c r="L16" s="70"/>
      <c r="M16" s="70"/>
      <c r="N16" s="70"/>
      <c r="O16" s="70"/>
      <c r="P16" s="70"/>
      <c r="Q16" s="70"/>
    </row>
    <row r="17" spans="2:17" x14ac:dyDescent="0.2">
      <c r="B17" s="70"/>
      <c r="C17" s="70"/>
      <c r="D17" s="70"/>
      <c r="E17" s="70"/>
      <c r="F17" s="70"/>
      <c r="G17" s="70"/>
      <c r="H17" s="70"/>
      <c r="I17" s="70"/>
      <c r="J17" s="70"/>
      <c r="K17" s="70"/>
      <c r="L17" s="70"/>
      <c r="M17" s="70"/>
      <c r="N17" s="70"/>
      <c r="O17" s="70"/>
      <c r="P17" s="70"/>
      <c r="Q17" s="70"/>
    </row>
    <row r="18" spans="2:17" x14ac:dyDescent="0.2">
      <c r="B18" s="70"/>
      <c r="C18" s="70"/>
      <c r="D18" s="70"/>
      <c r="E18" s="70"/>
      <c r="F18" s="70"/>
      <c r="G18" s="70"/>
      <c r="H18" s="70"/>
      <c r="I18" s="70"/>
      <c r="J18" s="70"/>
      <c r="K18" s="70"/>
      <c r="L18" s="70"/>
      <c r="M18" s="70"/>
      <c r="N18" s="70"/>
      <c r="O18" s="70"/>
      <c r="P18" s="70"/>
      <c r="Q18" s="70"/>
    </row>
    <row r="19" spans="2:17" x14ac:dyDescent="0.2">
      <c r="B19" s="70"/>
      <c r="C19" s="70"/>
      <c r="D19" s="70"/>
      <c r="E19" s="70"/>
      <c r="F19" s="70"/>
      <c r="G19" s="70"/>
      <c r="H19" s="70"/>
      <c r="I19" s="70"/>
      <c r="J19" s="70"/>
      <c r="K19" s="70"/>
      <c r="L19" s="70"/>
      <c r="M19" s="70"/>
      <c r="N19" s="70"/>
      <c r="O19" s="70"/>
      <c r="P19" s="70"/>
      <c r="Q19" s="70"/>
    </row>
    <row r="20" spans="2:17" x14ac:dyDescent="0.2">
      <c r="B20" s="70"/>
      <c r="C20" s="70"/>
      <c r="D20" s="70"/>
      <c r="E20" s="70"/>
      <c r="F20" s="70"/>
      <c r="G20" s="70"/>
      <c r="H20" s="70"/>
      <c r="I20" s="70"/>
      <c r="J20" s="70"/>
      <c r="K20" s="70"/>
      <c r="L20" s="70"/>
      <c r="M20" s="70"/>
      <c r="N20" s="70"/>
      <c r="O20" s="70"/>
      <c r="P20" s="70"/>
      <c r="Q20" s="70"/>
    </row>
    <row r="21" spans="2:17" x14ac:dyDescent="0.2">
      <c r="B21" s="70"/>
      <c r="C21" s="70"/>
      <c r="D21" s="70"/>
      <c r="E21" s="70"/>
      <c r="F21" s="70"/>
      <c r="G21" s="70"/>
      <c r="H21" s="70"/>
      <c r="I21" s="70"/>
      <c r="J21" s="70"/>
      <c r="K21" s="70"/>
      <c r="L21" s="70"/>
      <c r="M21" s="70"/>
      <c r="N21" s="70"/>
      <c r="O21" s="70"/>
      <c r="P21" s="70"/>
      <c r="Q21" s="70"/>
    </row>
    <row r="22" spans="2:17" x14ac:dyDescent="0.2">
      <c r="B22" s="70"/>
      <c r="C22" s="70"/>
      <c r="D22" s="70"/>
      <c r="E22" s="70"/>
      <c r="F22" s="70"/>
      <c r="G22" s="70"/>
      <c r="H22" s="70"/>
      <c r="I22" s="70"/>
      <c r="J22" s="70"/>
      <c r="K22" s="70"/>
      <c r="L22" s="70"/>
      <c r="M22" s="70"/>
      <c r="N22" s="70"/>
      <c r="O22" s="70"/>
      <c r="P22" s="70"/>
      <c r="Q22" s="70"/>
    </row>
    <row r="23" spans="2:17" x14ac:dyDescent="0.2">
      <c r="B23" s="70"/>
      <c r="C23" s="70"/>
      <c r="D23" s="70"/>
      <c r="E23" s="70"/>
      <c r="F23" s="70"/>
      <c r="G23" s="70"/>
      <c r="H23" s="70"/>
      <c r="I23" s="70"/>
      <c r="J23" s="70"/>
      <c r="K23" s="70"/>
      <c r="L23" s="70"/>
      <c r="M23" s="70"/>
      <c r="N23" s="70"/>
      <c r="O23" s="70"/>
      <c r="P23" s="70"/>
      <c r="Q23" s="70"/>
    </row>
    <row r="24" spans="2:17" x14ac:dyDescent="0.2">
      <c r="B24" s="70"/>
      <c r="C24" s="70"/>
      <c r="D24" s="70"/>
      <c r="E24" s="70"/>
      <c r="F24" s="70"/>
      <c r="G24" s="70"/>
      <c r="H24" s="70"/>
      <c r="I24" s="70"/>
      <c r="J24" s="70"/>
      <c r="K24" s="70"/>
      <c r="L24" s="70"/>
      <c r="M24" s="70"/>
      <c r="N24" s="70"/>
      <c r="O24" s="70"/>
      <c r="P24" s="70"/>
      <c r="Q24" s="70"/>
    </row>
    <row r="25" spans="2:17" x14ac:dyDescent="0.2">
      <c r="B25" s="70"/>
      <c r="C25" s="70"/>
      <c r="D25" s="70"/>
      <c r="E25" s="70"/>
      <c r="F25" s="70"/>
      <c r="G25" s="70"/>
      <c r="H25" s="70"/>
      <c r="I25" s="70"/>
      <c r="J25" s="70"/>
      <c r="K25" s="70"/>
      <c r="L25" s="70"/>
      <c r="M25" s="70"/>
      <c r="N25" s="70"/>
      <c r="O25" s="70"/>
      <c r="P25" s="70"/>
      <c r="Q25" s="70"/>
    </row>
    <row r="26" spans="2:17" x14ac:dyDescent="0.2">
      <c r="B26" s="70"/>
      <c r="C26" s="70"/>
      <c r="D26" s="70"/>
      <c r="E26" s="70"/>
      <c r="F26" s="70"/>
      <c r="G26" s="70"/>
      <c r="H26" s="70"/>
      <c r="I26" s="70"/>
      <c r="J26" s="70"/>
      <c r="K26" s="70"/>
      <c r="L26" s="70"/>
      <c r="M26" s="70"/>
      <c r="N26" s="70"/>
      <c r="O26" s="70"/>
      <c r="P26" s="70"/>
      <c r="Q26" s="70"/>
    </row>
    <row r="27" spans="2:17" x14ac:dyDescent="0.2">
      <c r="B27" s="70"/>
      <c r="C27" s="70"/>
      <c r="D27" s="70"/>
      <c r="E27" s="70"/>
      <c r="F27" s="70"/>
      <c r="G27" s="70"/>
      <c r="H27" s="70"/>
      <c r="I27" s="70"/>
      <c r="J27" s="70"/>
      <c r="K27" s="70"/>
      <c r="L27" s="70"/>
      <c r="M27" s="70"/>
      <c r="N27" s="70"/>
      <c r="O27" s="70"/>
      <c r="P27" s="70"/>
      <c r="Q27" s="70"/>
    </row>
    <row r="28" spans="2:17" x14ac:dyDescent="0.2">
      <c r="B28" s="70"/>
      <c r="C28" s="70"/>
      <c r="D28" s="70"/>
      <c r="E28" s="70"/>
      <c r="F28" s="70"/>
      <c r="G28" s="70"/>
      <c r="H28" s="70"/>
      <c r="I28" s="70"/>
      <c r="J28" s="70"/>
      <c r="K28" s="70"/>
      <c r="L28" s="70"/>
      <c r="M28" s="70"/>
      <c r="N28" s="70"/>
      <c r="O28" s="70"/>
      <c r="P28" s="70"/>
      <c r="Q28" s="70"/>
    </row>
    <row r="29" spans="2:17" x14ac:dyDescent="0.2">
      <c r="B29" s="70"/>
      <c r="C29" s="70"/>
      <c r="D29" s="70"/>
      <c r="E29" s="70"/>
      <c r="F29" s="70"/>
      <c r="G29" s="70"/>
      <c r="H29" s="70"/>
      <c r="I29" s="70"/>
      <c r="J29" s="70"/>
      <c r="K29" s="70"/>
      <c r="L29" s="70"/>
      <c r="M29" s="70"/>
      <c r="N29" s="70"/>
      <c r="O29" s="70"/>
      <c r="P29" s="70"/>
      <c r="Q29" s="70"/>
    </row>
    <row r="30" spans="2:17" x14ac:dyDescent="0.2">
      <c r="B30" s="70"/>
      <c r="C30" s="70"/>
      <c r="D30" s="70"/>
      <c r="E30" s="70"/>
      <c r="F30" s="70"/>
      <c r="G30" s="70"/>
      <c r="H30" s="70"/>
      <c r="I30" s="70"/>
      <c r="J30" s="70"/>
      <c r="K30" s="70"/>
      <c r="L30" s="70"/>
      <c r="M30" s="70"/>
      <c r="N30" s="70"/>
      <c r="O30" s="70"/>
      <c r="P30" s="70"/>
      <c r="Q30" s="70"/>
    </row>
    <row r="31" spans="2:17" x14ac:dyDescent="0.2">
      <c r="B31" s="70"/>
      <c r="C31" s="70"/>
      <c r="D31" s="70"/>
      <c r="E31" s="70"/>
      <c r="F31" s="70"/>
      <c r="G31" s="70"/>
      <c r="H31" s="70"/>
      <c r="I31" s="70"/>
      <c r="J31" s="70"/>
      <c r="K31" s="70"/>
      <c r="L31" s="70"/>
      <c r="M31" s="70"/>
      <c r="N31" s="70"/>
      <c r="O31" s="70"/>
      <c r="P31" s="70"/>
      <c r="Q31" s="70"/>
    </row>
    <row r="32" spans="2:17" x14ac:dyDescent="0.2">
      <c r="B32" s="70"/>
      <c r="C32" s="70"/>
      <c r="D32" s="70"/>
      <c r="E32" s="70"/>
      <c r="F32" s="70"/>
      <c r="G32" s="70"/>
      <c r="H32" s="70"/>
      <c r="I32" s="70"/>
      <c r="J32" s="70"/>
      <c r="K32" s="70"/>
      <c r="L32" s="70"/>
      <c r="M32" s="70"/>
      <c r="N32" s="70"/>
      <c r="O32" s="70"/>
      <c r="P32" s="70"/>
      <c r="Q32" s="70"/>
    </row>
    <row r="33" spans="2:17" x14ac:dyDescent="0.2">
      <c r="B33" s="70"/>
      <c r="C33" s="70"/>
      <c r="D33" s="70"/>
      <c r="E33" s="70"/>
      <c r="F33" s="70"/>
      <c r="G33" s="70"/>
      <c r="H33" s="70"/>
      <c r="I33" s="70"/>
      <c r="J33" s="70"/>
      <c r="K33" s="70"/>
      <c r="L33" s="70"/>
      <c r="M33" s="70"/>
      <c r="N33" s="70"/>
      <c r="O33" s="70"/>
      <c r="P33" s="70"/>
      <c r="Q33" s="70"/>
    </row>
    <row r="34" spans="2:17" x14ac:dyDescent="0.2">
      <c r="B34" s="70"/>
      <c r="C34" s="70"/>
      <c r="D34" s="70"/>
      <c r="E34" s="70"/>
      <c r="F34" s="70"/>
      <c r="G34" s="70"/>
      <c r="H34" s="70"/>
      <c r="I34" s="70"/>
      <c r="J34" s="70"/>
      <c r="K34" s="70"/>
      <c r="L34" s="70"/>
      <c r="M34" s="70"/>
      <c r="N34" s="70"/>
      <c r="O34" s="70"/>
      <c r="P34" s="70"/>
      <c r="Q34" s="70"/>
    </row>
    <row r="35" spans="2:17" x14ac:dyDescent="0.2">
      <c r="B35" s="70"/>
      <c r="C35" s="70"/>
      <c r="D35" s="70"/>
      <c r="E35" s="70"/>
      <c r="F35" s="70"/>
      <c r="G35" s="70"/>
      <c r="H35" s="70"/>
      <c r="I35" s="70"/>
      <c r="J35" s="70"/>
      <c r="K35" s="70"/>
      <c r="L35" s="70"/>
      <c r="M35" s="70"/>
      <c r="N35" s="70"/>
      <c r="O35" s="70"/>
      <c r="P35" s="70"/>
      <c r="Q35" s="70"/>
    </row>
    <row r="37" spans="2:17" ht="12.75" x14ac:dyDescent="0.2">
      <c r="B37" s="69" t="s">
        <v>36</v>
      </c>
      <c r="C37" s="69"/>
      <c r="D37" s="54">
        <f>[0]!Cash_minimum</f>
        <v>1000</v>
      </c>
    </row>
    <row r="38" spans="2:17" ht="12.75" x14ac:dyDescent="0.2">
      <c r="B38" s="2"/>
      <c r="C38" s="22"/>
    </row>
  </sheetData>
  <mergeCells count="2">
    <mergeCell ref="B37:C37"/>
    <mergeCell ref="B2:Q35"/>
  </mergeCells>
  <phoneticPr fontId="2" type="noConversion"/>
  <dataValidations count="3">
    <dataValidation allowBlank="1" showInputMessage="1" showErrorMessage="1" prompt="Chart in cell B2 and Cash balance alert minimum in cell D37 are auto updated in this worksheet" sqref="A1" xr:uid="{FF5A3F0E-E72F-4D10-BFB8-8E2EF1C268AD}"/>
    <dataValidation allowBlank="1" showInputMessage="1" showErrorMessage="1" prompt="Cash balance alert minimum is auto updated in cell at right " sqref="B37:C37" xr:uid="{DB1CD747-BA1F-4D62-9366-13DF1A9C2491}"/>
    <dataValidation allowBlank="1" showInputMessage="1" showErrorMessage="1" prompt="Cash balance alert minimum is auto updated in this cell" sqref="D37" xr:uid="{6E9AFAFF-98E5-47F2-B127-CFEA61580944}"/>
  </dataValidations>
  <pageMargins left="0.75" right="0.75" top="1" bottom="1"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111029-9263-48A0-82FD-95F7C86A15B2}">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133DD424-FC02-4E74-83F6-36F4774EEDDF}">
  <ds:schemaRefs>
    <ds:schemaRef ds:uri="http://schemas.microsoft.com/sharepoint/v3/contenttype/forms"/>
  </ds:schemaRefs>
</ds:datastoreItem>
</file>

<file path=customXml/itemProps3.xml><?xml version="1.0" encoding="utf-8"?>
<ds:datastoreItem xmlns:ds="http://schemas.openxmlformats.org/officeDocument/2006/customXml" ds:itemID="{CF1D1465-AA96-4DA0-95E9-0CEA48C723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Cash Flow</vt:lpstr>
      <vt:lpstr>Cash Flow Chart</vt:lpstr>
      <vt:lpstr>Cash_beginning</vt:lpstr>
      <vt:lpstr>Cash_minimum</vt:lpstr>
      <vt:lpstr>CashChart</vt:lpstr>
      <vt:lpstr>Company_name</vt:lpstr>
      <vt:lpstr>'Cash Flow'!Print_Titles</vt:lpstr>
      <vt:lpstr>Start_date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2019-07-07T23:32:22Z</dcterms:created>
  <dcterms:modified xsi:type="dcterms:W3CDTF">2020-11-01T04:56:59Z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