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ETABS 2024\"/>
    </mc:Choice>
  </mc:AlternateContent>
  <xr:revisionPtr revIDLastSave="0" documentId="13_ncr:1_{CCE0B114-F3A7-4D14-A12A-563212E63DD4}" xr6:coauthVersionLast="47" xr6:coauthVersionMax="47" xr10:uidLastSave="{00000000-0000-0000-0000-000000000000}"/>
  <bookViews>
    <workbookView xWindow="-120" yWindow="-120" windowWidth="29040" windowHeight="15720" firstSheet="1" activeTab="8" xr2:uid="{E7A79BFB-9217-40C3-BE0B-8439947B2130}"/>
  </bookViews>
  <sheets>
    <sheet name="Hoja1" sheetId="1" r:id="rId1"/>
    <sheet name="ESPECTRO DISEÑO" sheetId="2" r:id="rId2"/>
    <sheet name="CARGAS" sheetId="3" r:id="rId3"/>
    <sheet name="VERIFICACIONES" sheetId="4" r:id="rId4"/>
    <sheet name="PESO" sheetId="5" r:id="rId5"/>
    <sheet name="VIGAS" sheetId="6" r:id="rId6"/>
    <sheet name="COLUMNAS" sheetId="7" r:id="rId7"/>
    <sheet name="MUROS DE CORTE" sheetId="8" r:id="rId8"/>
    <sheet name="LOSA ALIGERADA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0" l="1"/>
  <c r="C51" i="10"/>
  <c r="C32" i="10"/>
  <c r="C31" i="10"/>
  <c r="C17" i="10"/>
  <c r="C11" i="10"/>
  <c r="C10" i="10"/>
  <c r="C9" i="10"/>
  <c r="C8" i="10"/>
  <c r="C7" i="10"/>
  <c r="C58" i="10"/>
  <c r="C46" i="10"/>
  <c r="C34" i="10"/>
  <c r="C29" i="10"/>
  <c r="C18" i="10"/>
  <c r="C19" i="10" s="1"/>
  <c r="C35" i="10" l="1"/>
  <c r="C48" i="10"/>
  <c r="C52" i="10" s="1"/>
  <c r="C49" i="10" l="1"/>
  <c r="U590" i="8" l="1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69" i="8"/>
  <c r="H72" i="8"/>
  <c r="H75" i="8"/>
  <c r="H79" i="8"/>
  <c r="H80" i="8"/>
  <c r="G71" i="8"/>
  <c r="H71" i="8" s="1"/>
  <c r="G72" i="8"/>
  <c r="G73" i="8"/>
  <c r="H73" i="8" s="1"/>
  <c r="G74" i="8"/>
  <c r="H74" i="8" s="1"/>
  <c r="G75" i="8"/>
  <c r="G76" i="8"/>
  <c r="H76" i="8" s="1"/>
  <c r="G77" i="8"/>
  <c r="H77" i="8" s="1"/>
  <c r="G78" i="8"/>
  <c r="H78" i="8" s="1"/>
  <c r="G79" i="8"/>
  <c r="G80" i="8"/>
  <c r="G70" i="8"/>
  <c r="H70" i="8" s="1"/>
  <c r="F71" i="8"/>
  <c r="F72" i="8"/>
  <c r="F73" i="8"/>
  <c r="F74" i="8"/>
  <c r="F75" i="8"/>
  <c r="F76" i="8"/>
  <c r="F77" i="8"/>
  <c r="F78" i="8"/>
  <c r="F79" i="8"/>
  <c r="F80" i="8"/>
  <c r="F70" i="8"/>
  <c r="C62" i="8"/>
  <c r="C58" i="8"/>
  <c r="C57" i="8"/>
  <c r="C56" i="8"/>
  <c r="C59" i="8" s="1"/>
  <c r="C60" i="8" s="1"/>
  <c r="C61" i="8" s="1"/>
  <c r="C52" i="8"/>
  <c r="E48" i="8"/>
  <c r="E47" i="8"/>
  <c r="J41" i="8"/>
  <c r="C43" i="8"/>
  <c r="F40" i="8" s="1"/>
  <c r="F41" i="8"/>
  <c r="C36" i="8"/>
  <c r="C35" i="8"/>
  <c r="C34" i="8"/>
  <c r="C28" i="8"/>
  <c r="C27" i="8"/>
  <c r="C26" i="8"/>
  <c r="C14" i="8"/>
  <c r="C10" i="8"/>
  <c r="C11" i="8" s="1"/>
  <c r="C12" i="8" s="1"/>
  <c r="C13" i="8" s="1"/>
  <c r="K101" i="7"/>
  <c r="K98" i="7"/>
  <c r="K97" i="7"/>
  <c r="C89" i="7"/>
  <c r="C88" i="7"/>
  <c r="C83" i="7"/>
  <c r="C77" i="7"/>
  <c r="Z124" i="7"/>
  <c r="Z123" i="7"/>
  <c r="Z122" i="7"/>
  <c r="Z121" i="7"/>
  <c r="Z120" i="7"/>
  <c r="Z119" i="7"/>
  <c r="Z118" i="7"/>
  <c r="Z117" i="7"/>
  <c r="Z116" i="7"/>
  <c r="Z115" i="7"/>
  <c r="Z114" i="7"/>
  <c r="Z113" i="7"/>
  <c r="Z112" i="7"/>
  <c r="Z111" i="7"/>
  <c r="Z110" i="7"/>
  <c r="Z109" i="7"/>
  <c r="Z108" i="7"/>
  <c r="Z107" i="7"/>
  <c r="Z106" i="7"/>
  <c r="Z105" i="7"/>
  <c r="Z104" i="7"/>
  <c r="Z103" i="7"/>
  <c r="Z102" i="7"/>
  <c r="Z101" i="7"/>
  <c r="Z100" i="7"/>
  <c r="Z99" i="7"/>
  <c r="Z98" i="7"/>
  <c r="Z97" i="7"/>
  <c r="Z96" i="7"/>
  <c r="Z95" i="7"/>
  <c r="Z94" i="7"/>
  <c r="Z93" i="7"/>
  <c r="Z92" i="7"/>
  <c r="Z91" i="7"/>
  <c r="Z90" i="7"/>
  <c r="Z89" i="7"/>
  <c r="Z88" i="7"/>
  <c r="Z87" i="7"/>
  <c r="Z86" i="7"/>
  <c r="Z85" i="7"/>
  <c r="Z84" i="7"/>
  <c r="Z83" i="7"/>
  <c r="Z82" i="7"/>
  <c r="Z81" i="7"/>
  <c r="Z80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62" i="7"/>
  <c r="Z61" i="7"/>
  <c r="Z60" i="7"/>
  <c r="Z59" i="7"/>
  <c r="Z58" i="7"/>
  <c r="Z57" i="7"/>
  <c r="Z56" i="7"/>
  <c r="Z55" i="7"/>
  <c r="Z54" i="7"/>
  <c r="Z53" i="7"/>
  <c r="Z52" i="7"/>
  <c r="Z51" i="7"/>
  <c r="Z50" i="7"/>
  <c r="Z49" i="7"/>
  <c r="Z48" i="7"/>
  <c r="Z47" i="7"/>
  <c r="Z46" i="7"/>
  <c r="Z45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20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20" i="7"/>
  <c r="H38" i="7"/>
  <c r="H39" i="7"/>
  <c r="H40" i="7"/>
  <c r="H41" i="7"/>
  <c r="H42" i="7"/>
  <c r="H43" i="7"/>
  <c r="H44" i="7"/>
  <c r="H45" i="7"/>
  <c r="H46" i="7"/>
  <c r="H47" i="7"/>
  <c r="G38" i="7"/>
  <c r="G39" i="7"/>
  <c r="G40" i="7"/>
  <c r="G41" i="7"/>
  <c r="G42" i="7"/>
  <c r="G43" i="7"/>
  <c r="G44" i="7"/>
  <c r="G45" i="7"/>
  <c r="G46" i="7"/>
  <c r="G47" i="7"/>
  <c r="G37" i="7"/>
  <c r="F38" i="7"/>
  <c r="F39" i="7"/>
  <c r="F40" i="7"/>
  <c r="F41" i="7"/>
  <c r="F42" i="7"/>
  <c r="F43" i="7"/>
  <c r="F44" i="7"/>
  <c r="F45" i="7"/>
  <c r="F46" i="7"/>
  <c r="F47" i="7"/>
  <c r="F37" i="7"/>
  <c r="H37" i="7"/>
  <c r="H23" i="7"/>
  <c r="H24" i="7"/>
  <c r="H25" i="7"/>
  <c r="H26" i="7"/>
  <c r="H27" i="7"/>
  <c r="H28" i="7"/>
  <c r="H29" i="7"/>
  <c r="H30" i="7"/>
  <c r="H31" i="7"/>
  <c r="H32" i="7"/>
  <c r="H22" i="7"/>
  <c r="G23" i="7"/>
  <c r="G24" i="7"/>
  <c r="G25" i="7"/>
  <c r="G26" i="7"/>
  <c r="G27" i="7"/>
  <c r="G28" i="7"/>
  <c r="G29" i="7"/>
  <c r="G30" i="7"/>
  <c r="G31" i="7"/>
  <c r="F23" i="7"/>
  <c r="F24" i="7"/>
  <c r="F25" i="7"/>
  <c r="F26" i="7"/>
  <c r="F27" i="7"/>
  <c r="F28" i="7"/>
  <c r="F29" i="7"/>
  <c r="F30" i="7"/>
  <c r="F31" i="7"/>
  <c r="F32" i="7"/>
  <c r="F22" i="7"/>
  <c r="F12" i="7"/>
  <c r="F11" i="7"/>
  <c r="Q102" i="6"/>
  <c r="L99" i="6"/>
  <c r="V97" i="6"/>
  <c r="V89" i="6"/>
  <c r="V88" i="6"/>
  <c r="L94" i="6"/>
  <c r="L93" i="6"/>
  <c r="O97" i="6"/>
  <c r="O88" i="6"/>
  <c r="H79" i="6"/>
  <c r="C78" i="6"/>
  <c r="C77" i="6"/>
  <c r="C76" i="6"/>
  <c r="C75" i="6"/>
  <c r="H51" i="6"/>
  <c r="H46" i="6"/>
  <c r="C46" i="6"/>
  <c r="C38" i="6"/>
  <c r="C40" i="6"/>
  <c r="C39" i="6"/>
  <c r="M36" i="6"/>
  <c r="K31" i="6"/>
  <c r="K34" i="6" s="1"/>
  <c r="K33" i="6"/>
  <c r="K32" i="6"/>
  <c r="G31" i="6"/>
  <c r="G33" i="6"/>
  <c r="G32" i="6"/>
  <c r="E36" i="6"/>
  <c r="C34" i="6"/>
  <c r="C33" i="6"/>
  <c r="C32" i="6"/>
  <c r="C31" i="6"/>
  <c r="C21" i="6"/>
  <c r="C23" i="6" s="1"/>
  <c r="C27" i="6"/>
  <c r="C26" i="6"/>
  <c r="C25" i="6"/>
  <c r="C22" i="6"/>
  <c r="J17" i="6"/>
  <c r="J16" i="6"/>
  <c r="C12" i="6"/>
  <c r="F19" i="6"/>
  <c r="F18" i="6"/>
  <c r="C18" i="6"/>
  <c r="I16" i="6"/>
  <c r="C14" i="6"/>
  <c r="C15" i="6" s="1"/>
  <c r="C16" i="6" s="1"/>
  <c r="E15" i="6" s="1"/>
  <c r="E16" i="6" s="1"/>
  <c r="F15" i="6" s="1"/>
  <c r="D328" i="4"/>
  <c r="D329" i="4" s="1"/>
  <c r="D327" i="4"/>
  <c r="J358" i="4"/>
  <c r="H350" i="4"/>
  <c r="D301" i="4"/>
  <c r="D300" i="4"/>
  <c r="H322" i="4"/>
  <c r="D299" i="4"/>
  <c r="D271" i="4"/>
  <c r="F271" i="4" s="1"/>
  <c r="F265" i="4"/>
  <c r="D265" i="4"/>
  <c r="D221" i="4"/>
  <c r="E221" i="4" s="1"/>
  <c r="D206" i="4"/>
  <c r="E206" i="4" s="1"/>
  <c r="D220" i="4"/>
  <c r="D219" i="4"/>
  <c r="D218" i="4"/>
  <c r="D217" i="4"/>
  <c r="D216" i="4"/>
  <c r="D215" i="4"/>
  <c r="D214" i="4"/>
  <c r="D213" i="4"/>
  <c r="D212" i="4"/>
  <c r="D211" i="4"/>
  <c r="D201" i="4"/>
  <c r="D202" i="4"/>
  <c r="D203" i="4"/>
  <c r="D204" i="4"/>
  <c r="D205" i="4"/>
  <c r="D200" i="4"/>
  <c r="D197" i="4"/>
  <c r="D198" i="4"/>
  <c r="D199" i="4"/>
  <c r="D196" i="4"/>
  <c r="G167" i="4"/>
  <c r="H167" i="4" s="1"/>
  <c r="G168" i="4"/>
  <c r="H168" i="4" s="1"/>
  <c r="E167" i="4"/>
  <c r="F167" i="4" s="1"/>
  <c r="E166" i="4"/>
  <c r="F166" i="4" s="1"/>
  <c r="D168" i="4"/>
  <c r="D167" i="4"/>
  <c r="D166" i="4"/>
  <c r="F152" i="4"/>
  <c r="F153" i="4"/>
  <c r="H83" i="5"/>
  <c r="E81" i="5"/>
  <c r="E82" i="5"/>
  <c r="H82" i="5" s="1"/>
  <c r="H81" i="5"/>
  <c r="E80" i="5"/>
  <c r="H80" i="5" s="1"/>
  <c r="E77" i="5"/>
  <c r="H77" i="5" s="1"/>
  <c r="E76" i="5"/>
  <c r="H76" i="5" s="1"/>
  <c r="E75" i="5"/>
  <c r="H75" i="5" s="1"/>
  <c r="E74" i="5"/>
  <c r="H74" i="5" s="1"/>
  <c r="E73" i="5"/>
  <c r="H73" i="5" s="1"/>
  <c r="E72" i="5"/>
  <c r="H72" i="5" s="1"/>
  <c r="E71" i="5"/>
  <c r="H71" i="5" s="1"/>
  <c r="H68" i="5"/>
  <c r="H67" i="5"/>
  <c r="H69" i="5" s="1"/>
  <c r="E65" i="5"/>
  <c r="H65" i="5" s="1"/>
  <c r="H62" i="5"/>
  <c r="E60" i="5"/>
  <c r="H60" i="5" s="1"/>
  <c r="E57" i="5"/>
  <c r="H57" i="5" s="1"/>
  <c r="E56" i="5"/>
  <c r="H56" i="5" s="1"/>
  <c r="E55" i="5"/>
  <c r="H55" i="5" s="1"/>
  <c r="E54" i="5"/>
  <c r="H54" i="5" s="1"/>
  <c r="E53" i="5"/>
  <c r="H53" i="5" s="1"/>
  <c r="E52" i="5"/>
  <c r="H52" i="5" s="1"/>
  <c r="H49" i="5"/>
  <c r="H48" i="5"/>
  <c r="H47" i="5"/>
  <c r="H46" i="5"/>
  <c r="E40" i="5"/>
  <c r="H40" i="5" s="1"/>
  <c r="E39" i="5"/>
  <c r="H39" i="5" s="1"/>
  <c r="H41" i="5" s="1"/>
  <c r="H36" i="5"/>
  <c r="H37" i="5" s="1"/>
  <c r="H35" i="5"/>
  <c r="E36" i="5"/>
  <c r="E35" i="5"/>
  <c r="E34" i="5"/>
  <c r="H34" i="5"/>
  <c r="E33" i="5"/>
  <c r="H33" i="5" s="1"/>
  <c r="E32" i="5"/>
  <c r="H32" i="5" s="1"/>
  <c r="E31" i="5"/>
  <c r="H31" i="5" s="1"/>
  <c r="E30" i="5"/>
  <c r="H30" i="5" s="1"/>
  <c r="H27" i="5"/>
  <c r="H26" i="5"/>
  <c r="H28" i="5" s="1"/>
  <c r="E24" i="5"/>
  <c r="H24" i="5" s="1"/>
  <c r="H21" i="5"/>
  <c r="E19" i="5"/>
  <c r="H19" i="5" s="1"/>
  <c r="E16" i="5"/>
  <c r="H16" i="5" s="1"/>
  <c r="E15" i="5"/>
  <c r="H15" i="5" s="1"/>
  <c r="E14" i="5"/>
  <c r="H14" i="5" s="1"/>
  <c r="E13" i="5"/>
  <c r="H13" i="5" s="1"/>
  <c r="E12" i="5"/>
  <c r="H12" i="5" s="1"/>
  <c r="E11" i="5"/>
  <c r="H11" i="5" s="1"/>
  <c r="H17" i="5" s="1"/>
  <c r="H6" i="5"/>
  <c r="H7" i="5"/>
  <c r="H8" i="5"/>
  <c r="H5" i="5"/>
  <c r="H9" i="5" s="1"/>
  <c r="H140" i="4"/>
  <c r="I141" i="4" s="1"/>
  <c r="H139" i="4"/>
  <c r="I140" i="4" s="1"/>
  <c r="H131" i="4"/>
  <c r="I132" i="4" s="1"/>
  <c r="H132" i="4"/>
  <c r="I133" i="4" s="1"/>
  <c r="G113" i="4"/>
  <c r="C118" i="4" s="1"/>
  <c r="G112" i="4"/>
  <c r="C117" i="4" s="1"/>
  <c r="D117" i="4" s="1"/>
  <c r="G93" i="4"/>
  <c r="C98" i="4" s="1"/>
  <c r="D98" i="4" s="1"/>
  <c r="G94" i="4"/>
  <c r="C99" i="4" s="1"/>
  <c r="H60" i="4"/>
  <c r="H59" i="4"/>
  <c r="H58" i="4"/>
  <c r="H52" i="4"/>
  <c r="H53" i="4"/>
  <c r="H51" i="4"/>
  <c r="G12" i="4"/>
  <c r="G11" i="4"/>
  <c r="Q57" i="3"/>
  <c r="Q50" i="3"/>
  <c r="Q41" i="3"/>
  <c r="Q30" i="3"/>
  <c r="Q29" i="3"/>
  <c r="Q25" i="3"/>
  <c r="Q19" i="3"/>
  <c r="Q10" i="3"/>
  <c r="C2" i="2"/>
  <c r="C13" i="2"/>
  <c r="C7" i="2"/>
  <c r="O13" i="1"/>
  <c r="O12" i="1"/>
  <c r="O10" i="1"/>
  <c r="O9" i="1"/>
  <c r="O7" i="1"/>
  <c r="J10" i="1"/>
  <c r="J8" i="1"/>
  <c r="E13" i="1"/>
  <c r="E12" i="1"/>
  <c r="E9" i="1"/>
  <c r="E10" i="1"/>
  <c r="G3" i="1"/>
  <c r="C41" i="6" l="1"/>
  <c r="G34" i="6"/>
  <c r="G16" i="6"/>
  <c r="F16" i="6"/>
  <c r="G15" i="6" s="1"/>
  <c r="F215" i="4"/>
  <c r="E196" i="4"/>
  <c r="E215" i="4"/>
  <c r="F200" i="4"/>
  <c r="K167" i="4"/>
  <c r="L167" i="4" s="1"/>
  <c r="F151" i="4"/>
  <c r="G151" i="4" s="1"/>
  <c r="H151" i="4" s="1"/>
  <c r="I166" i="4"/>
  <c r="J166" i="4" s="1"/>
  <c r="F196" i="4"/>
  <c r="K168" i="4"/>
  <c r="L168" i="4" s="1"/>
  <c r="F211" i="4"/>
  <c r="E211" i="4"/>
  <c r="G211" i="4" s="1"/>
  <c r="H211" i="4" s="1"/>
  <c r="F206" i="4"/>
  <c r="G206" i="4" s="1"/>
  <c r="H206" i="4" s="1"/>
  <c r="F221" i="4"/>
  <c r="G221" i="4" s="1"/>
  <c r="H221" i="4" s="1"/>
  <c r="I152" i="4"/>
  <c r="J152" i="4" s="1"/>
  <c r="E99" i="4"/>
  <c r="I153" i="4"/>
  <c r="J153" i="4" s="1"/>
  <c r="I167" i="4"/>
  <c r="J167" i="4" s="1"/>
  <c r="E200" i="4"/>
  <c r="G152" i="4"/>
  <c r="H152" i="4" s="1"/>
  <c r="D2" i="5"/>
  <c r="H78" i="5"/>
  <c r="H58" i="5"/>
  <c r="H50" i="5"/>
  <c r="E118" i="4"/>
  <c r="G215" i="4" l="1"/>
  <c r="H215" i="4" s="1"/>
  <c r="G200" i="4"/>
  <c r="H200" i="4" s="1"/>
  <c r="G196" i="4"/>
  <c r="H196" i="4" s="1"/>
  <c r="D43" i="5"/>
</calcChain>
</file>

<file path=xl/sharedStrings.xml><?xml version="1.0" encoding="utf-8"?>
<sst xmlns="http://schemas.openxmlformats.org/spreadsheetml/2006/main" count="1259" uniqueCount="365">
  <si>
    <t>e &lt;= 0.25L</t>
  </si>
  <si>
    <t>Shell Thin</t>
  </si>
  <si>
    <t>e &gt; 0.25L</t>
  </si>
  <si>
    <t>Shell Thick</t>
  </si>
  <si>
    <t>e</t>
  </si>
  <si>
    <t>L</t>
  </si>
  <si>
    <t>X</t>
  </si>
  <si>
    <t>Y</t>
  </si>
  <si>
    <t>COLUMNA L</t>
  </si>
  <si>
    <t>COLUMA T</t>
  </si>
  <si>
    <t>COLUMNA U</t>
  </si>
  <si>
    <t>ZUCS/R</t>
  </si>
  <si>
    <t>U</t>
  </si>
  <si>
    <t>C</t>
  </si>
  <si>
    <t>Tp</t>
  </si>
  <si>
    <t>Tl</t>
  </si>
  <si>
    <t>S</t>
  </si>
  <si>
    <t>R</t>
  </si>
  <si>
    <t>Ro</t>
  </si>
  <si>
    <t>Ia</t>
  </si>
  <si>
    <t>Ip</t>
  </si>
  <si>
    <t>Z4</t>
  </si>
  <si>
    <t>T</t>
  </si>
  <si>
    <t>Ct</t>
  </si>
  <si>
    <t>Hn</t>
  </si>
  <si>
    <t>m</t>
  </si>
  <si>
    <t>s</t>
  </si>
  <si>
    <t>Patrones Cargas</t>
  </si>
  <si>
    <t>DEAD</t>
  </si>
  <si>
    <t>Peso Propio de los Elementos Estructurales</t>
  </si>
  <si>
    <t>CM</t>
  </si>
  <si>
    <t>LIVE</t>
  </si>
  <si>
    <t>Carga Viva E-020</t>
  </si>
  <si>
    <t>LIVE UP</t>
  </si>
  <si>
    <t>Carga Viva de Techo</t>
  </si>
  <si>
    <t>LIVE 1</t>
  </si>
  <si>
    <t>LIVE 2</t>
  </si>
  <si>
    <t>Carga Viva Alterna para Diseño</t>
  </si>
  <si>
    <t>Casos de Carga</t>
  </si>
  <si>
    <t>SxE</t>
  </si>
  <si>
    <t>SyE</t>
  </si>
  <si>
    <t>Sísmo Estático Dirección X</t>
  </si>
  <si>
    <t>Sísmo Estático Dirección Y</t>
  </si>
  <si>
    <t>SyD</t>
  </si>
  <si>
    <t>Sísmo Dinámico Dirección X</t>
  </si>
  <si>
    <t>Sísmo Dinámico Dirección Y</t>
  </si>
  <si>
    <t>Combinaciones de Carga para Diseño</t>
  </si>
  <si>
    <t>Combinación General</t>
  </si>
  <si>
    <t>Comb1</t>
  </si>
  <si>
    <t>Comb2</t>
  </si>
  <si>
    <t>Comb3</t>
  </si>
  <si>
    <t xml:space="preserve"> 1.4 CM +  1.7 CV</t>
  </si>
  <si>
    <t>Comb4</t>
  </si>
  <si>
    <t>SxD</t>
  </si>
  <si>
    <t>Comb5</t>
  </si>
  <si>
    <t>Comb6</t>
  </si>
  <si>
    <t>Comb7</t>
  </si>
  <si>
    <t>Comb8</t>
  </si>
  <si>
    <t>Comb9</t>
  </si>
  <si>
    <t>Comb10</t>
  </si>
  <si>
    <t>Comb11</t>
  </si>
  <si>
    <t>Comb12</t>
  </si>
  <si>
    <t>Comb13</t>
  </si>
  <si>
    <t>Comb14</t>
  </si>
  <si>
    <t>Comb15</t>
  </si>
  <si>
    <t xml:space="preserve">Combinación General </t>
  </si>
  <si>
    <t>Comb16</t>
  </si>
  <si>
    <t>Comb17</t>
  </si>
  <si>
    <t>Comb18</t>
  </si>
  <si>
    <t>Comb19</t>
  </si>
  <si>
    <t>ENVOLVENTE</t>
  </si>
  <si>
    <t>Comb1 + … + Comb19</t>
  </si>
  <si>
    <t>CARGA VIVA</t>
  </si>
  <si>
    <t>AULAS</t>
  </si>
  <si>
    <t>kg/m2</t>
  </si>
  <si>
    <t>CORREDORES</t>
  </si>
  <si>
    <t>DEPÓSITOS</t>
  </si>
  <si>
    <t>X &lt;= 3°</t>
  </si>
  <si>
    <t>100-5(X-3) &gt;= 50</t>
  </si>
  <si>
    <t>100-5(15-3)</t>
  </si>
  <si>
    <t>Peso Acabados</t>
  </si>
  <si>
    <t>Vc=0.05+0.25H</t>
  </si>
  <si>
    <t>Vc=0.05+0.25(0.15)</t>
  </si>
  <si>
    <t>Vc</t>
  </si>
  <si>
    <t>m3/m2</t>
  </si>
  <si>
    <t>Peso Específico</t>
  </si>
  <si>
    <t>Concreto</t>
  </si>
  <si>
    <t>kg/m3</t>
  </si>
  <si>
    <t>Wc=Peso Esp. Concreto * Vc</t>
  </si>
  <si>
    <t>Wladrllo=Wl-Wc</t>
  </si>
  <si>
    <t>Wlosa</t>
  </si>
  <si>
    <t>Wconcreto</t>
  </si>
  <si>
    <t>Wladrillo techo</t>
  </si>
  <si>
    <t>Peso Barandas</t>
  </si>
  <si>
    <t>kg/m</t>
  </si>
  <si>
    <t>Peso Muro Ladrillo</t>
  </si>
  <si>
    <t>Peso Ladrillo de Losa</t>
  </si>
  <si>
    <t>Peso Acabados + Peso Ladrillo Losa + Peso Baranda + Peso Muro Ladrillo</t>
  </si>
  <si>
    <t>Altura</t>
  </si>
  <si>
    <t>Espesor</t>
  </si>
  <si>
    <t>W muro ladrillo</t>
  </si>
  <si>
    <t>Ejes A Y D</t>
  </si>
  <si>
    <t>Ejes 13 y 19</t>
  </si>
  <si>
    <t>Primer Piso</t>
  </si>
  <si>
    <t>Segundo Piso</t>
  </si>
  <si>
    <t>1.25 CM + 1.25 CV +- 1.00 CS</t>
  </si>
  <si>
    <t>0.90 CM +- 1.00 CS</t>
  </si>
  <si>
    <t>1. VERIFICACIÓN POR PARTICIPACIÓN MODAL</t>
  </si>
  <si>
    <t>Case</t>
  </si>
  <si>
    <t>ItemType</t>
  </si>
  <si>
    <t>Item</t>
  </si>
  <si>
    <t>Static</t>
  </si>
  <si>
    <t>%</t>
  </si>
  <si>
    <t>Dynamic</t>
  </si>
  <si>
    <t>Modal</t>
  </si>
  <si>
    <t>Acceleration</t>
  </si>
  <si>
    <t>UX</t>
  </si>
  <si>
    <t>UY</t>
  </si>
  <si>
    <t>UZ</t>
  </si>
  <si>
    <t>2. VERIFICACIÓN DESPLAZAMIENTOS LATERALES</t>
  </si>
  <si>
    <t>DIRECCIÓN X</t>
  </si>
  <si>
    <t>Story</t>
  </si>
  <si>
    <t>Output Case</t>
  </si>
  <si>
    <t>Case Type</t>
  </si>
  <si>
    <t>Step Type</t>
  </si>
  <si>
    <t>Direction</t>
  </si>
  <si>
    <t>Drift</t>
  </si>
  <si>
    <t>Story3</t>
  </si>
  <si>
    <t>DERIVA X</t>
  </si>
  <si>
    <t>Combination</t>
  </si>
  <si>
    <t>Max</t>
  </si>
  <si>
    <t>Story2</t>
  </si>
  <si>
    <t>Story1</t>
  </si>
  <si>
    <t>DIRECCIÓN Y</t>
  </si>
  <si>
    <t>DERIVA Y</t>
  </si>
  <si>
    <t>IRREGULARIDADES ESTRUCTURALES EN ALTURA</t>
  </si>
  <si>
    <t>Name</t>
  </si>
  <si>
    <t>Is Auto Load</t>
  </si>
  <si>
    <t>X Dir?</t>
  </si>
  <si>
    <t>X Dir Plus Ecc?</t>
  </si>
  <si>
    <t>X Dir Minus Ecc?</t>
  </si>
  <si>
    <t>Y Dir?</t>
  </si>
  <si>
    <t>Y Dir Plus Ecc?</t>
  </si>
  <si>
    <t>Y Dir Minus Ecc?</t>
  </si>
  <si>
    <t>Ecc Ratio</t>
  </si>
  <si>
    <t>Top Story</t>
  </si>
  <si>
    <t>Bottom Story</t>
  </si>
  <si>
    <t>K</t>
  </si>
  <si>
    <t>Weight Used</t>
  </si>
  <si>
    <t>tonf</t>
  </si>
  <si>
    <t>Base Shear</t>
  </si>
  <si>
    <t>No</t>
  </si>
  <si>
    <t>Yes</t>
  </si>
  <si>
    <t>Base</t>
  </si>
  <si>
    <t>Location</t>
  </si>
  <si>
    <t>P</t>
  </si>
  <si>
    <t>VX</t>
  </si>
  <si>
    <t>LinStatic</t>
  </si>
  <si>
    <t>Bottom</t>
  </si>
  <si>
    <t>Diaphragm</t>
  </si>
  <si>
    <t>D2</t>
  </si>
  <si>
    <t>D1</t>
  </si>
  <si>
    <t>UX ABS</t>
  </si>
  <si>
    <t>UX REL</t>
  </si>
  <si>
    <t>RIGIDEZ</t>
  </si>
  <si>
    <t>LATERAL</t>
  </si>
  <si>
    <t>VERIFICACIÓN</t>
  </si>
  <si>
    <t>VY</t>
  </si>
  <si>
    <t>UY ABS</t>
  </si>
  <si>
    <t>UY REL</t>
  </si>
  <si>
    <t>tonf-s²/m</t>
  </si>
  <si>
    <t>PESO</t>
  </si>
  <si>
    <t>ton</t>
  </si>
  <si>
    <t>PRIMER PISO</t>
  </si>
  <si>
    <t>COL L</t>
  </si>
  <si>
    <t>COL RECTANGULAR</t>
  </si>
  <si>
    <t>COL T</t>
  </si>
  <si>
    <t>COL U</t>
  </si>
  <si>
    <t>Ton</t>
  </si>
  <si>
    <t>VIGA 25X50</t>
  </si>
  <si>
    <t>VIGA 13X50</t>
  </si>
  <si>
    <t>VIGA 24X50</t>
  </si>
  <si>
    <t>VIGA 27X65</t>
  </si>
  <si>
    <t>VIGA 27X50</t>
  </si>
  <si>
    <t>LOSA ALIGERADA 20 cm</t>
  </si>
  <si>
    <t>MURO DE CORTE</t>
  </si>
  <si>
    <t>PESO ACABADOS</t>
  </si>
  <si>
    <t>PESO BARANDA</t>
  </si>
  <si>
    <t>PESO MURO LADRILLO</t>
  </si>
  <si>
    <t>SEGUNDO PISO</t>
  </si>
  <si>
    <t>LONGITUD</t>
  </si>
  <si>
    <t>IRREGULARIDADES ESTRUCTURALES EN PLANTA</t>
  </si>
  <si>
    <t>Drift  X</t>
  </si>
  <si>
    <t>MÁX UX REL</t>
  </si>
  <si>
    <t>PROM UX REL</t>
  </si>
  <si>
    <t>Drift  Y</t>
  </si>
  <si>
    <t>MÁX UY REL</t>
  </si>
  <si>
    <t>PROM UY REL</t>
  </si>
  <si>
    <t>3. VERIFICACIÓN DE IRREGULARIDADES ESTRUCTURALES</t>
  </si>
  <si>
    <t>4. VERIFICACIÓN DE FUERZA CORTANTE MÍNIMA EN LA BASE</t>
  </si>
  <si>
    <t>V SxE</t>
  </si>
  <si>
    <t>V SxD</t>
  </si>
  <si>
    <t>80% V SxE</t>
  </si>
  <si>
    <t>V SyE</t>
  </si>
  <si>
    <t>V SyD</t>
  </si>
  <si>
    <t>80% V SyE</t>
  </si>
  <si>
    <t>5. VERIFICACIÓN DEL SISTEMA ESTRUCTURAL</t>
  </si>
  <si>
    <t>V TOTAL</t>
  </si>
  <si>
    <t>V MUROS</t>
  </si>
  <si>
    <t>Label</t>
  </si>
  <si>
    <t>Unique Name</t>
  </si>
  <si>
    <t>FX</t>
  </si>
  <si>
    <t>LinRespSpec</t>
  </si>
  <si>
    <t>TOTAL</t>
  </si>
  <si>
    <t>MUROS ESTRUCTURALES</t>
  </si>
  <si>
    <t>FY</t>
  </si>
  <si>
    <t>DISEÑO DE VIGAS POR FLEXIÓN</t>
  </si>
  <si>
    <t>VIGA EJE 14 ENTRE A-D SEGUNDO NIVEL</t>
  </si>
  <si>
    <t>Mu</t>
  </si>
  <si>
    <t>Ton-m</t>
  </si>
  <si>
    <t>f'c</t>
  </si>
  <si>
    <t>h</t>
  </si>
  <si>
    <t>b</t>
  </si>
  <si>
    <t>cm</t>
  </si>
  <si>
    <t>r</t>
  </si>
  <si>
    <t>fy</t>
  </si>
  <si>
    <t>d</t>
  </si>
  <si>
    <t>N°</t>
  </si>
  <si>
    <t>ÁREA</t>
  </si>
  <si>
    <t>Ø</t>
  </si>
  <si>
    <t>3 (3/8")</t>
  </si>
  <si>
    <t>4 (1/2")</t>
  </si>
  <si>
    <t>5 (5/8")</t>
  </si>
  <si>
    <t>6 (3/4")</t>
  </si>
  <si>
    <t>8 (1")</t>
  </si>
  <si>
    <t>a</t>
  </si>
  <si>
    <t>As</t>
  </si>
  <si>
    <t>kg/cm2</t>
  </si>
  <si>
    <t>cm2</t>
  </si>
  <si>
    <t>3Ø3/4"</t>
  </si>
  <si>
    <t>pmin</t>
  </si>
  <si>
    <t>pmáx</t>
  </si>
  <si>
    <t>As,min</t>
  </si>
  <si>
    <t>As,máx</t>
  </si>
  <si>
    <t>Separación de Barras</t>
  </si>
  <si>
    <t>2Ø3/4"</t>
  </si>
  <si>
    <t>2Ø3/4"+1Ø5/8"</t>
  </si>
  <si>
    <t>Eje D</t>
  </si>
  <si>
    <t>Eje A</t>
  </si>
  <si>
    <t>1Ø3/4"</t>
  </si>
  <si>
    <t>DISEÑO DE LONGITUD DE BASTONES POR FLEXIÓN (CAPÍTULO 12)</t>
  </si>
  <si>
    <t>12db</t>
  </si>
  <si>
    <t>Lb</t>
  </si>
  <si>
    <t>RECOMENDACIÓN</t>
  </si>
  <si>
    <t>2.30m</t>
  </si>
  <si>
    <t>1Ø5/8"</t>
  </si>
  <si>
    <t>2.85m</t>
  </si>
  <si>
    <t>0.85m</t>
  </si>
  <si>
    <t>Ld</t>
  </si>
  <si>
    <t>LONGITUD DE DESARROLLO SIN GANCHO</t>
  </si>
  <si>
    <t>LONGITUD DE DESARROLLO CON GANCHO</t>
  </si>
  <si>
    <t>Ldg</t>
  </si>
  <si>
    <t>LONGITUD DEL GANCHO</t>
  </si>
  <si>
    <t>Lg</t>
  </si>
  <si>
    <t>DISEÑO DE VIGAS POR CORTANTE</t>
  </si>
  <si>
    <t>Vu</t>
  </si>
  <si>
    <t>Vs</t>
  </si>
  <si>
    <t>Vn</t>
  </si>
  <si>
    <t>ØVn</t>
  </si>
  <si>
    <t>≥</t>
  </si>
  <si>
    <t>ESTRIBOS POR CORTANTE</t>
  </si>
  <si>
    <t>ESTRIBOS POR CORTANTE (CAPÍTULO 21)</t>
  </si>
  <si>
    <t>BARRA LONGITUDINAL</t>
  </si>
  <si>
    <t>Ø Estribo</t>
  </si>
  <si>
    <t>8mm</t>
  </si>
  <si>
    <t>3/8"</t>
  </si>
  <si>
    <t>1/2"</t>
  </si>
  <si>
    <t>&lt; 5/8"</t>
  </si>
  <si>
    <t>5/8" - 1"</t>
  </si>
  <si>
    <t>&gt; 1"</t>
  </si>
  <si>
    <t>ZONA CONFINAMIENTO (2H)</t>
  </si>
  <si>
    <t>ZONA CENTRAL</t>
  </si>
  <si>
    <t>Primer Estribo</t>
  </si>
  <si>
    <t>a)</t>
  </si>
  <si>
    <t>b)</t>
  </si>
  <si>
    <t>c)</t>
  </si>
  <si>
    <t>d)</t>
  </si>
  <si>
    <t>Av/S =</t>
  </si>
  <si>
    <t>S=Av/0.0622</t>
  </si>
  <si>
    <t>S=Av/0.0572</t>
  </si>
  <si>
    <t>S=Av/0.0348</t>
  </si>
  <si>
    <t>0.5d</t>
  </si>
  <si>
    <t>TORSIÓN</t>
  </si>
  <si>
    <t>S=Av/0.0286</t>
  </si>
  <si>
    <t>1@0.05m, 13@0.10m, 6@0.15m, 4@0.20m, rto @0.25m</t>
  </si>
  <si>
    <t>DISEÑO DE COLUMNAS POR FLEXOCOMPRESIÓN</t>
  </si>
  <si>
    <t>REFUERZO LONGITUDINAL</t>
  </si>
  <si>
    <t>COLUMNA ENTRE EJE D Y 14</t>
  </si>
  <si>
    <t>As, min</t>
  </si>
  <si>
    <t>Acol</t>
  </si>
  <si>
    <t>20Ø5/8"</t>
  </si>
  <si>
    <t>DIAGRAMA DE ITERACIONES</t>
  </si>
  <si>
    <t>Curve #1  0 deg</t>
  </si>
  <si>
    <t>Point</t>
  </si>
  <si>
    <t>P  tonf</t>
  </si>
  <si>
    <t>M2  tonf-m</t>
  </si>
  <si>
    <t>M3  tonf-m</t>
  </si>
  <si>
    <t>Curve #7  90 deg</t>
  </si>
  <si>
    <t>M2 NEG tonf-m</t>
  </si>
  <si>
    <t>M3 NEG tonf-m</t>
  </si>
  <si>
    <t>M2</t>
  </si>
  <si>
    <t>tonf-m</t>
  </si>
  <si>
    <t>M3</t>
  </si>
  <si>
    <t>TERCER PISO</t>
  </si>
  <si>
    <t>23Ø5/8"</t>
  </si>
  <si>
    <t>ZONA CONFINAMIENTO (Lo)</t>
  </si>
  <si>
    <t>e)</t>
  </si>
  <si>
    <t>f)</t>
  </si>
  <si>
    <t>Luz Libre 2do Piso</t>
  </si>
  <si>
    <t>ESPACIAMIENTO ZONA CONFINAMIENTO (So)</t>
  </si>
  <si>
    <t>ESPACIAMIENTO ZONA CENTRAL</t>
  </si>
  <si>
    <t>1@0.05m, 13@0.10m, rto @0.20m</t>
  </si>
  <si>
    <t>DISEÑO DE MUROS DE CORTE</t>
  </si>
  <si>
    <t>Lm</t>
  </si>
  <si>
    <t>tm</t>
  </si>
  <si>
    <t>SIN ELEMENTOS DE BORDE</t>
  </si>
  <si>
    <t>Ø 3/8"</t>
  </si>
  <si>
    <t>N°BARRAS</t>
  </si>
  <si>
    <t>BARRAS/CAPA</t>
  </si>
  <si>
    <t>Smáx</t>
  </si>
  <si>
    <t>CON ELEMENTOS DE BORDE</t>
  </si>
  <si>
    <t>*ALMA DEL MURO</t>
  </si>
  <si>
    <t>REFUERZO HORIZONTAL</t>
  </si>
  <si>
    <t>cm2/m</t>
  </si>
  <si>
    <t>USAR Ø 3/8"@0.20m</t>
  </si>
  <si>
    <t>REFUERZO VERTICAL</t>
  </si>
  <si>
    <t>*ELEMENTOS DE CONFINAMIENTO</t>
  </si>
  <si>
    <t>18Ø5/8"</t>
  </si>
  <si>
    <t>Separación Barras</t>
  </si>
  <si>
    <t>Elementos de Borde</t>
  </si>
  <si>
    <t>75% As</t>
  </si>
  <si>
    <t>Alma del Muro</t>
  </si>
  <si>
    <t>25% As</t>
  </si>
  <si>
    <t>* Elementos de Confinamiento</t>
  </si>
  <si>
    <t>*Alma del Muro</t>
  </si>
  <si>
    <t>La</t>
  </si>
  <si>
    <t>USAR Ø 3/8"@0.40m</t>
  </si>
  <si>
    <t>ALMA DEL MURO</t>
  </si>
  <si>
    <t>ELEMENTOS DE BORDE</t>
  </si>
  <si>
    <t>DISEÑO DE LOSA</t>
  </si>
  <si>
    <t>Φ</t>
  </si>
  <si>
    <t>2 (1/4")</t>
  </si>
  <si>
    <t>*APOYOS</t>
  </si>
  <si>
    <t>2bw</t>
  </si>
  <si>
    <t>ANCHO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</si>
  <si>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1/2"</t>
    </r>
  </si>
  <si>
    <t>*CENTRO DEL CLARO</t>
  </si>
  <si>
    <t>ANCHO (bw)</t>
  </si>
  <si>
    <r>
      <rPr>
        <b/>
        <sz val="11"/>
        <color rgb="FFFF0000"/>
        <rFont val="Univers Light"/>
        <family val="2"/>
        <charset val="1"/>
      </rPr>
      <t>1φ3/8</t>
    </r>
    <r>
      <rPr>
        <b/>
        <sz val="11"/>
        <color rgb="FFFF0000"/>
        <rFont val="Calibri"/>
        <family val="2"/>
      </rPr>
      <t>"</t>
    </r>
  </si>
  <si>
    <t>APOYOS</t>
  </si>
  <si>
    <t>f´c</t>
  </si>
  <si>
    <t>φ</t>
  </si>
  <si>
    <t>CENTRO DEL CLARO</t>
  </si>
  <si>
    <t>ACERO POR TEMPERATURA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</si>
  <si>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1/4"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</si>
</sst>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\ &quot;cm2&quot;"/>
    <numFmt numFmtId="167" formatCode="0.00\ &quot;cm&quot;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  <scheme val="minor"/>
    </font>
    <font>
      <sz val="14"/>
      <color theme="1"/>
      <name val="Aptos Narrow"/>
      <family val="2"/>
    </font>
    <font>
      <b/>
      <sz val="11"/>
      <color theme="1"/>
      <name val="Univers Light"/>
      <family val="2"/>
    </font>
    <font>
      <b/>
      <sz val="11"/>
      <color rgb="FFFF0000"/>
      <name val="Calibri"/>
      <family val="2"/>
      <charset val="1"/>
    </font>
    <font>
      <b/>
      <sz val="11"/>
      <color rgb="FFFF0000"/>
      <name val="Univers Light"/>
      <family val="2"/>
      <charset val="1"/>
    </font>
    <font>
      <b/>
      <sz val="11"/>
      <color rgb="FFFF0000"/>
      <name val="Calibri"/>
      <family val="2"/>
    </font>
    <font>
      <sz val="11"/>
      <color theme="1"/>
      <name val="Univers Light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1" fillId="0" borderId="0" xfId="0" applyNumberFormat="1" applyFont="1"/>
    <xf numFmtId="2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4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0" fontId="5" fillId="0" borderId="0" xfId="0" applyFont="1"/>
    <xf numFmtId="0" fontId="5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2" fontId="1" fillId="2" borderId="0" xfId="0" applyNumberFormat="1" applyFont="1" applyFill="1"/>
    <xf numFmtId="0" fontId="6" fillId="0" borderId="0" xfId="0" applyFont="1" applyAlignment="1">
      <alignment horizontal="center"/>
    </xf>
    <xf numFmtId="0" fontId="1" fillId="4" borderId="0" xfId="0" applyFont="1" applyFill="1"/>
    <xf numFmtId="0" fontId="0" fillId="4" borderId="0" xfId="0" applyFill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2" fontId="7" fillId="2" borderId="0" xfId="0" applyNumberFormat="1" applyFont="1" applyFill="1"/>
    <xf numFmtId="0" fontId="7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0" xfId="0" applyNumberFormat="1" applyFill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/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166" fontId="0" fillId="0" borderId="0" xfId="0" applyNumberFormat="1"/>
    <xf numFmtId="1" fontId="0" fillId="0" borderId="0" xfId="0" applyNumberFormat="1"/>
    <xf numFmtId="0" fontId="4" fillId="2" borderId="0" xfId="0" applyFont="1" applyFill="1"/>
    <xf numFmtId="0" fontId="6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7" borderId="0" xfId="0" applyFont="1" applyFill="1"/>
    <xf numFmtId="0" fontId="13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COLUMNAS!$G$22:$G$32</c:f>
              <c:numCache>
                <c:formatCode>General</c:formatCode>
                <c:ptCount val="11"/>
                <c:pt idx="0">
                  <c:v>0</c:v>
                </c:pt>
                <c:pt idx="1">
                  <c:v>6.5216900000000004</c:v>
                </c:pt>
                <c:pt idx="2">
                  <c:v>10.981319999999998</c:v>
                </c:pt>
                <c:pt idx="3">
                  <c:v>14.996659999999999</c:v>
                </c:pt>
                <c:pt idx="4">
                  <c:v>18.771619999999999</c:v>
                </c:pt>
                <c:pt idx="5">
                  <c:v>26.726139999999997</c:v>
                </c:pt>
                <c:pt idx="6">
                  <c:v>29.371300000000002</c:v>
                </c:pt>
                <c:pt idx="7">
                  <c:v>28.750749999999996</c:v>
                </c:pt>
                <c:pt idx="8">
                  <c:v>24.363219999999998</c:v>
                </c:pt>
                <c:pt idx="9">
                  <c:v>13.544090000000001</c:v>
                </c:pt>
                <c:pt idx="10">
                  <c:v>0</c:v>
                </c:pt>
              </c:numCache>
            </c:numRef>
          </c:xVal>
          <c:yVal>
            <c:numRef>
              <c:f>COLUMNAS!$F$22:$F$32</c:f>
              <c:numCache>
                <c:formatCode>General</c:formatCode>
                <c:ptCount val="11"/>
                <c:pt idx="0">
                  <c:v>484.94123999999994</c:v>
                </c:pt>
                <c:pt idx="1">
                  <c:v>484.94123999999994</c:v>
                </c:pt>
                <c:pt idx="2">
                  <c:v>484.94123999999994</c:v>
                </c:pt>
                <c:pt idx="3">
                  <c:v>484.94123999999994</c:v>
                </c:pt>
                <c:pt idx="4">
                  <c:v>477.79262999999992</c:v>
                </c:pt>
                <c:pt idx="5">
                  <c:v>370.60155999999995</c:v>
                </c:pt>
                <c:pt idx="6">
                  <c:v>285.24811</c:v>
                </c:pt>
                <c:pt idx="7">
                  <c:v>181.42410999999998</c:v>
                </c:pt>
                <c:pt idx="8">
                  <c:v>74.441569999999999</c:v>
                </c:pt>
                <c:pt idx="9">
                  <c:v>-35.648689999999995</c:v>
                </c:pt>
                <c:pt idx="10">
                  <c:v>-135.23999999999998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E5-4B46-B5AE-0E777C728E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COLUMNAS!$H$22:$H$32</c:f>
              <c:numCache>
                <c:formatCode>General</c:formatCode>
                <c:ptCount val="11"/>
                <c:pt idx="0">
                  <c:v>0</c:v>
                </c:pt>
                <c:pt idx="1">
                  <c:v>-6.5216900000000004</c:v>
                </c:pt>
                <c:pt idx="2">
                  <c:v>-10.981319999999998</c:v>
                </c:pt>
                <c:pt idx="3">
                  <c:v>-14.996659999999999</c:v>
                </c:pt>
                <c:pt idx="4">
                  <c:v>-18.771619999999999</c:v>
                </c:pt>
                <c:pt idx="5">
                  <c:v>-26.726139999999997</c:v>
                </c:pt>
                <c:pt idx="6">
                  <c:v>-29.371300000000002</c:v>
                </c:pt>
                <c:pt idx="7">
                  <c:v>-28.750749999999996</c:v>
                </c:pt>
                <c:pt idx="8">
                  <c:v>-24.363219999999998</c:v>
                </c:pt>
                <c:pt idx="9">
                  <c:v>-13.544090000000001</c:v>
                </c:pt>
                <c:pt idx="10">
                  <c:v>0</c:v>
                </c:pt>
              </c:numCache>
            </c:numRef>
          </c:xVal>
          <c:yVal>
            <c:numRef>
              <c:f>COLUMNAS!$F$22:$F$32</c:f>
              <c:numCache>
                <c:formatCode>General</c:formatCode>
                <c:ptCount val="11"/>
                <c:pt idx="0">
                  <c:v>484.94123999999994</c:v>
                </c:pt>
                <c:pt idx="1">
                  <c:v>484.94123999999994</c:v>
                </c:pt>
                <c:pt idx="2">
                  <c:v>484.94123999999994</c:v>
                </c:pt>
                <c:pt idx="3">
                  <c:v>484.94123999999994</c:v>
                </c:pt>
                <c:pt idx="4">
                  <c:v>477.79262999999992</c:v>
                </c:pt>
                <c:pt idx="5">
                  <c:v>370.60155999999995</c:v>
                </c:pt>
                <c:pt idx="6">
                  <c:v>285.24811</c:v>
                </c:pt>
                <c:pt idx="7">
                  <c:v>181.42410999999998</c:v>
                </c:pt>
                <c:pt idx="8">
                  <c:v>74.441569999999999</c:v>
                </c:pt>
                <c:pt idx="9">
                  <c:v>-35.648689999999995</c:v>
                </c:pt>
                <c:pt idx="10">
                  <c:v>-135.23999999999998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E5-4B46-B5AE-0E777C728EC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COLUMNAS!$T$20:$T$124</c:f>
              <c:numCache>
                <c:formatCode>General</c:formatCode>
                <c:ptCount val="105"/>
                <c:pt idx="0">
                  <c:v>1.2746999999999999</c:v>
                </c:pt>
                <c:pt idx="1">
                  <c:v>-0.53910000000000002</c:v>
                </c:pt>
                <c:pt idx="2">
                  <c:v>-2.3529</c:v>
                </c:pt>
                <c:pt idx="3">
                  <c:v>2.1579999999999999</c:v>
                </c:pt>
                <c:pt idx="4">
                  <c:v>-1.038</c:v>
                </c:pt>
                <c:pt idx="5">
                  <c:v>-4.2340999999999998</c:v>
                </c:pt>
                <c:pt idx="6">
                  <c:v>8.9800000000000005E-2</c:v>
                </c:pt>
                <c:pt idx="7">
                  <c:v>7.3099999999999998E-2</c:v>
                </c:pt>
                <c:pt idx="8">
                  <c:v>5.6399999999999999E-2</c:v>
                </c:pt>
                <c:pt idx="9">
                  <c:v>4.0824999999999996</c:v>
                </c:pt>
                <c:pt idx="10">
                  <c:v>0.19950000000000001</c:v>
                </c:pt>
                <c:pt idx="11">
                  <c:v>-0.3347</c:v>
                </c:pt>
                <c:pt idx="12">
                  <c:v>-1.9014</c:v>
                </c:pt>
                <c:pt idx="13">
                  <c:v>-1.1269</c:v>
                </c:pt>
                <c:pt idx="14">
                  <c:v>-3.7012999999999998</c:v>
                </c:pt>
                <c:pt idx="15">
                  <c:v>4.0824999999999996</c:v>
                </c:pt>
                <c:pt idx="16">
                  <c:v>0.19950000000000001</c:v>
                </c:pt>
                <c:pt idx="17">
                  <c:v>-0.3347</c:v>
                </c:pt>
                <c:pt idx="18">
                  <c:v>-1.9014</c:v>
                </c:pt>
                <c:pt idx="19">
                  <c:v>-1.1269</c:v>
                </c:pt>
                <c:pt idx="20">
                  <c:v>-3.7012999999999998</c:v>
                </c:pt>
                <c:pt idx="21">
                  <c:v>4.3833000000000002</c:v>
                </c:pt>
                <c:pt idx="22">
                  <c:v>0.24679999999999999</c:v>
                </c:pt>
                <c:pt idx="23">
                  <c:v>-0.1321</c:v>
                </c:pt>
                <c:pt idx="24">
                  <c:v>-2.2023000000000001</c:v>
                </c:pt>
                <c:pt idx="25">
                  <c:v>-1.1742999999999999</c:v>
                </c:pt>
                <c:pt idx="26">
                  <c:v>-3.9039000000000001</c:v>
                </c:pt>
                <c:pt idx="27">
                  <c:v>4.3833000000000002</c:v>
                </c:pt>
                <c:pt idx="28">
                  <c:v>0.24679999999999999</c:v>
                </c:pt>
                <c:pt idx="29">
                  <c:v>-0.1321</c:v>
                </c:pt>
                <c:pt idx="30">
                  <c:v>-2.2023000000000001</c:v>
                </c:pt>
                <c:pt idx="31">
                  <c:v>-1.1742999999999999</c:v>
                </c:pt>
                <c:pt idx="32">
                  <c:v>-3.9039000000000001</c:v>
                </c:pt>
                <c:pt idx="33">
                  <c:v>4.7320000000000002</c:v>
                </c:pt>
                <c:pt idx="34">
                  <c:v>-0.16739999999999999</c:v>
                </c:pt>
                <c:pt idx="35">
                  <c:v>-1.7179</c:v>
                </c:pt>
                <c:pt idx="36">
                  <c:v>-1.2519</c:v>
                </c:pt>
                <c:pt idx="37">
                  <c:v>-1.4938</c:v>
                </c:pt>
                <c:pt idx="38">
                  <c:v>-5.0845000000000002</c:v>
                </c:pt>
                <c:pt idx="39">
                  <c:v>4.7320000000000002</c:v>
                </c:pt>
                <c:pt idx="40">
                  <c:v>-0.16739999999999999</c:v>
                </c:pt>
                <c:pt idx="41">
                  <c:v>-1.7179</c:v>
                </c:pt>
                <c:pt idx="42">
                  <c:v>-1.2519</c:v>
                </c:pt>
                <c:pt idx="43">
                  <c:v>-1.4938</c:v>
                </c:pt>
                <c:pt idx="44">
                  <c:v>-5.0845000000000002</c:v>
                </c:pt>
                <c:pt idx="45">
                  <c:v>5.0327999999999999</c:v>
                </c:pt>
                <c:pt idx="46">
                  <c:v>-0.1201</c:v>
                </c:pt>
                <c:pt idx="47">
                  <c:v>-1.5153000000000001</c:v>
                </c:pt>
                <c:pt idx="48">
                  <c:v>-1.5528</c:v>
                </c:pt>
                <c:pt idx="49">
                  <c:v>-1.5410999999999999</c:v>
                </c:pt>
                <c:pt idx="50">
                  <c:v>-5.2870999999999997</c:v>
                </c:pt>
                <c:pt idx="51">
                  <c:v>5.0327999999999999</c:v>
                </c:pt>
                <c:pt idx="52">
                  <c:v>-0.1201</c:v>
                </c:pt>
                <c:pt idx="53">
                  <c:v>-1.5153000000000001</c:v>
                </c:pt>
                <c:pt idx="54">
                  <c:v>-1.5528</c:v>
                </c:pt>
                <c:pt idx="55">
                  <c:v>-1.5410999999999999</c:v>
                </c:pt>
                <c:pt idx="56">
                  <c:v>-5.2870999999999997</c:v>
                </c:pt>
                <c:pt idx="57">
                  <c:v>3.2111999999999998</c:v>
                </c:pt>
                <c:pt idx="58">
                  <c:v>0.64959999999999996</c:v>
                </c:pt>
                <c:pt idx="59">
                  <c:v>1.4369000000000001</c:v>
                </c:pt>
                <c:pt idx="60">
                  <c:v>-2.7726999999999999</c:v>
                </c:pt>
                <c:pt idx="61">
                  <c:v>-0.67679999999999996</c:v>
                </c:pt>
                <c:pt idx="62">
                  <c:v>-1.9297</c:v>
                </c:pt>
                <c:pt idx="63">
                  <c:v>3.2111999999999998</c:v>
                </c:pt>
                <c:pt idx="64">
                  <c:v>0.64959999999999996</c:v>
                </c:pt>
                <c:pt idx="65">
                  <c:v>1.4369000000000001</c:v>
                </c:pt>
                <c:pt idx="66">
                  <c:v>-2.7726999999999999</c:v>
                </c:pt>
                <c:pt idx="67">
                  <c:v>-0.67679999999999996</c:v>
                </c:pt>
                <c:pt idx="68">
                  <c:v>-1.9297</c:v>
                </c:pt>
                <c:pt idx="69">
                  <c:v>3.5121000000000002</c:v>
                </c:pt>
                <c:pt idx="70">
                  <c:v>0.69699999999999995</c:v>
                </c:pt>
                <c:pt idx="71">
                  <c:v>1.6395</c:v>
                </c:pt>
                <c:pt idx="72">
                  <c:v>-3.0735000000000001</c:v>
                </c:pt>
                <c:pt idx="73">
                  <c:v>-0.72409999999999997</c:v>
                </c:pt>
                <c:pt idx="74">
                  <c:v>-2.1322999999999999</c:v>
                </c:pt>
                <c:pt idx="75">
                  <c:v>3.5121000000000002</c:v>
                </c:pt>
                <c:pt idx="76">
                  <c:v>0.69699999999999995</c:v>
                </c:pt>
                <c:pt idx="77">
                  <c:v>1.6395</c:v>
                </c:pt>
                <c:pt idx="78">
                  <c:v>-3.0735000000000001</c:v>
                </c:pt>
                <c:pt idx="79">
                  <c:v>-0.72409999999999997</c:v>
                </c:pt>
                <c:pt idx="80">
                  <c:v>-2.1322999999999999</c:v>
                </c:pt>
                <c:pt idx="81">
                  <c:v>3.6173000000000002</c:v>
                </c:pt>
                <c:pt idx="82">
                  <c:v>0.38850000000000001</c:v>
                </c:pt>
                <c:pt idx="83">
                  <c:v>0.50870000000000004</c:v>
                </c:pt>
                <c:pt idx="84">
                  <c:v>-2.3666</c:v>
                </c:pt>
                <c:pt idx="85">
                  <c:v>-0.93789999999999996</c:v>
                </c:pt>
                <c:pt idx="86">
                  <c:v>-2.8580000000000001</c:v>
                </c:pt>
                <c:pt idx="87">
                  <c:v>3.6173000000000002</c:v>
                </c:pt>
                <c:pt idx="88">
                  <c:v>0.38850000000000001</c:v>
                </c:pt>
                <c:pt idx="89">
                  <c:v>0.50870000000000004</c:v>
                </c:pt>
                <c:pt idx="90">
                  <c:v>-2.3666</c:v>
                </c:pt>
                <c:pt idx="91">
                  <c:v>-0.93789999999999996</c:v>
                </c:pt>
                <c:pt idx="92">
                  <c:v>-2.8580000000000001</c:v>
                </c:pt>
                <c:pt idx="93">
                  <c:v>3.9180999999999999</c:v>
                </c:pt>
                <c:pt idx="94">
                  <c:v>0.43590000000000001</c:v>
                </c:pt>
                <c:pt idx="95">
                  <c:v>0.71130000000000004</c:v>
                </c:pt>
                <c:pt idx="96">
                  <c:v>-2.6675</c:v>
                </c:pt>
                <c:pt idx="97">
                  <c:v>-0.98519999999999996</c:v>
                </c:pt>
                <c:pt idx="98">
                  <c:v>-3.0606</c:v>
                </c:pt>
                <c:pt idx="99">
                  <c:v>3.9180999999999999</c:v>
                </c:pt>
                <c:pt idx="100">
                  <c:v>0.43590000000000001</c:v>
                </c:pt>
                <c:pt idx="101">
                  <c:v>0.71130000000000004</c:v>
                </c:pt>
                <c:pt idx="102">
                  <c:v>-2.6675</c:v>
                </c:pt>
                <c:pt idx="103">
                  <c:v>-0.98519999999999996</c:v>
                </c:pt>
                <c:pt idx="104">
                  <c:v>-3.0606</c:v>
                </c:pt>
              </c:numCache>
            </c:numRef>
          </c:xVal>
          <c:yVal>
            <c:numRef>
              <c:f>COLUMNAS!$R$20:$R$124</c:f>
              <c:numCache>
                <c:formatCode>General</c:formatCode>
                <c:ptCount val="105"/>
                <c:pt idx="0">
                  <c:v>100.1664</c:v>
                </c:pt>
                <c:pt idx="1">
                  <c:v>97.548400000000001</c:v>
                </c:pt>
                <c:pt idx="2">
                  <c:v>94.930400000000006</c:v>
                </c:pt>
                <c:pt idx="3">
                  <c:v>87.848500000000001</c:v>
                </c:pt>
                <c:pt idx="4">
                  <c:v>85.230500000000006</c:v>
                </c:pt>
                <c:pt idx="5">
                  <c:v>82.6126</c:v>
                </c:pt>
                <c:pt idx="6">
                  <c:v>87.383700000000005</c:v>
                </c:pt>
                <c:pt idx="7">
                  <c:v>84.765699999999995</c:v>
                </c:pt>
                <c:pt idx="8">
                  <c:v>82.1477</c:v>
                </c:pt>
                <c:pt idx="9">
                  <c:v>79.908799999999999</c:v>
                </c:pt>
                <c:pt idx="10">
                  <c:v>77.571299999999994</c:v>
                </c:pt>
                <c:pt idx="11">
                  <c:v>75.233800000000002</c:v>
                </c:pt>
                <c:pt idx="12">
                  <c:v>90.511799999999994</c:v>
                </c:pt>
                <c:pt idx="13">
                  <c:v>88.174300000000002</c:v>
                </c:pt>
                <c:pt idx="14">
                  <c:v>85.8369</c:v>
                </c:pt>
                <c:pt idx="15">
                  <c:v>79.908799999999999</c:v>
                </c:pt>
                <c:pt idx="16">
                  <c:v>77.571299999999994</c:v>
                </c:pt>
                <c:pt idx="17">
                  <c:v>75.233800000000002</c:v>
                </c:pt>
                <c:pt idx="18">
                  <c:v>90.511799999999994</c:v>
                </c:pt>
                <c:pt idx="19">
                  <c:v>88.174300000000002</c:v>
                </c:pt>
                <c:pt idx="20">
                  <c:v>85.8369</c:v>
                </c:pt>
                <c:pt idx="21">
                  <c:v>80.540400000000005</c:v>
                </c:pt>
                <c:pt idx="22">
                  <c:v>78.203000000000003</c:v>
                </c:pt>
                <c:pt idx="23">
                  <c:v>75.865499999999997</c:v>
                </c:pt>
                <c:pt idx="24">
                  <c:v>89.880099999999999</c:v>
                </c:pt>
                <c:pt idx="25">
                  <c:v>87.542699999999996</c:v>
                </c:pt>
                <c:pt idx="26">
                  <c:v>85.205200000000005</c:v>
                </c:pt>
                <c:pt idx="27">
                  <c:v>80.540400000000005</c:v>
                </c:pt>
                <c:pt idx="28">
                  <c:v>78.203000000000003</c:v>
                </c:pt>
                <c:pt idx="29">
                  <c:v>75.865499999999997</c:v>
                </c:pt>
                <c:pt idx="30">
                  <c:v>89.880099999999999</c:v>
                </c:pt>
                <c:pt idx="31">
                  <c:v>87.542699999999996</c:v>
                </c:pt>
                <c:pt idx="32">
                  <c:v>85.205200000000005</c:v>
                </c:pt>
                <c:pt idx="33">
                  <c:v>70.851500000000001</c:v>
                </c:pt>
                <c:pt idx="34">
                  <c:v>68.513999999999996</c:v>
                </c:pt>
                <c:pt idx="35">
                  <c:v>66.176500000000004</c:v>
                </c:pt>
                <c:pt idx="36">
                  <c:v>81.454599999999999</c:v>
                </c:pt>
                <c:pt idx="37">
                  <c:v>79.117099999999994</c:v>
                </c:pt>
                <c:pt idx="38">
                  <c:v>76.779600000000002</c:v>
                </c:pt>
                <c:pt idx="39">
                  <c:v>70.851500000000001</c:v>
                </c:pt>
                <c:pt idx="40">
                  <c:v>68.513999999999996</c:v>
                </c:pt>
                <c:pt idx="41">
                  <c:v>66.176500000000004</c:v>
                </c:pt>
                <c:pt idx="42">
                  <c:v>81.454599999999999</c:v>
                </c:pt>
                <c:pt idx="43">
                  <c:v>79.117099999999994</c:v>
                </c:pt>
                <c:pt idx="44">
                  <c:v>76.779600000000002</c:v>
                </c:pt>
                <c:pt idx="45">
                  <c:v>71.483199999999997</c:v>
                </c:pt>
                <c:pt idx="46">
                  <c:v>69.145700000000005</c:v>
                </c:pt>
                <c:pt idx="47">
                  <c:v>66.808199999999999</c:v>
                </c:pt>
                <c:pt idx="48">
                  <c:v>80.822900000000004</c:v>
                </c:pt>
                <c:pt idx="49">
                  <c:v>78.485399999999998</c:v>
                </c:pt>
                <c:pt idx="50">
                  <c:v>76.147900000000007</c:v>
                </c:pt>
                <c:pt idx="51">
                  <c:v>71.483199999999997</c:v>
                </c:pt>
                <c:pt idx="52">
                  <c:v>69.145700000000005</c:v>
                </c:pt>
                <c:pt idx="53">
                  <c:v>66.808199999999999</c:v>
                </c:pt>
                <c:pt idx="54">
                  <c:v>80.822900000000004</c:v>
                </c:pt>
                <c:pt idx="55">
                  <c:v>78.485399999999998</c:v>
                </c:pt>
                <c:pt idx="56">
                  <c:v>76.147900000000007</c:v>
                </c:pt>
                <c:pt idx="57">
                  <c:v>70.509699999999995</c:v>
                </c:pt>
                <c:pt idx="58">
                  <c:v>68.172200000000004</c:v>
                </c:pt>
                <c:pt idx="59">
                  <c:v>65.834699999999998</c:v>
                </c:pt>
                <c:pt idx="60">
                  <c:v>81.112700000000004</c:v>
                </c:pt>
                <c:pt idx="61">
                  <c:v>78.775300000000001</c:v>
                </c:pt>
                <c:pt idx="62">
                  <c:v>76.437799999999996</c:v>
                </c:pt>
                <c:pt idx="63">
                  <c:v>70.509699999999995</c:v>
                </c:pt>
                <c:pt idx="64">
                  <c:v>68.172200000000004</c:v>
                </c:pt>
                <c:pt idx="65">
                  <c:v>65.834699999999998</c:v>
                </c:pt>
                <c:pt idx="66">
                  <c:v>81.112700000000004</c:v>
                </c:pt>
                <c:pt idx="67">
                  <c:v>78.775300000000001</c:v>
                </c:pt>
                <c:pt idx="68">
                  <c:v>76.437799999999996</c:v>
                </c:pt>
                <c:pt idx="69">
                  <c:v>71.141400000000004</c:v>
                </c:pt>
                <c:pt idx="70">
                  <c:v>68.803899999999999</c:v>
                </c:pt>
                <c:pt idx="71">
                  <c:v>66.466399999999993</c:v>
                </c:pt>
                <c:pt idx="72">
                  <c:v>80.481099999999998</c:v>
                </c:pt>
                <c:pt idx="73">
                  <c:v>78.143600000000006</c:v>
                </c:pt>
                <c:pt idx="74">
                  <c:v>75.806100000000001</c:v>
                </c:pt>
                <c:pt idx="75">
                  <c:v>71.141400000000004</c:v>
                </c:pt>
                <c:pt idx="76">
                  <c:v>68.803899999999999</c:v>
                </c:pt>
                <c:pt idx="77">
                  <c:v>66.466399999999993</c:v>
                </c:pt>
                <c:pt idx="78">
                  <c:v>80.481099999999998</c:v>
                </c:pt>
                <c:pt idx="79">
                  <c:v>78.143600000000006</c:v>
                </c:pt>
                <c:pt idx="80">
                  <c:v>75.806100000000001</c:v>
                </c:pt>
                <c:pt idx="81">
                  <c:v>41.857300000000002</c:v>
                </c:pt>
                <c:pt idx="82">
                  <c:v>40.174300000000002</c:v>
                </c:pt>
                <c:pt idx="83">
                  <c:v>38.491300000000003</c:v>
                </c:pt>
                <c:pt idx="84">
                  <c:v>52.460299999999997</c:v>
                </c:pt>
                <c:pt idx="85">
                  <c:v>50.777299999999997</c:v>
                </c:pt>
                <c:pt idx="86">
                  <c:v>49.0944</c:v>
                </c:pt>
                <c:pt idx="87">
                  <c:v>41.857300000000002</c:v>
                </c:pt>
                <c:pt idx="88">
                  <c:v>40.174300000000002</c:v>
                </c:pt>
                <c:pt idx="89">
                  <c:v>38.491300000000003</c:v>
                </c:pt>
                <c:pt idx="90">
                  <c:v>52.460299999999997</c:v>
                </c:pt>
                <c:pt idx="91">
                  <c:v>50.777299999999997</c:v>
                </c:pt>
                <c:pt idx="92">
                  <c:v>49.0944</c:v>
                </c:pt>
                <c:pt idx="93">
                  <c:v>42.488999999999997</c:v>
                </c:pt>
                <c:pt idx="94">
                  <c:v>40.805999999999997</c:v>
                </c:pt>
                <c:pt idx="95">
                  <c:v>39.122999999999998</c:v>
                </c:pt>
                <c:pt idx="96">
                  <c:v>51.828600000000002</c:v>
                </c:pt>
                <c:pt idx="97">
                  <c:v>50.145699999999998</c:v>
                </c:pt>
                <c:pt idx="98">
                  <c:v>48.462699999999998</c:v>
                </c:pt>
                <c:pt idx="99">
                  <c:v>42.488999999999997</c:v>
                </c:pt>
                <c:pt idx="100">
                  <c:v>40.805999999999997</c:v>
                </c:pt>
                <c:pt idx="101">
                  <c:v>39.122999999999998</c:v>
                </c:pt>
                <c:pt idx="102">
                  <c:v>51.828600000000002</c:v>
                </c:pt>
                <c:pt idx="103">
                  <c:v>50.145699999999998</c:v>
                </c:pt>
                <c:pt idx="104">
                  <c:v>48.462699999999998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E5-4B46-B5AE-0E777C728EC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COLUMNAS!$X$20:$X$124</c:f>
              <c:numCache>
                <c:formatCode>General</c:formatCode>
                <c:ptCount val="105"/>
                <c:pt idx="0">
                  <c:v>4.6620999999999997</c:v>
                </c:pt>
                <c:pt idx="1">
                  <c:v>-6.6500000000000004E-2</c:v>
                </c:pt>
                <c:pt idx="2">
                  <c:v>-4.7950999999999997</c:v>
                </c:pt>
                <c:pt idx="3">
                  <c:v>7.9637000000000002</c:v>
                </c:pt>
                <c:pt idx="4">
                  <c:v>-7.4200000000000002E-2</c:v>
                </c:pt>
                <c:pt idx="5">
                  <c:v>-8.1120999999999999</c:v>
                </c:pt>
                <c:pt idx="6">
                  <c:v>0.23619999999999999</c:v>
                </c:pt>
                <c:pt idx="7">
                  <c:v>-2.9600000000000001E-2</c:v>
                </c:pt>
                <c:pt idx="8">
                  <c:v>-0.2954</c:v>
                </c:pt>
                <c:pt idx="9">
                  <c:v>5.5526999999999997</c:v>
                </c:pt>
                <c:pt idx="10">
                  <c:v>0.2147</c:v>
                </c:pt>
                <c:pt idx="11">
                  <c:v>-2.3938999999999999</c:v>
                </c:pt>
                <c:pt idx="12">
                  <c:v>2.4150999999999998</c:v>
                </c:pt>
                <c:pt idx="13">
                  <c:v>-0.32200000000000001</c:v>
                </c:pt>
                <c:pt idx="14">
                  <c:v>-5.7885</c:v>
                </c:pt>
                <c:pt idx="15">
                  <c:v>5.5526999999999997</c:v>
                </c:pt>
                <c:pt idx="16">
                  <c:v>0.2147</c:v>
                </c:pt>
                <c:pt idx="17">
                  <c:v>-2.3938999999999999</c:v>
                </c:pt>
                <c:pt idx="18">
                  <c:v>2.4150999999999998</c:v>
                </c:pt>
                <c:pt idx="19">
                  <c:v>-0.32200000000000001</c:v>
                </c:pt>
                <c:pt idx="20">
                  <c:v>-5.7885</c:v>
                </c:pt>
                <c:pt idx="21">
                  <c:v>5.6352000000000002</c:v>
                </c:pt>
                <c:pt idx="22">
                  <c:v>0.2742</c:v>
                </c:pt>
                <c:pt idx="23">
                  <c:v>-2.3807999999999998</c:v>
                </c:pt>
                <c:pt idx="24">
                  <c:v>2.3325999999999998</c:v>
                </c:pt>
                <c:pt idx="25">
                  <c:v>-0.38159999999999999</c:v>
                </c:pt>
                <c:pt idx="26">
                  <c:v>-5.8015999999999996</c:v>
                </c:pt>
                <c:pt idx="27">
                  <c:v>5.6352000000000002</c:v>
                </c:pt>
                <c:pt idx="28">
                  <c:v>0.2742</c:v>
                </c:pt>
                <c:pt idx="29">
                  <c:v>-2.3807999999999998</c:v>
                </c:pt>
                <c:pt idx="30">
                  <c:v>2.3325999999999998</c:v>
                </c:pt>
                <c:pt idx="31">
                  <c:v>-0.38159999999999999</c:v>
                </c:pt>
                <c:pt idx="32">
                  <c:v>-5.8015999999999996</c:v>
                </c:pt>
                <c:pt idx="33">
                  <c:v>7.9802999999999997</c:v>
                </c:pt>
                <c:pt idx="34">
                  <c:v>0.20899999999999999</c:v>
                </c:pt>
                <c:pt idx="35">
                  <c:v>-4.8329000000000004</c:v>
                </c:pt>
                <c:pt idx="36">
                  <c:v>4.8426999999999998</c:v>
                </c:pt>
                <c:pt idx="37">
                  <c:v>-0.32769999999999999</c:v>
                </c:pt>
                <c:pt idx="38">
                  <c:v>-8.2274999999999991</c:v>
                </c:pt>
                <c:pt idx="39">
                  <c:v>7.9802999999999997</c:v>
                </c:pt>
                <c:pt idx="40">
                  <c:v>0.20899999999999999</c:v>
                </c:pt>
                <c:pt idx="41">
                  <c:v>-4.8329000000000004</c:v>
                </c:pt>
                <c:pt idx="42">
                  <c:v>4.8426999999999998</c:v>
                </c:pt>
                <c:pt idx="43">
                  <c:v>-0.32769999999999999</c:v>
                </c:pt>
                <c:pt idx="44">
                  <c:v>-8.2274999999999991</c:v>
                </c:pt>
                <c:pt idx="45">
                  <c:v>8.0627999999999993</c:v>
                </c:pt>
                <c:pt idx="46">
                  <c:v>0.26860000000000001</c:v>
                </c:pt>
                <c:pt idx="47">
                  <c:v>-4.8197999999999999</c:v>
                </c:pt>
                <c:pt idx="48">
                  <c:v>4.7602000000000002</c:v>
                </c:pt>
                <c:pt idx="49">
                  <c:v>-0.38719999999999999</c:v>
                </c:pt>
                <c:pt idx="50">
                  <c:v>-8.2406000000000006</c:v>
                </c:pt>
                <c:pt idx="51">
                  <c:v>8.0627999999999993</c:v>
                </c:pt>
                <c:pt idx="52">
                  <c:v>0.26860000000000001</c:v>
                </c:pt>
                <c:pt idx="53">
                  <c:v>-4.8197999999999999</c:v>
                </c:pt>
                <c:pt idx="54">
                  <c:v>4.7602000000000002</c:v>
                </c:pt>
                <c:pt idx="55">
                  <c:v>-0.38719999999999999</c:v>
                </c:pt>
                <c:pt idx="56">
                  <c:v>-8.2406000000000006</c:v>
                </c:pt>
                <c:pt idx="57">
                  <c:v>2.2982999999999998</c:v>
                </c:pt>
                <c:pt idx="58">
                  <c:v>0.24179999999999999</c:v>
                </c:pt>
                <c:pt idx="59">
                  <c:v>0.91469999999999996</c:v>
                </c:pt>
                <c:pt idx="60">
                  <c:v>-0.83930000000000005</c:v>
                </c:pt>
                <c:pt idx="61">
                  <c:v>-0.2949</c:v>
                </c:pt>
                <c:pt idx="62">
                  <c:v>-2.4799000000000002</c:v>
                </c:pt>
                <c:pt idx="63">
                  <c:v>2.2982999999999998</c:v>
                </c:pt>
                <c:pt idx="64">
                  <c:v>0.24179999999999999</c:v>
                </c:pt>
                <c:pt idx="65">
                  <c:v>0.91469999999999996</c:v>
                </c:pt>
                <c:pt idx="66">
                  <c:v>-0.83930000000000005</c:v>
                </c:pt>
                <c:pt idx="67">
                  <c:v>-0.2949</c:v>
                </c:pt>
                <c:pt idx="68">
                  <c:v>-2.4799000000000002</c:v>
                </c:pt>
                <c:pt idx="69">
                  <c:v>2.3807999999999998</c:v>
                </c:pt>
                <c:pt idx="70">
                  <c:v>0.3014</c:v>
                </c:pt>
                <c:pt idx="71">
                  <c:v>0.92779999999999996</c:v>
                </c:pt>
                <c:pt idx="72">
                  <c:v>-0.92179999999999995</c:v>
                </c:pt>
                <c:pt idx="73">
                  <c:v>-0.35449999999999998</c:v>
                </c:pt>
                <c:pt idx="74">
                  <c:v>-2.4929999999999999</c:v>
                </c:pt>
                <c:pt idx="75">
                  <c:v>2.3807999999999998</c:v>
                </c:pt>
                <c:pt idx="76">
                  <c:v>0.3014</c:v>
                </c:pt>
                <c:pt idx="77">
                  <c:v>0.92779999999999996</c:v>
                </c:pt>
                <c:pt idx="78">
                  <c:v>-0.92179999999999995</c:v>
                </c:pt>
                <c:pt idx="79">
                  <c:v>-0.35449999999999998</c:v>
                </c:pt>
                <c:pt idx="80">
                  <c:v>-2.4929999999999999</c:v>
                </c:pt>
                <c:pt idx="81">
                  <c:v>3.8365999999999998</c:v>
                </c:pt>
                <c:pt idx="82">
                  <c:v>0.24890000000000001</c:v>
                </c:pt>
                <c:pt idx="83">
                  <c:v>-0.60940000000000005</c:v>
                </c:pt>
                <c:pt idx="84">
                  <c:v>0.69899999999999995</c:v>
                </c:pt>
                <c:pt idx="85">
                  <c:v>-0.2878</c:v>
                </c:pt>
                <c:pt idx="86">
                  <c:v>-4.0039999999999996</c:v>
                </c:pt>
                <c:pt idx="87">
                  <c:v>3.8365999999999998</c:v>
                </c:pt>
                <c:pt idx="88">
                  <c:v>0.24890000000000001</c:v>
                </c:pt>
                <c:pt idx="89">
                  <c:v>-0.60940000000000005</c:v>
                </c:pt>
                <c:pt idx="90">
                  <c:v>0.69899999999999995</c:v>
                </c:pt>
                <c:pt idx="91">
                  <c:v>-0.2878</c:v>
                </c:pt>
                <c:pt idx="92">
                  <c:v>-4.0039999999999996</c:v>
                </c:pt>
                <c:pt idx="93">
                  <c:v>3.9190999999999998</c:v>
                </c:pt>
                <c:pt idx="94">
                  <c:v>0.3085</c:v>
                </c:pt>
                <c:pt idx="95">
                  <c:v>-0.59630000000000005</c:v>
                </c:pt>
                <c:pt idx="96">
                  <c:v>0.61650000000000005</c:v>
                </c:pt>
                <c:pt idx="97">
                  <c:v>-0.34739999999999999</c:v>
                </c:pt>
                <c:pt idx="98">
                  <c:v>-4.0171999999999999</c:v>
                </c:pt>
                <c:pt idx="99">
                  <c:v>3.9190999999999998</c:v>
                </c:pt>
                <c:pt idx="100">
                  <c:v>0.3085</c:v>
                </c:pt>
                <c:pt idx="101">
                  <c:v>-0.59630000000000005</c:v>
                </c:pt>
                <c:pt idx="102">
                  <c:v>0.61650000000000005</c:v>
                </c:pt>
                <c:pt idx="103">
                  <c:v>-0.34739999999999999</c:v>
                </c:pt>
                <c:pt idx="104">
                  <c:v>-4.0171999999999999</c:v>
                </c:pt>
              </c:numCache>
            </c:numRef>
          </c:xVal>
          <c:yVal>
            <c:numRef>
              <c:f>COLUMNAS!$V$20:$V$124</c:f>
              <c:numCache>
                <c:formatCode>General</c:formatCode>
                <c:ptCount val="105"/>
                <c:pt idx="0">
                  <c:v>60.489800000000002</c:v>
                </c:pt>
                <c:pt idx="1">
                  <c:v>58.359499999999997</c:v>
                </c:pt>
                <c:pt idx="2">
                  <c:v>56.229199999999999</c:v>
                </c:pt>
                <c:pt idx="3">
                  <c:v>54.541600000000003</c:v>
                </c:pt>
                <c:pt idx="4">
                  <c:v>52.411299999999997</c:v>
                </c:pt>
                <c:pt idx="5">
                  <c:v>50.280999999999999</c:v>
                </c:pt>
                <c:pt idx="6">
                  <c:v>54.125799999999998</c:v>
                </c:pt>
                <c:pt idx="7">
                  <c:v>51.9955</c:v>
                </c:pt>
                <c:pt idx="8">
                  <c:v>49.865200000000002</c:v>
                </c:pt>
                <c:pt idx="9">
                  <c:v>47.835799999999999</c:v>
                </c:pt>
                <c:pt idx="10">
                  <c:v>45.933700000000002</c:v>
                </c:pt>
                <c:pt idx="11">
                  <c:v>44.031599999999997</c:v>
                </c:pt>
                <c:pt idx="12">
                  <c:v>55.764499999999998</c:v>
                </c:pt>
                <c:pt idx="13">
                  <c:v>53.862400000000001</c:v>
                </c:pt>
                <c:pt idx="14">
                  <c:v>51.9604</c:v>
                </c:pt>
                <c:pt idx="15">
                  <c:v>47.835799999999999</c:v>
                </c:pt>
                <c:pt idx="16">
                  <c:v>45.933700000000002</c:v>
                </c:pt>
                <c:pt idx="17">
                  <c:v>44.031599999999997</c:v>
                </c:pt>
                <c:pt idx="18">
                  <c:v>55.764499999999998</c:v>
                </c:pt>
                <c:pt idx="19">
                  <c:v>53.862400000000001</c:v>
                </c:pt>
                <c:pt idx="20">
                  <c:v>51.9604</c:v>
                </c:pt>
                <c:pt idx="21">
                  <c:v>48.397500000000001</c:v>
                </c:pt>
                <c:pt idx="22">
                  <c:v>46.495399999999997</c:v>
                </c:pt>
                <c:pt idx="23">
                  <c:v>44.593400000000003</c:v>
                </c:pt>
                <c:pt idx="24">
                  <c:v>55.202800000000003</c:v>
                </c:pt>
                <c:pt idx="25">
                  <c:v>53.300699999999999</c:v>
                </c:pt>
                <c:pt idx="26">
                  <c:v>51.398600000000002</c:v>
                </c:pt>
                <c:pt idx="27">
                  <c:v>48.397500000000001</c:v>
                </c:pt>
                <c:pt idx="28">
                  <c:v>46.495399999999997</c:v>
                </c:pt>
                <c:pt idx="29">
                  <c:v>44.593400000000003</c:v>
                </c:pt>
                <c:pt idx="30">
                  <c:v>55.202800000000003</c:v>
                </c:pt>
                <c:pt idx="31">
                  <c:v>53.300699999999999</c:v>
                </c:pt>
                <c:pt idx="32">
                  <c:v>51.398600000000002</c:v>
                </c:pt>
                <c:pt idx="33">
                  <c:v>43.4621</c:v>
                </c:pt>
                <c:pt idx="34">
                  <c:v>41.56</c:v>
                </c:pt>
                <c:pt idx="35">
                  <c:v>39.658000000000001</c:v>
                </c:pt>
                <c:pt idx="36">
                  <c:v>51.390799999999999</c:v>
                </c:pt>
                <c:pt idx="37">
                  <c:v>49.488799999999998</c:v>
                </c:pt>
                <c:pt idx="38">
                  <c:v>47.5867</c:v>
                </c:pt>
                <c:pt idx="39">
                  <c:v>43.4621</c:v>
                </c:pt>
                <c:pt idx="40">
                  <c:v>41.56</c:v>
                </c:pt>
                <c:pt idx="41">
                  <c:v>39.658000000000001</c:v>
                </c:pt>
                <c:pt idx="42">
                  <c:v>51.390799999999999</c:v>
                </c:pt>
                <c:pt idx="43">
                  <c:v>49.488799999999998</c:v>
                </c:pt>
                <c:pt idx="44">
                  <c:v>47.5867</c:v>
                </c:pt>
                <c:pt idx="45">
                  <c:v>44.023800000000001</c:v>
                </c:pt>
                <c:pt idx="46">
                  <c:v>42.1218</c:v>
                </c:pt>
                <c:pt idx="47">
                  <c:v>40.219700000000003</c:v>
                </c:pt>
                <c:pt idx="48">
                  <c:v>50.829099999999997</c:v>
                </c:pt>
                <c:pt idx="49">
                  <c:v>48.927</c:v>
                </c:pt>
                <c:pt idx="50">
                  <c:v>47.024999999999999</c:v>
                </c:pt>
                <c:pt idx="51">
                  <c:v>44.023800000000001</c:v>
                </c:pt>
                <c:pt idx="52">
                  <c:v>42.1218</c:v>
                </c:pt>
                <c:pt idx="53">
                  <c:v>40.219700000000003</c:v>
                </c:pt>
                <c:pt idx="54">
                  <c:v>50.829099999999997</c:v>
                </c:pt>
                <c:pt idx="55">
                  <c:v>48.927</c:v>
                </c:pt>
                <c:pt idx="56">
                  <c:v>47.024999999999999</c:v>
                </c:pt>
                <c:pt idx="57">
                  <c:v>43.156300000000002</c:v>
                </c:pt>
                <c:pt idx="58">
                  <c:v>41.254199999999997</c:v>
                </c:pt>
                <c:pt idx="59">
                  <c:v>39.352200000000003</c:v>
                </c:pt>
                <c:pt idx="60">
                  <c:v>51.085099999999997</c:v>
                </c:pt>
                <c:pt idx="61">
                  <c:v>49.183</c:v>
                </c:pt>
                <c:pt idx="62">
                  <c:v>47.280900000000003</c:v>
                </c:pt>
                <c:pt idx="63">
                  <c:v>43.156300000000002</c:v>
                </c:pt>
                <c:pt idx="64">
                  <c:v>41.254199999999997</c:v>
                </c:pt>
                <c:pt idx="65">
                  <c:v>39.352200000000003</c:v>
                </c:pt>
                <c:pt idx="66">
                  <c:v>51.085099999999997</c:v>
                </c:pt>
                <c:pt idx="67">
                  <c:v>49.183</c:v>
                </c:pt>
                <c:pt idx="68">
                  <c:v>47.280900000000003</c:v>
                </c:pt>
                <c:pt idx="69">
                  <c:v>43.7181</c:v>
                </c:pt>
                <c:pt idx="70">
                  <c:v>41.816000000000003</c:v>
                </c:pt>
                <c:pt idx="71">
                  <c:v>39.913899999999998</c:v>
                </c:pt>
                <c:pt idx="72">
                  <c:v>50.523299999999999</c:v>
                </c:pt>
                <c:pt idx="73">
                  <c:v>48.621200000000002</c:v>
                </c:pt>
                <c:pt idx="74">
                  <c:v>46.719200000000001</c:v>
                </c:pt>
                <c:pt idx="75">
                  <c:v>43.7181</c:v>
                </c:pt>
                <c:pt idx="76">
                  <c:v>41.816000000000003</c:v>
                </c:pt>
                <c:pt idx="77">
                  <c:v>39.913899999999998</c:v>
                </c:pt>
                <c:pt idx="78">
                  <c:v>50.523299999999999</c:v>
                </c:pt>
                <c:pt idx="79">
                  <c:v>48.621200000000002</c:v>
                </c:pt>
                <c:pt idx="80">
                  <c:v>46.719200000000001</c:v>
                </c:pt>
                <c:pt idx="81">
                  <c:v>25.910699999999999</c:v>
                </c:pt>
                <c:pt idx="82">
                  <c:v>24.5412</c:v>
                </c:pt>
                <c:pt idx="83">
                  <c:v>23.171700000000001</c:v>
                </c:pt>
                <c:pt idx="84">
                  <c:v>33.839399999999998</c:v>
                </c:pt>
                <c:pt idx="85">
                  <c:v>32.469900000000003</c:v>
                </c:pt>
                <c:pt idx="86">
                  <c:v>31.1005</c:v>
                </c:pt>
                <c:pt idx="87">
                  <c:v>25.910699999999999</c:v>
                </c:pt>
                <c:pt idx="88">
                  <c:v>24.5412</c:v>
                </c:pt>
                <c:pt idx="89">
                  <c:v>23.171700000000001</c:v>
                </c:pt>
                <c:pt idx="90">
                  <c:v>33.839399999999998</c:v>
                </c:pt>
                <c:pt idx="91">
                  <c:v>32.469900000000003</c:v>
                </c:pt>
                <c:pt idx="92">
                  <c:v>31.1005</c:v>
                </c:pt>
                <c:pt idx="93">
                  <c:v>26.4724</c:v>
                </c:pt>
                <c:pt idx="94">
                  <c:v>25.102900000000002</c:v>
                </c:pt>
                <c:pt idx="95">
                  <c:v>23.733499999999999</c:v>
                </c:pt>
                <c:pt idx="96">
                  <c:v>33.277700000000003</c:v>
                </c:pt>
                <c:pt idx="97">
                  <c:v>31.908200000000001</c:v>
                </c:pt>
                <c:pt idx="98">
                  <c:v>30.538699999999999</c:v>
                </c:pt>
                <c:pt idx="99">
                  <c:v>26.4724</c:v>
                </c:pt>
                <c:pt idx="100">
                  <c:v>25.102900000000002</c:v>
                </c:pt>
                <c:pt idx="101">
                  <c:v>23.733499999999999</c:v>
                </c:pt>
                <c:pt idx="102">
                  <c:v>33.277700000000003</c:v>
                </c:pt>
                <c:pt idx="103">
                  <c:v>31.908200000000001</c:v>
                </c:pt>
                <c:pt idx="104">
                  <c:v>30.538699999999999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E5-4B46-B5AE-0E777C728EC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COLUMNAS!$AB$20:$AB$124</c:f>
              <c:numCache>
                <c:formatCode>General</c:formatCode>
                <c:ptCount val="105"/>
                <c:pt idx="0">
                  <c:v>1.2818000000000001</c:v>
                </c:pt>
                <c:pt idx="1">
                  <c:v>2.5247000000000002</c:v>
                </c:pt>
                <c:pt idx="2">
                  <c:v>3.7677</c:v>
                </c:pt>
                <c:pt idx="3">
                  <c:v>2.9540999999999999</c:v>
                </c:pt>
                <c:pt idx="4">
                  <c:v>3.194</c:v>
                </c:pt>
                <c:pt idx="5">
                  <c:v>3.4338000000000002</c:v>
                </c:pt>
                <c:pt idx="6">
                  <c:v>-1.0013000000000001</c:v>
                </c:pt>
                <c:pt idx="7">
                  <c:v>1.6007</c:v>
                </c:pt>
                <c:pt idx="8">
                  <c:v>4.2027999999999999</c:v>
                </c:pt>
                <c:pt idx="9">
                  <c:v>2.6661999999999999</c:v>
                </c:pt>
                <c:pt idx="10">
                  <c:v>2.4977999999999998</c:v>
                </c:pt>
                <c:pt idx="11">
                  <c:v>4.8935000000000004</c:v>
                </c:pt>
                <c:pt idx="12">
                  <c:v>-0.55349999999999999</c:v>
                </c:pt>
                <c:pt idx="13">
                  <c:v>1.8876999999999999</c:v>
                </c:pt>
                <c:pt idx="14">
                  <c:v>1.7647999999999999</c:v>
                </c:pt>
                <c:pt idx="15">
                  <c:v>2.6661999999999999</c:v>
                </c:pt>
                <c:pt idx="16">
                  <c:v>2.4977999999999998</c:v>
                </c:pt>
                <c:pt idx="17">
                  <c:v>4.8935000000000004</c:v>
                </c:pt>
                <c:pt idx="18">
                  <c:v>-0.55349999999999999</c:v>
                </c:pt>
                <c:pt idx="19">
                  <c:v>1.8876999999999999</c:v>
                </c:pt>
                <c:pt idx="20">
                  <c:v>1.7647999999999999</c:v>
                </c:pt>
                <c:pt idx="21">
                  <c:v>3.1937000000000002</c:v>
                </c:pt>
                <c:pt idx="22">
                  <c:v>2.5558000000000001</c:v>
                </c:pt>
                <c:pt idx="23">
                  <c:v>5.2205000000000004</c:v>
                </c:pt>
                <c:pt idx="24">
                  <c:v>-1.081</c:v>
                </c:pt>
                <c:pt idx="25">
                  <c:v>1.8297000000000001</c:v>
                </c:pt>
                <c:pt idx="26">
                  <c:v>1.4377</c:v>
                </c:pt>
                <c:pt idx="27">
                  <c:v>3.1937000000000002</c:v>
                </c:pt>
                <c:pt idx="28">
                  <c:v>2.5558000000000001</c:v>
                </c:pt>
                <c:pt idx="29">
                  <c:v>5.2205000000000004</c:v>
                </c:pt>
                <c:pt idx="30">
                  <c:v>-1.081</c:v>
                </c:pt>
                <c:pt idx="31">
                  <c:v>1.8297000000000001</c:v>
                </c:pt>
                <c:pt idx="32">
                  <c:v>1.4377</c:v>
                </c:pt>
                <c:pt idx="33">
                  <c:v>3.8959000000000001</c:v>
                </c:pt>
                <c:pt idx="34">
                  <c:v>2.9899</c:v>
                </c:pt>
                <c:pt idx="35">
                  <c:v>4.6479999999999997</c:v>
                </c:pt>
                <c:pt idx="36">
                  <c:v>0.67620000000000002</c:v>
                </c:pt>
                <c:pt idx="37">
                  <c:v>2.3797999999999999</c:v>
                </c:pt>
                <c:pt idx="38">
                  <c:v>1.5193000000000001</c:v>
                </c:pt>
                <c:pt idx="39">
                  <c:v>3.8959000000000001</c:v>
                </c:pt>
                <c:pt idx="40">
                  <c:v>2.9899</c:v>
                </c:pt>
                <c:pt idx="41">
                  <c:v>4.6479999999999997</c:v>
                </c:pt>
                <c:pt idx="42">
                  <c:v>0.67620000000000002</c:v>
                </c:pt>
                <c:pt idx="43">
                  <c:v>2.3797999999999999</c:v>
                </c:pt>
                <c:pt idx="44">
                  <c:v>1.5193000000000001</c:v>
                </c:pt>
                <c:pt idx="45">
                  <c:v>4.4234</c:v>
                </c:pt>
                <c:pt idx="46">
                  <c:v>3.0478999999999998</c:v>
                </c:pt>
                <c:pt idx="47">
                  <c:v>4.9749999999999996</c:v>
                </c:pt>
                <c:pt idx="48">
                  <c:v>0.1487</c:v>
                </c:pt>
                <c:pt idx="49">
                  <c:v>2.3218000000000001</c:v>
                </c:pt>
                <c:pt idx="50">
                  <c:v>1.1921999999999999</c:v>
                </c:pt>
                <c:pt idx="51">
                  <c:v>4.4234</c:v>
                </c:pt>
                <c:pt idx="52">
                  <c:v>3.0478999999999998</c:v>
                </c:pt>
                <c:pt idx="53">
                  <c:v>4.9749999999999996</c:v>
                </c:pt>
                <c:pt idx="54">
                  <c:v>0.1487</c:v>
                </c:pt>
                <c:pt idx="55">
                  <c:v>2.3218000000000001</c:v>
                </c:pt>
                <c:pt idx="56">
                  <c:v>1.1921999999999999</c:v>
                </c:pt>
                <c:pt idx="57">
                  <c:v>0.98750000000000004</c:v>
                </c:pt>
                <c:pt idx="58">
                  <c:v>1.8184</c:v>
                </c:pt>
                <c:pt idx="59">
                  <c:v>5.2134</c:v>
                </c:pt>
                <c:pt idx="60">
                  <c:v>-2.2322000000000002</c:v>
                </c:pt>
                <c:pt idx="61">
                  <c:v>1.2082999999999999</c:v>
                </c:pt>
                <c:pt idx="62">
                  <c:v>2.0847000000000002</c:v>
                </c:pt>
                <c:pt idx="63">
                  <c:v>0.98750000000000004</c:v>
                </c:pt>
                <c:pt idx="64">
                  <c:v>1.8184</c:v>
                </c:pt>
                <c:pt idx="65">
                  <c:v>5.2134</c:v>
                </c:pt>
                <c:pt idx="66">
                  <c:v>-2.2322000000000002</c:v>
                </c:pt>
                <c:pt idx="67">
                  <c:v>1.2082999999999999</c:v>
                </c:pt>
                <c:pt idx="68">
                  <c:v>2.0847000000000002</c:v>
                </c:pt>
                <c:pt idx="69">
                  <c:v>1.5149999999999999</c:v>
                </c:pt>
                <c:pt idx="70">
                  <c:v>1.8764000000000001</c:v>
                </c:pt>
                <c:pt idx="71">
                  <c:v>5.5404</c:v>
                </c:pt>
                <c:pt idx="72">
                  <c:v>-2.7597</c:v>
                </c:pt>
                <c:pt idx="73">
                  <c:v>1.1503000000000001</c:v>
                </c:pt>
                <c:pt idx="74">
                  <c:v>1.7576000000000001</c:v>
                </c:pt>
                <c:pt idx="75">
                  <c:v>1.5149999999999999</c:v>
                </c:pt>
                <c:pt idx="76">
                  <c:v>1.8764000000000001</c:v>
                </c:pt>
                <c:pt idx="77">
                  <c:v>5.5404</c:v>
                </c:pt>
                <c:pt idx="78">
                  <c:v>-2.7597</c:v>
                </c:pt>
                <c:pt idx="79">
                  <c:v>1.1503000000000001</c:v>
                </c:pt>
                <c:pt idx="80">
                  <c:v>1.7576000000000001</c:v>
                </c:pt>
                <c:pt idx="81">
                  <c:v>2.0746000000000002</c:v>
                </c:pt>
                <c:pt idx="82">
                  <c:v>1.6772</c:v>
                </c:pt>
                <c:pt idx="83">
                  <c:v>3.8439999999999999</c:v>
                </c:pt>
                <c:pt idx="84">
                  <c:v>-1.1452</c:v>
                </c:pt>
                <c:pt idx="85">
                  <c:v>1.0670999999999999</c:v>
                </c:pt>
                <c:pt idx="86">
                  <c:v>0.71530000000000005</c:v>
                </c:pt>
                <c:pt idx="87">
                  <c:v>2.0746000000000002</c:v>
                </c:pt>
                <c:pt idx="88">
                  <c:v>1.6772</c:v>
                </c:pt>
                <c:pt idx="89">
                  <c:v>3.8439999999999999</c:v>
                </c:pt>
                <c:pt idx="90">
                  <c:v>-1.1452</c:v>
                </c:pt>
                <c:pt idx="91">
                  <c:v>1.0670999999999999</c:v>
                </c:pt>
                <c:pt idx="92">
                  <c:v>0.71530000000000005</c:v>
                </c:pt>
                <c:pt idx="93">
                  <c:v>2.6019999999999999</c:v>
                </c:pt>
                <c:pt idx="94">
                  <c:v>1.7352000000000001</c:v>
                </c:pt>
                <c:pt idx="95">
                  <c:v>4.1711</c:v>
                </c:pt>
                <c:pt idx="96">
                  <c:v>-1.6726000000000001</c:v>
                </c:pt>
                <c:pt idx="97">
                  <c:v>1.0092000000000001</c:v>
                </c:pt>
                <c:pt idx="98">
                  <c:v>0.38829999999999998</c:v>
                </c:pt>
                <c:pt idx="99">
                  <c:v>2.6019999999999999</c:v>
                </c:pt>
                <c:pt idx="100">
                  <c:v>1.7352000000000001</c:v>
                </c:pt>
                <c:pt idx="101">
                  <c:v>4.1711</c:v>
                </c:pt>
                <c:pt idx="102">
                  <c:v>-1.6726000000000001</c:v>
                </c:pt>
                <c:pt idx="103">
                  <c:v>1.0092000000000001</c:v>
                </c:pt>
                <c:pt idx="104">
                  <c:v>0.38829999999999998</c:v>
                </c:pt>
              </c:numCache>
            </c:numRef>
          </c:xVal>
          <c:yVal>
            <c:numRef>
              <c:f>COLUMNAS!$Z$20:$Z$124</c:f>
              <c:numCache>
                <c:formatCode>General</c:formatCode>
                <c:ptCount val="105"/>
                <c:pt idx="0">
                  <c:v>23.221599999999999</c:v>
                </c:pt>
                <c:pt idx="1">
                  <c:v>20.866499999999998</c:v>
                </c:pt>
                <c:pt idx="2">
                  <c:v>18.511399999999998</c:v>
                </c:pt>
                <c:pt idx="3">
                  <c:v>23.5336</c:v>
                </c:pt>
                <c:pt idx="4">
                  <c:v>21.1785</c:v>
                </c:pt>
                <c:pt idx="5">
                  <c:v>18.823399999999999</c:v>
                </c:pt>
                <c:pt idx="6">
                  <c:v>23.2563</c:v>
                </c:pt>
                <c:pt idx="7">
                  <c:v>20.901199999999999</c:v>
                </c:pt>
                <c:pt idx="8">
                  <c:v>18.546099999999999</c:v>
                </c:pt>
                <c:pt idx="9">
                  <c:v>17.958500000000001</c:v>
                </c:pt>
                <c:pt idx="10">
                  <c:v>15.8558</c:v>
                </c:pt>
                <c:pt idx="11">
                  <c:v>13.753</c:v>
                </c:pt>
                <c:pt idx="12">
                  <c:v>23.076899999999998</c:v>
                </c:pt>
                <c:pt idx="13">
                  <c:v>20.9741</c:v>
                </c:pt>
                <c:pt idx="14">
                  <c:v>18.871300000000002</c:v>
                </c:pt>
                <c:pt idx="15">
                  <c:v>17.958500000000001</c:v>
                </c:pt>
                <c:pt idx="16">
                  <c:v>15.8558</c:v>
                </c:pt>
                <c:pt idx="17">
                  <c:v>13.753</c:v>
                </c:pt>
                <c:pt idx="18">
                  <c:v>23.076899999999998</c:v>
                </c:pt>
                <c:pt idx="19">
                  <c:v>20.9741</c:v>
                </c:pt>
                <c:pt idx="20">
                  <c:v>18.871300000000002</c:v>
                </c:pt>
                <c:pt idx="21">
                  <c:v>18.5275</c:v>
                </c:pt>
                <c:pt idx="22">
                  <c:v>16.424700000000001</c:v>
                </c:pt>
                <c:pt idx="23">
                  <c:v>14.321999999999999</c:v>
                </c:pt>
                <c:pt idx="24">
                  <c:v>22.507899999999999</c:v>
                </c:pt>
                <c:pt idx="25">
                  <c:v>20.405100000000001</c:v>
                </c:pt>
                <c:pt idx="26">
                  <c:v>18.302299999999999</c:v>
                </c:pt>
                <c:pt idx="27">
                  <c:v>18.5275</c:v>
                </c:pt>
                <c:pt idx="28">
                  <c:v>16.424700000000001</c:v>
                </c:pt>
                <c:pt idx="29">
                  <c:v>14.321999999999999</c:v>
                </c:pt>
                <c:pt idx="30">
                  <c:v>22.507899999999999</c:v>
                </c:pt>
                <c:pt idx="31">
                  <c:v>20.405100000000001</c:v>
                </c:pt>
                <c:pt idx="32">
                  <c:v>18.302299999999999</c:v>
                </c:pt>
                <c:pt idx="33">
                  <c:v>18.187899999999999</c:v>
                </c:pt>
                <c:pt idx="34">
                  <c:v>16.0852</c:v>
                </c:pt>
                <c:pt idx="35">
                  <c:v>13.9824</c:v>
                </c:pt>
                <c:pt idx="36">
                  <c:v>23.3063</c:v>
                </c:pt>
                <c:pt idx="37">
                  <c:v>21.203499999999998</c:v>
                </c:pt>
                <c:pt idx="38">
                  <c:v>19.1007</c:v>
                </c:pt>
                <c:pt idx="39">
                  <c:v>18.187899999999999</c:v>
                </c:pt>
                <c:pt idx="40">
                  <c:v>16.0852</c:v>
                </c:pt>
                <c:pt idx="41">
                  <c:v>13.9824</c:v>
                </c:pt>
                <c:pt idx="42">
                  <c:v>23.3063</c:v>
                </c:pt>
                <c:pt idx="43">
                  <c:v>21.203499999999998</c:v>
                </c:pt>
                <c:pt idx="44">
                  <c:v>19.1007</c:v>
                </c:pt>
                <c:pt idx="45">
                  <c:v>18.756900000000002</c:v>
                </c:pt>
                <c:pt idx="46">
                  <c:v>16.6541</c:v>
                </c:pt>
                <c:pt idx="47">
                  <c:v>14.551399999999999</c:v>
                </c:pt>
                <c:pt idx="48">
                  <c:v>22.737300000000001</c:v>
                </c:pt>
                <c:pt idx="49">
                  <c:v>20.634499999999999</c:v>
                </c:pt>
                <c:pt idx="50">
                  <c:v>18.531700000000001</c:v>
                </c:pt>
                <c:pt idx="51">
                  <c:v>18.756900000000002</c:v>
                </c:pt>
                <c:pt idx="52">
                  <c:v>16.6541</c:v>
                </c:pt>
                <c:pt idx="53">
                  <c:v>14.551399999999999</c:v>
                </c:pt>
                <c:pt idx="54">
                  <c:v>22.737300000000001</c:v>
                </c:pt>
                <c:pt idx="55">
                  <c:v>20.634499999999999</c:v>
                </c:pt>
                <c:pt idx="56">
                  <c:v>18.531700000000001</c:v>
                </c:pt>
                <c:pt idx="57">
                  <c:v>17.984100000000002</c:v>
                </c:pt>
                <c:pt idx="58">
                  <c:v>15.8813</c:v>
                </c:pt>
                <c:pt idx="59">
                  <c:v>13.778499999999999</c:v>
                </c:pt>
                <c:pt idx="60">
                  <c:v>23.102399999999999</c:v>
                </c:pt>
                <c:pt idx="61">
                  <c:v>20.999600000000001</c:v>
                </c:pt>
                <c:pt idx="62">
                  <c:v>18.896899999999999</c:v>
                </c:pt>
                <c:pt idx="63">
                  <c:v>17.984100000000002</c:v>
                </c:pt>
                <c:pt idx="64">
                  <c:v>15.8813</c:v>
                </c:pt>
                <c:pt idx="65">
                  <c:v>13.778499999999999</c:v>
                </c:pt>
                <c:pt idx="66">
                  <c:v>23.102399999999999</c:v>
                </c:pt>
                <c:pt idx="67">
                  <c:v>20.999600000000001</c:v>
                </c:pt>
                <c:pt idx="68">
                  <c:v>18.896899999999999</c:v>
                </c:pt>
                <c:pt idx="69">
                  <c:v>18.553100000000001</c:v>
                </c:pt>
                <c:pt idx="70">
                  <c:v>16.450299999999999</c:v>
                </c:pt>
                <c:pt idx="71">
                  <c:v>14.3475</c:v>
                </c:pt>
                <c:pt idx="72">
                  <c:v>22.5334</c:v>
                </c:pt>
                <c:pt idx="73">
                  <c:v>20.430599999999998</c:v>
                </c:pt>
                <c:pt idx="74">
                  <c:v>18.3279</c:v>
                </c:pt>
                <c:pt idx="75">
                  <c:v>18.553100000000001</c:v>
                </c:pt>
                <c:pt idx="76">
                  <c:v>16.450299999999999</c:v>
                </c:pt>
                <c:pt idx="77">
                  <c:v>14.3475</c:v>
                </c:pt>
                <c:pt idx="78">
                  <c:v>22.5334</c:v>
                </c:pt>
                <c:pt idx="79">
                  <c:v>20.430599999999998</c:v>
                </c:pt>
                <c:pt idx="80">
                  <c:v>18.3279</c:v>
                </c:pt>
                <c:pt idx="81">
                  <c:v>11.488300000000001</c:v>
                </c:pt>
                <c:pt idx="82">
                  <c:v>9.9742999999999995</c:v>
                </c:pt>
                <c:pt idx="83">
                  <c:v>8.4603000000000002</c:v>
                </c:pt>
                <c:pt idx="84">
                  <c:v>16.6066</c:v>
                </c:pt>
                <c:pt idx="85">
                  <c:v>15.092599999999999</c:v>
                </c:pt>
                <c:pt idx="86">
                  <c:v>13.5786</c:v>
                </c:pt>
                <c:pt idx="87">
                  <c:v>11.488300000000001</c:v>
                </c:pt>
                <c:pt idx="88">
                  <c:v>9.9742999999999995</c:v>
                </c:pt>
                <c:pt idx="89">
                  <c:v>8.4603000000000002</c:v>
                </c:pt>
                <c:pt idx="90">
                  <c:v>16.6066</c:v>
                </c:pt>
                <c:pt idx="91">
                  <c:v>15.092599999999999</c:v>
                </c:pt>
                <c:pt idx="92">
                  <c:v>13.5786</c:v>
                </c:pt>
                <c:pt idx="93">
                  <c:v>12.0572</c:v>
                </c:pt>
                <c:pt idx="94">
                  <c:v>10.543200000000001</c:v>
                </c:pt>
                <c:pt idx="95">
                  <c:v>9.0291999999999994</c:v>
                </c:pt>
                <c:pt idx="96">
                  <c:v>16.037600000000001</c:v>
                </c:pt>
                <c:pt idx="97">
                  <c:v>14.5236</c:v>
                </c:pt>
                <c:pt idx="98">
                  <c:v>13.009600000000001</c:v>
                </c:pt>
                <c:pt idx="99">
                  <c:v>12.0572</c:v>
                </c:pt>
                <c:pt idx="100">
                  <c:v>10.543200000000001</c:v>
                </c:pt>
                <c:pt idx="101">
                  <c:v>9.0291999999999994</c:v>
                </c:pt>
                <c:pt idx="102">
                  <c:v>16.037600000000001</c:v>
                </c:pt>
                <c:pt idx="103">
                  <c:v>14.5236</c:v>
                </c:pt>
                <c:pt idx="104">
                  <c:v>13.009600000000001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CE5-4B46-B5AE-0E777C72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937791"/>
        <c:axId val="1384939711"/>
      </c:scatterChart>
      <c:valAx>
        <c:axId val="138493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9711"/>
        <c:crosses val="autoZero"/>
        <c:crossBetween val="midCat"/>
      </c:valAx>
      <c:valAx>
        <c:axId val="13849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COLUMNAS!$G$37:$G$47</c:f>
              <c:numCache>
                <c:formatCode>General</c:formatCode>
                <c:ptCount val="11"/>
                <c:pt idx="0">
                  <c:v>0</c:v>
                </c:pt>
                <c:pt idx="1">
                  <c:v>37.701299999999996</c:v>
                </c:pt>
                <c:pt idx="2">
                  <c:v>59.289790000000004</c:v>
                </c:pt>
                <c:pt idx="3">
                  <c:v>75.939639999999997</c:v>
                </c:pt>
                <c:pt idx="4">
                  <c:v>88.638619999999989</c:v>
                </c:pt>
                <c:pt idx="5">
                  <c:v>98.252139999999983</c:v>
                </c:pt>
                <c:pt idx="6">
                  <c:v>95.696929999999995</c:v>
                </c:pt>
                <c:pt idx="7">
                  <c:v>85.911699999999996</c:v>
                </c:pt>
                <c:pt idx="8">
                  <c:v>66.609690000000001</c:v>
                </c:pt>
                <c:pt idx="9">
                  <c:v>39.170459999999999</c:v>
                </c:pt>
                <c:pt idx="10">
                  <c:v>0</c:v>
                </c:pt>
              </c:numCache>
            </c:numRef>
          </c:xVal>
          <c:yVal>
            <c:numRef>
              <c:f>COLUMNAS!$F$37:$F$47</c:f>
              <c:numCache>
                <c:formatCode>General</c:formatCode>
                <c:ptCount val="11"/>
                <c:pt idx="0">
                  <c:v>484.94123999999994</c:v>
                </c:pt>
                <c:pt idx="1">
                  <c:v>484.94123999999994</c:v>
                </c:pt>
                <c:pt idx="2">
                  <c:v>470.68013999999999</c:v>
                </c:pt>
                <c:pt idx="3">
                  <c:v>413.95213999999993</c:v>
                </c:pt>
                <c:pt idx="4">
                  <c:v>345.64256999999998</c:v>
                </c:pt>
                <c:pt idx="5">
                  <c:v>240.60140999999999</c:v>
                </c:pt>
                <c:pt idx="6">
                  <c:v>142.50767999999999</c:v>
                </c:pt>
                <c:pt idx="7">
                  <c:v>65.88924999999999</c:v>
                </c:pt>
                <c:pt idx="8">
                  <c:v>-5.3206299999999995</c:v>
                </c:pt>
                <c:pt idx="9">
                  <c:v>-67.892999999999986</c:v>
                </c:pt>
                <c:pt idx="10">
                  <c:v>-135.23999999999998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1C-44DA-A7E4-86753E724C2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COLUMNAS!$H$37:$H$47</c:f>
              <c:numCache>
                <c:formatCode>General</c:formatCode>
                <c:ptCount val="11"/>
                <c:pt idx="0">
                  <c:v>0</c:v>
                </c:pt>
                <c:pt idx="1">
                  <c:v>-37.701299999999996</c:v>
                </c:pt>
                <c:pt idx="2">
                  <c:v>-59.289790000000004</c:v>
                </c:pt>
                <c:pt idx="3">
                  <c:v>-75.939639999999997</c:v>
                </c:pt>
                <c:pt idx="4">
                  <c:v>-88.638619999999989</c:v>
                </c:pt>
                <c:pt idx="5">
                  <c:v>-98.252139999999983</c:v>
                </c:pt>
                <c:pt idx="6">
                  <c:v>-95.696929999999995</c:v>
                </c:pt>
                <c:pt idx="7">
                  <c:v>-85.911699999999996</c:v>
                </c:pt>
                <c:pt idx="8">
                  <c:v>-66.609690000000001</c:v>
                </c:pt>
                <c:pt idx="9">
                  <c:v>-39.170459999999999</c:v>
                </c:pt>
                <c:pt idx="10">
                  <c:v>0</c:v>
                </c:pt>
              </c:numCache>
            </c:numRef>
          </c:xVal>
          <c:yVal>
            <c:numRef>
              <c:f>COLUMNAS!$F$37:$F$47</c:f>
              <c:numCache>
                <c:formatCode>General</c:formatCode>
                <c:ptCount val="11"/>
                <c:pt idx="0">
                  <c:v>484.94123999999994</c:v>
                </c:pt>
                <c:pt idx="1">
                  <c:v>484.94123999999994</c:v>
                </c:pt>
                <c:pt idx="2">
                  <c:v>470.68013999999999</c:v>
                </c:pt>
                <c:pt idx="3">
                  <c:v>413.95213999999993</c:v>
                </c:pt>
                <c:pt idx="4">
                  <c:v>345.64256999999998</c:v>
                </c:pt>
                <c:pt idx="5">
                  <c:v>240.60140999999999</c:v>
                </c:pt>
                <c:pt idx="6">
                  <c:v>142.50767999999999</c:v>
                </c:pt>
                <c:pt idx="7">
                  <c:v>65.88924999999999</c:v>
                </c:pt>
                <c:pt idx="8">
                  <c:v>-5.3206299999999995</c:v>
                </c:pt>
                <c:pt idx="9">
                  <c:v>-67.892999999999986</c:v>
                </c:pt>
                <c:pt idx="10">
                  <c:v>-135.23999999999998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1C-44DA-A7E4-86753E724C2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COLUMNAS!$S$20:$S$124</c:f>
              <c:numCache>
                <c:formatCode>General</c:formatCode>
                <c:ptCount val="105"/>
                <c:pt idx="0">
                  <c:v>-3.4799999999999998E-2</c:v>
                </c:pt>
                <c:pt idx="1">
                  <c:v>1.2999999999999999E-2</c:v>
                </c:pt>
                <c:pt idx="2">
                  <c:v>6.08E-2</c:v>
                </c:pt>
                <c:pt idx="3">
                  <c:v>2.1000000000000001E-2</c:v>
                </c:pt>
                <c:pt idx="4">
                  <c:v>4.1200000000000001E-2</c:v>
                </c:pt>
                <c:pt idx="5">
                  <c:v>6.13E-2</c:v>
                </c:pt>
                <c:pt idx="6">
                  <c:v>-5.57E-2</c:v>
                </c:pt>
                <c:pt idx="7">
                  <c:v>-4.8500000000000001E-2</c:v>
                </c:pt>
                <c:pt idx="8">
                  <c:v>-4.1300000000000003E-2</c:v>
                </c:pt>
                <c:pt idx="9">
                  <c:v>57.601100000000002</c:v>
                </c:pt>
                <c:pt idx="10">
                  <c:v>22.696100000000001</c:v>
                </c:pt>
                <c:pt idx="11">
                  <c:v>12.966900000000001</c:v>
                </c:pt>
                <c:pt idx="12">
                  <c:v>-57.651400000000002</c:v>
                </c:pt>
                <c:pt idx="13">
                  <c:v>-22.682700000000001</c:v>
                </c:pt>
                <c:pt idx="14">
                  <c:v>-12.889699999999999</c:v>
                </c:pt>
                <c:pt idx="15">
                  <c:v>57.601100000000002</c:v>
                </c:pt>
                <c:pt idx="16">
                  <c:v>22.696100000000001</c:v>
                </c:pt>
                <c:pt idx="17">
                  <c:v>12.966900000000001</c:v>
                </c:pt>
                <c:pt idx="18">
                  <c:v>-57.651400000000002</c:v>
                </c:pt>
                <c:pt idx="19">
                  <c:v>-22.682700000000001</c:v>
                </c:pt>
                <c:pt idx="20">
                  <c:v>-12.889699999999999</c:v>
                </c:pt>
                <c:pt idx="21">
                  <c:v>40.6706</c:v>
                </c:pt>
                <c:pt idx="22">
                  <c:v>15.8658</c:v>
                </c:pt>
                <c:pt idx="23">
                  <c:v>9.6972000000000005</c:v>
                </c:pt>
                <c:pt idx="24">
                  <c:v>-40.7209</c:v>
                </c:pt>
                <c:pt idx="25">
                  <c:v>-15.852399999999999</c:v>
                </c:pt>
                <c:pt idx="26">
                  <c:v>-9.6199999999999992</c:v>
                </c:pt>
                <c:pt idx="27">
                  <c:v>40.6706</c:v>
                </c:pt>
                <c:pt idx="28">
                  <c:v>15.8658</c:v>
                </c:pt>
                <c:pt idx="29">
                  <c:v>9.6972000000000005</c:v>
                </c:pt>
                <c:pt idx="30">
                  <c:v>-40.7209</c:v>
                </c:pt>
                <c:pt idx="31">
                  <c:v>-15.852399999999999</c:v>
                </c:pt>
                <c:pt idx="32">
                  <c:v>-9.6199999999999992</c:v>
                </c:pt>
                <c:pt idx="33">
                  <c:v>57.642200000000003</c:v>
                </c:pt>
                <c:pt idx="34">
                  <c:v>22.716799999999999</c:v>
                </c:pt>
                <c:pt idx="35">
                  <c:v>12.9673</c:v>
                </c:pt>
                <c:pt idx="36">
                  <c:v>-57.610399999999998</c:v>
                </c:pt>
                <c:pt idx="37">
                  <c:v>-22.661899999999999</c:v>
                </c:pt>
                <c:pt idx="38">
                  <c:v>-12.8893</c:v>
                </c:pt>
                <c:pt idx="39">
                  <c:v>57.642200000000003</c:v>
                </c:pt>
                <c:pt idx="40">
                  <c:v>22.716799999999999</c:v>
                </c:pt>
                <c:pt idx="41">
                  <c:v>12.9673</c:v>
                </c:pt>
                <c:pt idx="42">
                  <c:v>-57.610399999999998</c:v>
                </c:pt>
                <c:pt idx="43">
                  <c:v>-22.661899999999999</c:v>
                </c:pt>
                <c:pt idx="44">
                  <c:v>-12.8893</c:v>
                </c:pt>
                <c:pt idx="45">
                  <c:v>40.7117</c:v>
                </c:pt>
                <c:pt idx="46">
                  <c:v>15.8866</c:v>
                </c:pt>
                <c:pt idx="47">
                  <c:v>9.6975999999999996</c:v>
                </c:pt>
                <c:pt idx="48">
                  <c:v>-40.679900000000004</c:v>
                </c:pt>
                <c:pt idx="49">
                  <c:v>-15.8317</c:v>
                </c:pt>
                <c:pt idx="50">
                  <c:v>-9.6196000000000002</c:v>
                </c:pt>
                <c:pt idx="51">
                  <c:v>40.7117</c:v>
                </c:pt>
                <c:pt idx="52">
                  <c:v>15.8866</c:v>
                </c:pt>
                <c:pt idx="53">
                  <c:v>9.6975999999999996</c:v>
                </c:pt>
                <c:pt idx="54">
                  <c:v>-40.679900000000004</c:v>
                </c:pt>
                <c:pt idx="55">
                  <c:v>-15.8317</c:v>
                </c:pt>
                <c:pt idx="56">
                  <c:v>-9.6196000000000002</c:v>
                </c:pt>
                <c:pt idx="57">
                  <c:v>57.585799999999999</c:v>
                </c:pt>
                <c:pt idx="58">
                  <c:v>22.6509</c:v>
                </c:pt>
                <c:pt idx="59">
                  <c:v>12.8918</c:v>
                </c:pt>
                <c:pt idx="60">
                  <c:v>-57.666800000000002</c:v>
                </c:pt>
                <c:pt idx="61">
                  <c:v>-22.727900000000002</c:v>
                </c:pt>
                <c:pt idx="62">
                  <c:v>-12.9648</c:v>
                </c:pt>
                <c:pt idx="63">
                  <c:v>57.585799999999999</c:v>
                </c:pt>
                <c:pt idx="64">
                  <c:v>22.6509</c:v>
                </c:pt>
                <c:pt idx="65">
                  <c:v>12.8918</c:v>
                </c:pt>
                <c:pt idx="66">
                  <c:v>-57.666800000000002</c:v>
                </c:pt>
                <c:pt idx="67">
                  <c:v>-22.727900000000002</c:v>
                </c:pt>
                <c:pt idx="68">
                  <c:v>-12.9648</c:v>
                </c:pt>
                <c:pt idx="69">
                  <c:v>40.655299999999997</c:v>
                </c:pt>
                <c:pt idx="70">
                  <c:v>15.820600000000001</c:v>
                </c:pt>
                <c:pt idx="71">
                  <c:v>9.6220999999999997</c:v>
                </c:pt>
                <c:pt idx="72">
                  <c:v>-40.7363</c:v>
                </c:pt>
                <c:pt idx="73">
                  <c:v>-15.897600000000001</c:v>
                </c:pt>
                <c:pt idx="74">
                  <c:v>-9.6951000000000001</c:v>
                </c:pt>
                <c:pt idx="75">
                  <c:v>40.655299999999997</c:v>
                </c:pt>
                <c:pt idx="76">
                  <c:v>15.820600000000001</c:v>
                </c:pt>
                <c:pt idx="77">
                  <c:v>9.6220999999999997</c:v>
                </c:pt>
                <c:pt idx="78">
                  <c:v>-40.7363</c:v>
                </c:pt>
                <c:pt idx="79">
                  <c:v>-15.897600000000001</c:v>
                </c:pt>
                <c:pt idx="80">
                  <c:v>-9.6951000000000001</c:v>
                </c:pt>
                <c:pt idx="81">
                  <c:v>57.628100000000003</c:v>
                </c:pt>
                <c:pt idx="82">
                  <c:v>22.677900000000001</c:v>
                </c:pt>
                <c:pt idx="83">
                  <c:v>12.9034</c:v>
                </c:pt>
                <c:pt idx="84">
                  <c:v>-57.624499999999998</c:v>
                </c:pt>
                <c:pt idx="85">
                  <c:v>-22.700900000000001</c:v>
                </c:pt>
                <c:pt idx="86">
                  <c:v>-12.953200000000001</c:v>
                </c:pt>
                <c:pt idx="87">
                  <c:v>57.628100000000003</c:v>
                </c:pt>
                <c:pt idx="88">
                  <c:v>22.677900000000001</c:v>
                </c:pt>
                <c:pt idx="89">
                  <c:v>12.9034</c:v>
                </c:pt>
                <c:pt idx="90">
                  <c:v>-57.624499999999998</c:v>
                </c:pt>
                <c:pt idx="91">
                  <c:v>-22.700900000000001</c:v>
                </c:pt>
                <c:pt idx="92">
                  <c:v>-12.953200000000001</c:v>
                </c:pt>
                <c:pt idx="93">
                  <c:v>40.697600000000001</c:v>
                </c:pt>
                <c:pt idx="94">
                  <c:v>15.8476</c:v>
                </c:pt>
                <c:pt idx="95">
                  <c:v>9.6336999999999993</c:v>
                </c:pt>
                <c:pt idx="96">
                  <c:v>-40.694000000000003</c:v>
                </c:pt>
                <c:pt idx="97">
                  <c:v>-15.870699999999999</c:v>
                </c:pt>
                <c:pt idx="98">
                  <c:v>-9.6835000000000004</c:v>
                </c:pt>
                <c:pt idx="99">
                  <c:v>40.697600000000001</c:v>
                </c:pt>
                <c:pt idx="100">
                  <c:v>15.8476</c:v>
                </c:pt>
                <c:pt idx="101">
                  <c:v>9.6336999999999993</c:v>
                </c:pt>
                <c:pt idx="102">
                  <c:v>-40.694000000000003</c:v>
                </c:pt>
                <c:pt idx="103">
                  <c:v>-15.870699999999999</c:v>
                </c:pt>
                <c:pt idx="104">
                  <c:v>-9.6835000000000004</c:v>
                </c:pt>
              </c:numCache>
            </c:numRef>
          </c:xVal>
          <c:yVal>
            <c:numRef>
              <c:f>COLUMNAS!$R$20:$R$124</c:f>
              <c:numCache>
                <c:formatCode>General</c:formatCode>
                <c:ptCount val="105"/>
                <c:pt idx="0">
                  <c:v>100.1664</c:v>
                </c:pt>
                <c:pt idx="1">
                  <c:v>97.548400000000001</c:v>
                </c:pt>
                <c:pt idx="2">
                  <c:v>94.930400000000006</c:v>
                </c:pt>
                <c:pt idx="3">
                  <c:v>87.848500000000001</c:v>
                </c:pt>
                <c:pt idx="4">
                  <c:v>85.230500000000006</c:v>
                </c:pt>
                <c:pt idx="5">
                  <c:v>82.6126</c:v>
                </c:pt>
                <c:pt idx="6">
                  <c:v>87.383700000000005</c:v>
                </c:pt>
                <c:pt idx="7">
                  <c:v>84.765699999999995</c:v>
                </c:pt>
                <c:pt idx="8">
                  <c:v>82.1477</c:v>
                </c:pt>
                <c:pt idx="9">
                  <c:v>79.908799999999999</c:v>
                </c:pt>
                <c:pt idx="10">
                  <c:v>77.571299999999994</c:v>
                </c:pt>
                <c:pt idx="11">
                  <c:v>75.233800000000002</c:v>
                </c:pt>
                <c:pt idx="12">
                  <c:v>90.511799999999994</c:v>
                </c:pt>
                <c:pt idx="13">
                  <c:v>88.174300000000002</c:v>
                </c:pt>
                <c:pt idx="14">
                  <c:v>85.8369</c:v>
                </c:pt>
                <c:pt idx="15">
                  <c:v>79.908799999999999</c:v>
                </c:pt>
                <c:pt idx="16">
                  <c:v>77.571299999999994</c:v>
                </c:pt>
                <c:pt idx="17">
                  <c:v>75.233800000000002</c:v>
                </c:pt>
                <c:pt idx="18">
                  <c:v>90.511799999999994</c:v>
                </c:pt>
                <c:pt idx="19">
                  <c:v>88.174300000000002</c:v>
                </c:pt>
                <c:pt idx="20">
                  <c:v>85.8369</c:v>
                </c:pt>
                <c:pt idx="21">
                  <c:v>80.540400000000005</c:v>
                </c:pt>
                <c:pt idx="22">
                  <c:v>78.203000000000003</c:v>
                </c:pt>
                <c:pt idx="23">
                  <c:v>75.865499999999997</c:v>
                </c:pt>
                <c:pt idx="24">
                  <c:v>89.880099999999999</c:v>
                </c:pt>
                <c:pt idx="25">
                  <c:v>87.542699999999996</c:v>
                </c:pt>
                <c:pt idx="26">
                  <c:v>85.205200000000005</c:v>
                </c:pt>
                <c:pt idx="27">
                  <c:v>80.540400000000005</c:v>
                </c:pt>
                <c:pt idx="28">
                  <c:v>78.203000000000003</c:v>
                </c:pt>
                <c:pt idx="29">
                  <c:v>75.865499999999997</c:v>
                </c:pt>
                <c:pt idx="30">
                  <c:v>89.880099999999999</c:v>
                </c:pt>
                <c:pt idx="31">
                  <c:v>87.542699999999996</c:v>
                </c:pt>
                <c:pt idx="32">
                  <c:v>85.205200000000005</c:v>
                </c:pt>
                <c:pt idx="33">
                  <c:v>70.851500000000001</c:v>
                </c:pt>
                <c:pt idx="34">
                  <c:v>68.513999999999996</c:v>
                </c:pt>
                <c:pt idx="35">
                  <c:v>66.176500000000004</c:v>
                </c:pt>
                <c:pt idx="36">
                  <c:v>81.454599999999999</c:v>
                </c:pt>
                <c:pt idx="37">
                  <c:v>79.117099999999994</c:v>
                </c:pt>
                <c:pt idx="38">
                  <c:v>76.779600000000002</c:v>
                </c:pt>
                <c:pt idx="39">
                  <c:v>70.851500000000001</c:v>
                </c:pt>
                <c:pt idx="40">
                  <c:v>68.513999999999996</c:v>
                </c:pt>
                <c:pt idx="41">
                  <c:v>66.176500000000004</c:v>
                </c:pt>
                <c:pt idx="42">
                  <c:v>81.454599999999999</c:v>
                </c:pt>
                <c:pt idx="43">
                  <c:v>79.117099999999994</c:v>
                </c:pt>
                <c:pt idx="44">
                  <c:v>76.779600000000002</c:v>
                </c:pt>
                <c:pt idx="45">
                  <c:v>71.483199999999997</c:v>
                </c:pt>
                <c:pt idx="46">
                  <c:v>69.145700000000005</c:v>
                </c:pt>
                <c:pt idx="47">
                  <c:v>66.808199999999999</c:v>
                </c:pt>
                <c:pt idx="48">
                  <c:v>80.822900000000004</c:v>
                </c:pt>
                <c:pt idx="49">
                  <c:v>78.485399999999998</c:v>
                </c:pt>
                <c:pt idx="50">
                  <c:v>76.147900000000007</c:v>
                </c:pt>
                <c:pt idx="51">
                  <c:v>71.483199999999997</c:v>
                </c:pt>
                <c:pt idx="52">
                  <c:v>69.145700000000005</c:v>
                </c:pt>
                <c:pt idx="53">
                  <c:v>66.808199999999999</c:v>
                </c:pt>
                <c:pt idx="54">
                  <c:v>80.822900000000004</c:v>
                </c:pt>
                <c:pt idx="55">
                  <c:v>78.485399999999998</c:v>
                </c:pt>
                <c:pt idx="56">
                  <c:v>76.147900000000007</c:v>
                </c:pt>
                <c:pt idx="57">
                  <c:v>70.509699999999995</c:v>
                </c:pt>
                <c:pt idx="58">
                  <c:v>68.172200000000004</c:v>
                </c:pt>
                <c:pt idx="59">
                  <c:v>65.834699999999998</c:v>
                </c:pt>
                <c:pt idx="60">
                  <c:v>81.112700000000004</c:v>
                </c:pt>
                <c:pt idx="61">
                  <c:v>78.775300000000001</c:v>
                </c:pt>
                <c:pt idx="62">
                  <c:v>76.437799999999996</c:v>
                </c:pt>
                <c:pt idx="63">
                  <c:v>70.509699999999995</c:v>
                </c:pt>
                <c:pt idx="64">
                  <c:v>68.172200000000004</c:v>
                </c:pt>
                <c:pt idx="65">
                  <c:v>65.834699999999998</c:v>
                </c:pt>
                <c:pt idx="66">
                  <c:v>81.112700000000004</c:v>
                </c:pt>
                <c:pt idx="67">
                  <c:v>78.775300000000001</c:v>
                </c:pt>
                <c:pt idx="68">
                  <c:v>76.437799999999996</c:v>
                </c:pt>
                <c:pt idx="69">
                  <c:v>71.141400000000004</c:v>
                </c:pt>
                <c:pt idx="70">
                  <c:v>68.803899999999999</c:v>
                </c:pt>
                <c:pt idx="71">
                  <c:v>66.466399999999993</c:v>
                </c:pt>
                <c:pt idx="72">
                  <c:v>80.481099999999998</c:v>
                </c:pt>
                <c:pt idx="73">
                  <c:v>78.143600000000006</c:v>
                </c:pt>
                <c:pt idx="74">
                  <c:v>75.806100000000001</c:v>
                </c:pt>
                <c:pt idx="75">
                  <c:v>71.141400000000004</c:v>
                </c:pt>
                <c:pt idx="76">
                  <c:v>68.803899999999999</c:v>
                </c:pt>
                <c:pt idx="77">
                  <c:v>66.466399999999993</c:v>
                </c:pt>
                <c:pt idx="78">
                  <c:v>80.481099999999998</c:v>
                </c:pt>
                <c:pt idx="79">
                  <c:v>78.143600000000006</c:v>
                </c:pt>
                <c:pt idx="80">
                  <c:v>75.806100000000001</c:v>
                </c:pt>
                <c:pt idx="81">
                  <c:v>41.857300000000002</c:v>
                </c:pt>
                <c:pt idx="82">
                  <c:v>40.174300000000002</c:v>
                </c:pt>
                <c:pt idx="83">
                  <c:v>38.491300000000003</c:v>
                </c:pt>
                <c:pt idx="84">
                  <c:v>52.460299999999997</c:v>
                </c:pt>
                <c:pt idx="85">
                  <c:v>50.777299999999997</c:v>
                </c:pt>
                <c:pt idx="86">
                  <c:v>49.0944</c:v>
                </c:pt>
                <c:pt idx="87">
                  <c:v>41.857300000000002</c:v>
                </c:pt>
                <c:pt idx="88">
                  <c:v>40.174300000000002</c:v>
                </c:pt>
                <c:pt idx="89">
                  <c:v>38.491300000000003</c:v>
                </c:pt>
                <c:pt idx="90">
                  <c:v>52.460299999999997</c:v>
                </c:pt>
                <c:pt idx="91">
                  <c:v>50.777299999999997</c:v>
                </c:pt>
                <c:pt idx="92">
                  <c:v>49.0944</c:v>
                </c:pt>
                <c:pt idx="93">
                  <c:v>42.488999999999997</c:v>
                </c:pt>
                <c:pt idx="94">
                  <c:v>40.805999999999997</c:v>
                </c:pt>
                <c:pt idx="95">
                  <c:v>39.122999999999998</c:v>
                </c:pt>
                <c:pt idx="96">
                  <c:v>51.828600000000002</c:v>
                </c:pt>
                <c:pt idx="97">
                  <c:v>50.145699999999998</c:v>
                </c:pt>
                <c:pt idx="98">
                  <c:v>48.462699999999998</c:v>
                </c:pt>
                <c:pt idx="99">
                  <c:v>42.488999999999997</c:v>
                </c:pt>
                <c:pt idx="100">
                  <c:v>40.805999999999997</c:v>
                </c:pt>
                <c:pt idx="101">
                  <c:v>39.122999999999998</c:v>
                </c:pt>
                <c:pt idx="102">
                  <c:v>51.828600000000002</c:v>
                </c:pt>
                <c:pt idx="103">
                  <c:v>50.145699999999998</c:v>
                </c:pt>
                <c:pt idx="104">
                  <c:v>48.462699999999998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1C-44DA-A7E4-86753E724C2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COLUMNAS!$W$20:$W$124</c:f>
              <c:numCache>
                <c:formatCode>General</c:formatCode>
                <c:ptCount val="105"/>
                <c:pt idx="0">
                  <c:v>-0.14369999999999999</c:v>
                </c:pt>
                <c:pt idx="1">
                  <c:v>1.0699999999999999E-2</c:v>
                </c:pt>
                <c:pt idx="2">
                  <c:v>0.1651</c:v>
                </c:pt>
                <c:pt idx="3">
                  <c:v>-9.1200000000000003E-2</c:v>
                </c:pt>
                <c:pt idx="4">
                  <c:v>6.7999999999999996E-3</c:v>
                </c:pt>
                <c:pt idx="5">
                  <c:v>0.10489999999999999</c:v>
                </c:pt>
                <c:pt idx="6">
                  <c:v>-0.2198</c:v>
                </c:pt>
                <c:pt idx="7">
                  <c:v>-7.1999999999999998E-3</c:v>
                </c:pt>
                <c:pt idx="8">
                  <c:v>0.2054</c:v>
                </c:pt>
                <c:pt idx="9">
                  <c:v>17.289000000000001</c:v>
                </c:pt>
                <c:pt idx="10">
                  <c:v>6.0248999999999997</c:v>
                </c:pt>
                <c:pt idx="11">
                  <c:v>28.469899999999999</c:v>
                </c:pt>
                <c:pt idx="12">
                  <c:v>-17.5504</c:v>
                </c:pt>
                <c:pt idx="13">
                  <c:v>-6.0101000000000004</c:v>
                </c:pt>
                <c:pt idx="14">
                  <c:v>-28.179200000000002</c:v>
                </c:pt>
                <c:pt idx="15">
                  <c:v>17.289000000000001</c:v>
                </c:pt>
                <c:pt idx="16">
                  <c:v>6.0248999999999997</c:v>
                </c:pt>
                <c:pt idx="17">
                  <c:v>28.469899999999999</c:v>
                </c:pt>
                <c:pt idx="18">
                  <c:v>-17.5504</c:v>
                </c:pt>
                <c:pt idx="19">
                  <c:v>-6.0101000000000004</c:v>
                </c:pt>
                <c:pt idx="20">
                  <c:v>-28.179200000000002</c:v>
                </c:pt>
                <c:pt idx="21">
                  <c:v>12.1534</c:v>
                </c:pt>
                <c:pt idx="22">
                  <c:v>4.4808000000000003</c:v>
                </c:pt>
                <c:pt idx="23">
                  <c:v>20.535699999999999</c:v>
                </c:pt>
                <c:pt idx="24">
                  <c:v>-12.4148</c:v>
                </c:pt>
                <c:pt idx="25">
                  <c:v>-4.4661</c:v>
                </c:pt>
                <c:pt idx="26">
                  <c:v>-20.244900000000001</c:v>
                </c:pt>
                <c:pt idx="27">
                  <c:v>12.1534</c:v>
                </c:pt>
                <c:pt idx="28">
                  <c:v>4.4808000000000003</c:v>
                </c:pt>
                <c:pt idx="29">
                  <c:v>20.535699999999999</c:v>
                </c:pt>
                <c:pt idx="30">
                  <c:v>-12.4148</c:v>
                </c:pt>
                <c:pt idx="31">
                  <c:v>-4.4661</c:v>
                </c:pt>
                <c:pt idx="32">
                  <c:v>-20.244900000000001</c:v>
                </c:pt>
                <c:pt idx="33">
                  <c:v>17.3276</c:v>
                </c:pt>
                <c:pt idx="34">
                  <c:v>6.0220000000000002</c:v>
                </c:pt>
                <c:pt idx="35">
                  <c:v>28.425599999999999</c:v>
                </c:pt>
                <c:pt idx="36">
                  <c:v>-17.511800000000001</c:v>
                </c:pt>
                <c:pt idx="37">
                  <c:v>-6.0129999999999999</c:v>
                </c:pt>
                <c:pt idx="38">
                  <c:v>-28.223400000000002</c:v>
                </c:pt>
                <c:pt idx="39">
                  <c:v>17.3276</c:v>
                </c:pt>
                <c:pt idx="40">
                  <c:v>6.0220000000000002</c:v>
                </c:pt>
                <c:pt idx="41">
                  <c:v>28.425599999999999</c:v>
                </c:pt>
                <c:pt idx="42">
                  <c:v>-17.511800000000001</c:v>
                </c:pt>
                <c:pt idx="43">
                  <c:v>-6.0129999999999999</c:v>
                </c:pt>
                <c:pt idx="44">
                  <c:v>-28.223400000000002</c:v>
                </c:pt>
                <c:pt idx="45">
                  <c:v>12.192</c:v>
                </c:pt>
                <c:pt idx="46">
                  <c:v>4.4779</c:v>
                </c:pt>
                <c:pt idx="47">
                  <c:v>20.491399999999999</c:v>
                </c:pt>
                <c:pt idx="48">
                  <c:v>-12.376200000000001</c:v>
                </c:pt>
                <c:pt idx="49">
                  <c:v>-4.4688999999999997</c:v>
                </c:pt>
                <c:pt idx="50">
                  <c:v>-20.289200000000001</c:v>
                </c:pt>
                <c:pt idx="51">
                  <c:v>12.192</c:v>
                </c:pt>
                <c:pt idx="52">
                  <c:v>4.4779</c:v>
                </c:pt>
                <c:pt idx="53">
                  <c:v>20.491399999999999</c:v>
                </c:pt>
                <c:pt idx="54">
                  <c:v>-12.376200000000001</c:v>
                </c:pt>
                <c:pt idx="55">
                  <c:v>-4.4688999999999997</c:v>
                </c:pt>
                <c:pt idx="56">
                  <c:v>-20.289200000000001</c:v>
                </c:pt>
                <c:pt idx="57">
                  <c:v>17.2331</c:v>
                </c:pt>
                <c:pt idx="58">
                  <c:v>6.0117000000000003</c:v>
                </c:pt>
                <c:pt idx="59">
                  <c:v>28.499600000000001</c:v>
                </c:pt>
                <c:pt idx="60">
                  <c:v>-17.606300000000001</c:v>
                </c:pt>
                <c:pt idx="61">
                  <c:v>-6.0232999999999999</c:v>
                </c:pt>
                <c:pt idx="62">
                  <c:v>-28.1495</c:v>
                </c:pt>
                <c:pt idx="63">
                  <c:v>17.2331</c:v>
                </c:pt>
                <c:pt idx="64">
                  <c:v>6.0117000000000003</c:v>
                </c:pt>
                <c:pt idx="65">
                  <c:v>28.499600000000001</c:v>
                </c:pt>
                <c:pt idx="66">
                  <c:v>-17.606300000000001</c:v>
                </c:pt>
                <c:pt idx="67">
                  <c:v>-6.0232999999999999</c:v>
                </c:pt>
                <c:pt idx="68">
                  <c:v>-28.1495</c:v>
                </c:pt>
                <c:pt idx="69">
                  <c:v>12.0975</c:v>
                </c:pt>
                <c:pt idx="70">
                  <c:v>4.4676</c:v>
                </c:pt>
                <c:pt idx="71">
                  <c:v>20.5654</c:v>
                </c:pt>
                <c:pt idx="72">
                  <c:v>-12.470700000000001</c:v>
                </c:pt>
                <c:pt idx="73">
                  <c:v>-4.4791999999999996</c:v>
                </c:pt>
                <c:pt idx="74">
                  <c:v>-20.215299999999999</c:v>
                </c:pt>
                <c:pt idx="75">
                  <c:v>12.0975</c:v>
                </c:pt>
                <c:pt idx="76">
                  <c:v>4.4676</c:v>
                </c:pt>
                <c:pt idx="77">
                  <c:v>20.5654</c:v>
                </c:pt>
                <c:pt idx="78">
                  <c:v>-12.470700000000001</c:v>
                </c:pt>
                <c:pt idx="79">
                  <c:v>-4.4791999999999996</c:v>
                </c:pt>
                <c:pt idx="80">
                  <c:v>-20.215299999999999</c:v>
                </c:pt>
                <c:pt idx="81">
                  <c:v>17.317799999999998</c:v>
                </c:pt>
                <c:pt idx="82">
                  <c:v>6.0155000000000003</c:v>
                </c:pt>
                <c:pt idx="83">
                  <c:v>28.4224</c:v>
                </c:pt>
                <c:pt idx="84">
                  <c:v>-17.521599999999999</c:v>
                </c:pt>
                <c:pt idx="85">
                  <c:v>-6.0194999999999999</c:v>
                </c:pt>
                <c:pt idx="86">
                  <c:v>-28.226700000000001</c:v>
                </c:pt>
                <c:pt idx="87">
                  <c:v>17.317799999999998</c:v>
                </c:pt>
                <c:pt idx="88">
                  <c:v>6.0155000000000003</c:v>
                </c:pt>
                <c:pt idx="89">
                  <c:v>28.4224</c:v>
                </c:pt>
                <c:pt idx="90">
                  <c:v>-17.521599999999999</c:v>
                </c:pt>
                <c:pt idx="91">
                  <c:v>-6.0194999999999999</c:v>
                </c:pt>
                <c:pt idx="92">
                  <c:v>-28.226700000000001</c:v>
                </c:pt>
                <c:pt idx="93">
                  <c:v>12.1822</c:v>
                </c:pt>
                <c:pt idx="94">
                  <c:v>4.4714</c:v>
                </c:pt>
                <c:pt idx="95">
                  <c:v>20.488199999999999</c:v>
                </c:pt>
                <c:pt idx="96">
                  <c:v>-12.385999999999999</c:v>
                </c:pt>
                <c:pt idx="97">
                  <c:v>-4.4753999999999996</c:v>
                </c:pt>
                <c:pt idx="98">
                  <c:v>-20.2925</c:v>
                </c:pt>
                <c:pt idx="99">
                  <c:v>12.1822</c:v>
                </c:pt>
                <c:pt idx="100">
                  <c:v>4.4714</c:v>
                </c:pt>
                <c:pt idx="101">
                  <c:v>20.488199999999999</c:v>
                </c:pt>
                <c:pt idx="102">
                  <c:v>-12.385999999999999</c:v>
                </c:pt>
                <c:pt idx="103">
                  <c:v>-4.4753999999999996</c:v>
                </c:pt>
                <c:pt idx="104">
                  <c:v>-20.2925</c:v>
                </c:pt>
              </c:numCache>
            </c:numRef>
          </c:xVal>
          <c:yVal>
            <c:numRef>
              <c:f>COLUMNAS!$V$20:$V$124</c:f>
              <c:numCache>
                <c:formatCode>General</c:formatCode>
                <c:ptCount val="105"/>
                <c:pt idx="0">
                  <c:v>60.489800000000002</c:v>
                </c:pt>
                <c:pt idx="1">
                  <c:v>58.359499999999997</c:v>
                </c:pt>
                <c:pt idx="2">
                  <c:v>56.229199999999999</c:v>
                </c:pt>
                <c:pt idx="3">
                  <c:v>54.541600000000003</c:v>
                </c:pt>
                <c:pt idx="4">
                  <c:v>52.411299999999997</c:v>
                </c:pt>
                <c:pt idx="5">
                  <c:v>50.280999999999999</c:v>
                </c:pt>
                <c:pt idx="6">
                  <c:v>54.125799999999998</c:v>
                </c:pt>
                <c:pt idx="7">
                  <c:v>51.9955</c:v>
                </c:pt>
                <c:pt idx="8">
                  <c:v>49.865200000000002</c:v>
                </c:pt>
                <c:pt idx="9">
                  <c:v>47.835799999999999</c:v>
                </c:pt>
                <c:pt idx="10">
                  <c:v>45.933700000000002</c:v>
                </c:pt>
                <c:pt idx="11">
                  <c:v>44.031599999999997</c:v>
                </c:pt>
                <c:pt idx="12">
                  <c:v>55.764499999999998</c:v>
                </c:pt>
                <c:pt idx="13">
                  <c:v>53.862400000000001</c:v>
                </c:pt>
                <c:pt idx="14">
                  <c:v>51.9604</c:v>
                </c:pt>
                <c:pt idx="15">
                  <c:v>47.835799999999999</c:v>
                </c:pt>
                <c:pt idx="16">
                  <c:v>45.933700000000002</c:v>
                </c:pt>
                <c:pt idx="17">
                  <c:v>44.031599999999997</c:v>
                </c:pt>
                <c:pt idx="18">
                  <c:v>55.764499999999998</c:v>
                </c:pt>
                <c:pt idx="19">
                  <c:v>53.862400000000001</c:v>
                </c:pt>
                <c:pt idx="20">
                  <c:v>51.9604</c:v>
                </c:pt>
                <c:pt idx="21">
                  <c:v>48.397500000000001</c:v>
                </c:pt>
                <c:pt idx="22">
                  <c:v>46.495399999999997</c:v>
                </c:pt>
                <c:pt idx="23">
                  <c:v>44.593400000000003</c:v>
                </c:pt>
                <c:pt idx="24">
                  <c:v>55.202800000000003</c:v>
                </c:pt>
                <c:pt idx="25">
                  <c:v>53.300699999999999</c:v>
                </c:pt>
                <c:pt idx="26">
                  <c:v>51.398600000000002</c:v>
                </c:pt>
                <c:pt idx="27">
                  <c:v>48.397500000000001</c:v>
                </c:pt>
                <c:pt idx="28">
                  <c:v>46.495399999999997</c:v>
                </c:pt>
                <c:pt idx="29">
                  <c:v>44.593400000000003</c:v>
                </c:pt>
                <c:pt idx="30">
                  <c:v>55.202800000000003</c:v>
                </c:pt>
                <c:pt idx="31">
                  <c:v>53.300699999999999</c:v>
                </c:pt>
                <c:pt idx="32">
                  <c:v>51.398600000000002</c:v>
                </c:pt>
                <c:pt idx="33">
                  <c:v>43.4621</c:v>
                </c:pt>
                <c:pt idx="34">
                  <c:v>41.56</c:v>
                </c:pt>
                <c:pt idx="35">
                  <c:v>39.658000000000001</c:v>
                </c:pt>
                <c:pt idx="36">
                  <c:v>51.390799999999999</c:v>
                </c:pt>
                <c:pt idx="37">
                  <c:v>49.488799999999998</c:v>
                </c:pt>
                <c:pt idx="38">
                  <c:v>47.5867</c:v>
                </c:pt>
                <c:pt idx="39">
                  <c:v>43.4621</c:v>
                </c:pt>
                <c:pt idx="40">
                  <c:v>41.56</c:v>
                </c:pt>
                <c:pt idx="41">
                  <c:v>39.658000000000001</c:v>
                </c:pt>
                <c:pt idx="42">
                  <c:v>51.390799999999999</c:v>
                </c:pt>
                <c:pt idx="43">
                  <c:v>49.488799999999998</c:v>
                </c:pt>
                <c:pt idx="44">
                  <c:v>47.5867</c:v>
                </c:pt>
                <c:pt idx="45">
                  <c:v>44.023800000000001</c:v>
                </c:pt>
                <c:pt idx="46">
                  <c:v>42.1218</c:v>
                </c:pt>
                <c:pt idx="47">
                  <c:v>40.219700000000003</c:v>
                </c:pt>
                <c:pt idx="48">
                  <c:v>50.829099999999997</c:v>
                </c:pt>
                <c:pt idx="49">
                  <c:v>48.927</c:v>
                </c:pt>
                <c:pt idx="50">
                  <c:v>47.024999999999999</c:v>
                </c:pt>
                <c:pt idx="51">
                  <c:v>44.023800000000001</c:v>
                </c:pt>
                <c:pt idx="52">
                  <c:v>42.1218</c:v>
                </c:pt>
                <c:pt idx="53">
                  <c:v>40.219700000000003</c:v>
                </c:pt>
                <c:pt idx="54">
                  <c:v>50.829099999999997</c:v>
                </c:pt>
                <c:pt idx="55">
                  <c:v>48.927</c:v>
                </c:pt>
                <c:pt idx="56">
                  <c:v>47.024999999999999</c:v>
                </c:pt>
                <c:pt idx="57">
                  <c:v>43.156300000000002</c:v>
                </c:pt>
                <c:pt idx="58">
                  <c:v>41.254199999999997</c:v>
                </c:pt>
                <c:pt idx="59">
                  <c:v>39.352200000000003</c:v>
                </c:pt>
                <c:pt idx="60">
                  <c:v>51.085099999999997</c:v>
                </c:pt>
                <c:pt idx="61">
                  <c:v>49.183</c:v>
                </c:pt>
                <c:pt idx="62">
                  <c:v>47.280900000000003</c:v>
                </c:pt>
                <c:pt idx="63">
                  <c:v>43.156300000000002</c:v>
                </c:pt>
                <c:pt idx="64">
                  <c:v>41.254199999999997</c:v>
                </c:pt>
                <c:pt idx="65">
                  <c:v>39.352200000000003</c:v>
                </c:pt>
                <c:pt idx="66">
                  <c:v>51.085099999999997</c:v>
                </c:pt>
                <c:pt idx="67">
                  <c:v>49.183</c:v>
                </c:pt>
                <c:pt idx="68">
                  <c:v>47.280900000000003</c:v>
                </c:pt>
                <c:pt idx="69">
                  <c:v>43.7181</c:v>
                </c:pt>
                <c:pt idx="70">
                  <c:v>41.816000000000003</c:v>
                </c:pt>
                <c:pt idx="71">
                  <c:v>39.913899999999998</c:v>
                </c:pt>
                <c:pt idx="72">
                  <c:v>50.523299999999999</c:v>
                </c:pt>
                <c:pt idx="73">
                  <c:v>48.621200000000002</c:v>
                </c:pt>
                <c:pt idx="74">
                  <c:v>46.719200000000001</c:v>
                </c:pt>
                <c:pt idx="75">
                  <c:v>43.7181</c:v>
                </c:pt>
                <c:pt idx="76">
                  <c:v>41.816000000000003</c:v>
                </c:pt>
                <c:pt idx="77">
                  <c:v>39.913899999999998</c:v>
                </c:pt>
                <c:pt idx="78">
                  <c:v>50.523299999999999</c:v>
                </c:pt>
                <c:pt idx="79">
                  <c:v>48.621200000000002</c:v>
                </c:pt>
                <c:pt idx="80">
                  <c:v>46.719200000000001</c:v>
                </c:pt>
                <c:pt idx="81">
                  <c:v>25.910699999999999</c:v>
                </c:pt>
                <c:pt idx="82">
                  <c:v>24.5412</c:v>
                </c:pt>
                <c:pt idx="83">
                  <c:v>23.171700000000001</c:v>
                </c:pt>
                <c:pt idx="84">
                  <c:v>33.839399999999998</c:v>
                </c:pt>
                <c:pt idx="85">
                  <c:v>32.469900000000003</c:v>
                </c:pt>
                <c:pt idx="86">
                  <c:v>31.1005</c:v>
                </c:pt>
                <c:pt idx="87">
                  <c:v>25.910699999999999</c:v>
                </c:pt>
                <c:pt idx="88">
                  <c:v>24.5412</c:v>
                </c:pt>
                <c:pt idx="89">
                  <c:v>23.171700000000001</c:v>
                </c:pt>
                <c:pt idx="90">
                  <c:v>33.839399999999998</c:v>
                </c:pt>
                <c:pt idx="91">
                  <c:v>32.469900000000003</c:v>
                </c:pt>
                <c:pt idx="92">
                  <c:v>31.1005</c:v>
                </c:pt>
                <c:pt idx="93">
                  <c:v>26.4724</c:v>
                </c:pt>
                <c:pt idx="94">
                  <c:v>25.102900000000002</c:v>
                </c:pt>
                <c:pt idx="95">
                  <c:v>23.733499999999999</c:v>
                </c:pt>
                <c:pt idx="96">
                  <c:v>33.277700000000003</c:v>
                </c:pt>
                <c:pt idx="97">
                  <c:v>31.908200000000001</c:v>
                </c:pt>
                <c:pt idx="98">
                  <c:v>30.538699999999999</c:v>
                </c:pt>
                <c:pt idx="99">
                  <c:v>26.4724</c:v>
                </c:pt>
                <c:pt idx="100">
                  <c:v>25.102900000000002</c:v>
                </c:pt>
                <c:pt idx="101">
                  <c:v>23.733499999999999</c:v>
                </c:pt>
                <c:pt idx="102">
                  <c:v>33.277700000000003</c:v>
                </c:pt>
                <c:pt idx="103">
                  <c:v>31.908200000000001</c:v>
                </c:pt>
                <c:pt idx="104">
                  <c:v>30.538699999999999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1C-44DA-A7E4-86753E724C2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COLUMNAS!$AA$20:$AA$124</c:f>
              <c:numCache>
                <c:formatCode>General</c:formatCode>
                <c:ptCount val="105"/>
                <c:pt idx="0">
                  <c:v>-0.4098</c:v>
                </c:pt>
                <c:pt idx="1">
                  <c:v>0.33760000000000001</c:v>
                </c:pt>
                <c:pt idx="2">
                  <c:v>1.085</c:v>
                </c:pt>
                <c:pt idx="3">
                  <c:v>-0.4103</c:v>
                </c:pt>
                <c:pt idx="4">
                  <c:v>0.27700000000000002</c:v>
                </c:pt>
                <c:pt idx="5">
                  <c:v>0.96430000000000005</c:v>
                </c:pt>
                <c:pt idx="6">
                  <c:v>-0.30659999999999998</c:v>
                </c:pt>
                <c:pt idx="7">
                  <c:v>0.2752</c:v>
                </c:pt>
                <c:pt idx="8">
                  <c:v>0.85699999999999998</c:v>
                </c:pt>
                <c:pt idx="9">
                  <c:v>6.2560000000000002</c:v>
                </c:pt>
                <c:pt idx="10">
                  <c:v>14.2843</c:v>
                </c:pt>
                <c:pt idx="11">
                  <c:v>24.9755</c:v>
                </c:pt>
                <c:pt idx="12">
                  <c:v>-6.9489999999999998</c:v>
                </c:pt>
                <c:pt idx="13">
                  <c:v>-13.7279</c:v>
                </c:pt>
                <c:pt idx="14">
                  <c:v>-23.169699999999999</c:v>
                </c:pt>
                <c:pt idx="15">
                  <c:v>6.2560000000000002</c:v>
                </c:pt>
                <c:pt idx="16">
                  <c:v>14.2843</c:v>
                </c:pt>
                <c:pt idx="17">
                  <c:v>24.9755</c:v>
                </c:pt>
                <c:pt idx="18">
                  <c:v>-6.9489999999999998</c:v>
                </c:pt>
                <c:pt idx="19">
                  <c:v>-13.7279</c:v>
                </c:pt>
                <c:pt idx="20">
                  <c:v>-23.169699999999999</c:v>
                </c:pt>
                <c:pt idx="21">
                  <c:v>5.0960999999999999</c:v>
                </c:pt>
                <c:pt idx="22">
                  <c:v>10.041</c:v>
                </c:pt>
                <c:pt idx="23">
                  <c:v>17.980599999999999</c:v>
                </c:pt>
                <c:pt idx="24">
                  <c:v>-5.7891000000000004</c:v>
                </c:pt>
                <c:pt idx="25">
                  <c:v>-9.4846000000000004</c:v>
                </c:pt>
                <c:pt idx="26">
                  <c:v>-16.174800000000001</c:v>
                </c:pt>
                <c:pt idx="27">
                  <c:v>5.0960999999999999</c:v>
                </c:pt>
                <c:pt idx="28">
                  <c:v>10.041</c:v>
                </c:pt>
                <c:pt idx="29">
                  <c:v>17.980599999999999</c:v>
                </c:pt>
                <c:pt idx="30">
                  <c:v>-5.7891000000000004</c:v>
                </c:pt>
                <c:pt idx="31">
                  <c:v>-9.4846000000000004</c:v>
                </c:pt>
                <c:pt idx="32">
                  <c:v>-16.174800000000001</c:v>
                </c:pt>
                <c:pt idx="33">
                  <c:v>6.2557</c:v>
                </c:pt>
                <c:pt idx="34">
                  <c:v>14.239699999999999</c:v>
                </c:pt>
                <c:pt idx="35">
                  <c:v>24.886800000000001</c:v>
                </c:pt>
                <c:pt idx="36">
                  <c:v>-6.9493999999999998</c:v>
                </c:pt>
                <c:pt idx="37">
                  <c:v>-13.772399999999999</c:v>
                </c:pt>
                <c:pt idx="38">
                  <c:v>-23.258400000000002</c:v>
                </c:pt>
                <c:pt idx="39">
                  <c:v>6.2557</c:v>
                </c:pt>
                <c:pt idx="40">
                  <c:v>14.239699999999999</c:v>
                </c:pt>
                <c:pt idx="41">
                  <c:v>24.886800000000001</c:v>
                </c:pt>
                <c:pt idx="42">
                  <c:v>-6.9493999999999998</c:v>
                </c:pt>
                <c:pt idx="43">
                  <c:v>-13.772399999999999</c:v>
                </c:pt>
                <c:pt idx="44">
                  <c:v>-23.258400000000002</c:v>
                </c:pt>
                <c:pt idx="45">
                  <c:v>5.0956999999999999</c:v>
                </c:pt>
                <c:pt idx="46">
                  <c:v>9.9963999999999995</c:v>
                </c:pt>
                <c:pt idx="47">
                  <c:v>17.8919</c:v>
                </c:pt>
                <c:pt idx="48">
                  <c:v>-5.7893999999999997</c:v>
                </c:pt>
                <c:pt idx="49">
                  <c:v>-9.5290999999999997</c:v>
                </c:pt>
                <c:pt idx="50">
                  <c:v>-16.2636</c:v>
                </c:pt>
                <c:pt idx="51">
                  <c:v>5.0956999999999999</c:v>
                </c:pt>
                <c:pt idx="52">
                  <c:v>9.9963999999999995</c:v>
                </c:pt>
                <c:pt idx="53">
                  <c:v>17.8919</c:v>
                </c:pt>
                <c:pt idx="54">
                  <c:v>-5.7893999999999997</c:v>
                </c:pt>
                <c:pt idx="55">
                  <c:v>-9.5290999999999997</c:v>
                </c:pt>
                <c:pt idx="56">
                  <c:v>-16.2636</c:v>
                </c:pt>
                <c:pt idx="57">
                  <c:v>6.3319000000000001</c:v>
                </c:pt>
                <c:pt idx="58">
                  <c:v>14.2384</c:v>
                </c:pt>
                <c:pt idx="59">
                  <c:v>24.8078</c:v>
                </c:pt>
                <c:pt idx="60">
                  <c:v>-6.8731</c:v>
                </c:pt>
                <c:pt idx="61">
                  <c:v>-13.7738</c:v>
                </c:pt>
                <c:pt idx="62">
                  <c:v>-23.337399999999999</c:v>
                </c:pt>
                <c:pt idx="63">
                  <c:v>6.3319000000000001</c:v>
                </c:pt>
                <c:pt idx="64">
                  <c:v>14.2384</c:v>
                </c:pt>
                <c:pt idx="65">
                  <c:v>24.8078</c:v>
                </c:pt>
                <c:pt idx="66">
                  <c:v>-6.8731</c:v>
                </c:pt>
                <c:pt idx="67">
                  <c:v>-13.7738</c:v>
                </c:pt>
                <c:pt idx="68">
                  <c:v>-23.337399999999999</c:v>
                </c:pt>
                <c:pt idx="69">
                  <c:v>5.1719999999999997</c:v>
                </c:pt>
                <c:pt idx="70">
                  <c:v>9.9951000000000008</c:v>
                </c:pt>
                <c:pt idx="71">
                  <c:v>17.812899999999999</c:v>
                </c:pt>
                <c:pt idx="72">
                  <c:v>-5.7130999999999998</c:v>
                </c:pt>
                <c:pt idx="73">
                  <c:v>-9.5305</c:v>
                </c:pt>
                <c:pt idx="74">
                  <c:v>-16.342500000000001</c:v>
                </c:pt>
                <c:pt idx="75">
                  <c:v>5.1719999999999997</c:v>
                </c:pt>
                <c:pt idx="76">
                  <c:v>9.9951000000000008</c:v>
                </c:pt>
                <c:pt idx="77">
                  <c:v>17.812899999999999</c:v>
                </c:pt>
                <c:pt idx="78">
                  <c:v>-5.7130999999999998</c:v>
                </c:pt>
                <c:pt idx="79">
                  <c:v>-9.5305</c:v>
                </c:pt>
                <c:pt idx="80">
                  <c:v>-16.342500000000001</c:v>
                </c:pt>
                <c:pt idx="81">
                  <c:v>6.4183000000000003</c:v>
                </c:pt>
                <c:pt idx="82">
                  <c:v>14.128299999999999</c:v>
                </c:pt>
                <c:pt idx="83">
                  <c:v>24.501300000000001</c:v>
                </c:pt>
                <c:pt idx="84">
                  <c:v>-6.7866999999999997</c:v>
                </c:pt>
                <c:pt idx="85">
                  <c:v>-13.883800000000001</c:v>
                </c:pt>
                <c:pt idx="86">
                  <c:v>-23.643799999999999</c:v>
                </c:pt>
                <c:pt idx="87">
                  <c:v>6.4183000000000003</c:v>
                </c:pt>
                <c:pt idx="88">
                  <c:v>14.128299999999999</c:v>
                </c:pt>
                <c:pt idx="89">
                  <c:v>24.501300000000001</c:v>
                </c:pt>
                <c:pt idx="90">
                  <c:v>-6.7866999999999997</c:v>
                </c:pt>
                <c:pt idx="91">
                  <c:v>-13.883800000000001</c:v>
                </c:pt>
                <c:pt idx="92">
                  <c:v>-23.643799999999999</c:v>
                </c:pt>
                <c:pt idx="93">
                  <c:v>5.2583000000000002</c:v>
                </c:pt>
                <c:pt idx="94">
                  <c:v>9.8849999999999998</c:v>
                </c:pt>
                <c:pt idx="95">
                  <c:v>17.506499999999999</c:v>
                </c:pt>
                <c:pt idx="96">
                  <c:v>-5.6268000000000002</c:v>
                </c:pt>
                <c:pt idx="97">
                  <c:v>-9.6404999999999994</c:v>
                </c:pt>
                <c:pt idx="98">
                  <c:v>-16.649000000000001</c:v>
                </c:pt>
                <c:pt idx="99">
                  <c:v>5.2583000000000002</c:v>
                </c:pt>
                <c:pt idx="100">
                  <c:v>9.8849999999999998</c:v>
                </c:pt>
                <c:pt idx="101">
                  <c:v>17.506499999999999</c:v>
                </c:pt>
                <c:pt idx="102">
                  <c:v>-5.6268000000000002</c:v>
                </c:pt>
                <c:pt idx="103">
                  <c:v>-9.6404999999999994</c:v>
                </c:pt>
                <c:pt idx="104">
                  <c:v>-16.649000000000001</c:v>
                </c:pt>
              </c:numCache>
            </c:numRef>
          </c:xVal>
          <c:yVal>
            <c:numRef>
              <c:f>COLUMNAS!$Z$20:$Z$124</c:f>
              <c:numCache>
                <c:formatCode>General</c:formatCode>
                <c:ptCount val="105"/>
                <c:pt idx="0">
                  <c:v>23.221599999999999</c:v>
                </c:pt>
                <c:pt idx="1">
                  <c:v>20.866499999999998</c:v>
                </c:pt>
                <c:pt idx="2">
                  <c:v>18.511399999999998</c:v>
                </c:pt>
                <c:pt idx="3">
                  <c:v>23.5336</c:v>
                </c:pt>
                <c:pt idx="4">
                  <c:v>21.1785</c:v>
                </c:pt>
                <c:pt idx="5">
                  <c:v>18.823399999999999</c:v>
                </c:pt>
                <c:pt idx="6">
                  <c:v>23.2563</c:v>
                </c:pt>
                <c:pt idx="7">
                  <c:v>20.901199999999999</c:v>
                </c:pt>
                <c:pt idx="8">
                  <c:v>18.546099999999999</c:v>
                </c:pt>
                <c:pt idx="9">
                  <c:v>17.958500000000001</c:v>
                </c:pt>
                <c:pt idx="10">
                  <c:v>15.8558</c:v>
                </c:pt>
                <c:pt idx="11">
                  <c:v>13.753</c:v>
                </c:pt>
                <c:pt idx="12">
                  <c:v>23.076899999999998</c:v>
                </c:pt>
                <c:pt idx="13">
                  <c:v>20.9741</c:v>
                </c:pt>
                <c:pt idx="14">
                  <c:v>18.871300000000002</c:v>
                </c:pt>
                <c:pt idx="15">
                  <c:v>17.958500000000001</c:v>
                </c:pt>
                <c:pt idx="16">
                  <c:v>15.8558</c:v>
                </c:pt>
                <c:pt idx="17">
                  <c:v>13.753</c:v>
                </c:pt>
                <c:pt idx="18">
                  <c:v>23.076899999999998</c:v>
                </c:pt>
                <c:pt idx="19">
                  <c:v>20.9741</c:v>
                </c:pt>
                <c:pt idx="20">
                  <c:v>18.871300000000002</c:v>
                </c:pt>
                <c:pt idx="21">
                  <c:v>18.5275</c:v>
                </c:pt>
                <c:pt idx="22">
                  <c:v>16.424700000000001</c:v>
                </c:pt>
                <c:pt idx="23">
                  <c:v>14.321999999999999</c:v>
                </c:pt>
                <c:pt idx="24">
                  <c:v>22.507899999999999</c:v>
                </c:pt>
                <c:pt idx="25">
                  <c:v>20.405100000000001</c:v>
                </c:pt>
                <c:pt idx="26">
                  <c:v>18.302299999999999</c:v>
                </c:pt>
                <c:pt idx="27">
                  <c:v>18.5275</c:v>
                </c:pt>
                <c:pt idx="28">
                  <c:v>16.424700000000001</c:v>
                </c:pt>
                <c:pt idx="29">
                  <c:v>14.321999999999999</c:v>
                </c:pt>
                <c:pt idx="30">
                  <c:v>22.507899999999999</c:v>
                </c:pt>
                <c:pt idx="31">
                  <c:v>20.405100000000001</c:v>
                </c:pt>
                <c:pt idx="32">
                  <c:v>18.302299999999999</c:v>
                </c:pt>
                <c:pt idx="33">
                  <c:v>18.187899999999999</c:v>
                </c:pt>
                <c:pt idx="34">
                  <c:v>16.0852</c:v>
                </c:pt>
                <c:pt idx="35">
                  <c:v>13.9824</c:v>
                </c:pt>
                <c:pt idx="36">
                  <c:v>23.3063</c:v>
                </c:pt>
                <c:pt idx="37">
                  <c:v>21.203499999999998</c:v>
                </c:pt>
                <c:pt idx="38">
                  <c:v>19.1007</c:v>
                </c:pt>
                <c:pt idx="39">
                  <c:v>18.187899999999999</c:v>
                </c:pt>
                <c:pt idx="40">
                  <c:v>16.0852</c:v>
                </c:pt>
                <c:pt idx="41">
                  <c:v>13.9824</c:v>
                </c:pt>
                <c:pt idx="42">
                  <c:v>23.3063</c:v>
                </c:pt>
                <c:pt idx="43">
                  <c:v>21.203499999999998</c:v>
                </c:pt>
                <c:pt idx="44">
                  <c:v>19.1007</c:v>
                </c:pt>
                <c:pt idx="45">
                  <c:v>18.756900000000002</c:v>
                </c:pt>
                <c:pt idx="46">
                  <c:v>16.6541</c:v>
                </c:pt>
                <c:pt idx="47">
                  <c:v>14.551399999999999</c:v>
                </c:pt>
                <c:pt idx="48">
                  <c:v>22.737300000000001</c:v>
                </c:pt>
                <c:pt idx="49">
                  <c:v>20.634499999999999</c:v>
                </c:pt>
                <c:pt idx="50">
                  <c:v>18.531700000000001</c:v>
                </c:pt>
                <c:pt idx="51">
                  <c:v>18.756900000000002</c:v>
                </c:pt>
                <c:pt idx="52">
                  <c:v>16.6541</c:v>
                </c:pt>
                <c:pt idx="53">
                  <c:v>14.551399999999999</c:v>
                </c:pt>
                <c:pt idx="54">
                  <c:v>22.737300000000001</c:v>
                </c:pt>
                <c:pt idx="55">
                  <c:v>20.634499999999999</c:v>
                </c:pt>
                <c:pt idx="56">
                  <c:v>18.531700000000001</c:v>
                </c:pt>
                <c:pt idx="57">
                  <c:v>17.984100000000002</c:v>
                </c:pt>
                <c:pt idx="58">
                  <c:v>15.8813</c:v>
                </c:pt>
                <c:pt idx="59">
                  <c:v>13.778499999999999</c:v>
                </c:pt>
                <c:pt idx="60">
                  <c:v>23.102399999999999</c:v>
                </c:pt>
                <c:pt idx="61">
                  <c:v>20.999600000000001</c:v>
                </c:pt>
                <c:pt idx="62">
                  <c:v>18.896899999999999</c:v>
                </c:pt>
                <c:pt idx="63">
                  <c:v>17.984100000000002</c:v>
                </c:pt>
                <c:pt idx="64">
                  <c:v>15.8813</c:v>
                </c:pt>
                <c:pt idx="65">
                  <c:v>13.778499999999999</c:v>
                </c:pt>
                <c:pt idx="66">
                  <c:v>23.102399999999999</c:v>
                </c:pt>
                <c:pt idx="67">
                  <c:v>20.999600000000001</c:v>
                </c:pt>
                <c:pt idx="68">
                  <c:v>18.896899999999999</c:v>
                </c:pt>
                <c:pt idx="69">
                  <c:v>18.553100000000001</c:v>
                </c:pt>
                <c:pt idx="70">
                  <c:v>16.450299999999999</c:v>
                </c:pt>
                <c:pt idx="71">
                  <c:v>14.3475</c:v>
                </c:pt>
                <c:pt idx="72">
                  <c:v>22.5334</c:v>
                </c:pt>
                <c:pt idx="73">
                  <c:v>20.430599999999998</c:v>
                </c:pt>
                <c:pt idx="74">
                  <c:v>18.3279</c:v>
                </c:pt>
                <c:pt idx="75">
                  <c:v>18.553100000000001</c:v>
                </c:pt>
                <c:pt idx="76">
                  <c:v>16.450299999999999</c:v>
                </c:pt>
                <c:pt idx="77">
                  <c:v>14.3475</c:v>
                </c:pt>
                <c:pt idx="78">
                  <c:v>22.5334</c:v>
                </c:pt>
                <c:pt idx="79">
                  <c:v>20.430599999999998</c:v>
                </c:pt>
                <c:pt idx="80">
                  <c:v>18.3279</c:v>
                </c:pt>
                <c:pt idx="81">
                  <c:v>11.488300000000001</c:v>
                </c:pt>
                <c:pt idx="82">
                  <c:v>9.9742999999999995</c:v>
                </c:pt>
                <c:pt idx="83">
                  <c:v>8.4603000000000002</c:v>
                </c:pt>
                <c:pt idx="84">
                  <c:v>16.6066</c:v>
                </c:pt>
                <c:pt idx="85">
                  <c:v>15.092599999999999</c:v>
                </c:pt>
                <c:pt idx="86">
                  <c:v>13.5786</c:v>
                </c:pt>
                <c:pt idx="87">
                  <c:v>11.488300000000001</c:v>
                </c:pt>
                <c:pt idx="88">
                  <c:v>9.9742999999999995</c:v>
                </c:pt>
                <c:pt idx="89">
                  <c:v>8.4603000000000002</c:v>
                </c:pt>
                <c:pt idx="90">
                  <c:v>16.6066</c:v>
                </c:pt>
                <c:pt idx="91">
                  <c:v>15.092599999999999</c:v>
                </c:pt>
                <c:pt idx="92">
                  <c:v>13.5786</c:v>
                </c:pt>
                <c:pt idx="93">
                  <c:v>12.0572</c:v>
                </c:pt>
                <c:pt idx="94">
                  <c:v>10.543200000000001</c:v>
                </c:pt>
                <c:pt idx="95">
                  <c:v>9.0291999999999994</c:v>
                </c:pt>
                <c:pt idx="96">
                  <c:v>16.037600000000001</c:v>
                </c:pt>
                <c:pt idx="97">
                  <c:v>14.5236</c:v>
                </c:pt>
                <c:pt idx="98">
                  <c:v>13.009600000000001</c:v>
                </c:pt>
                <c:pt idx="99">
                  <c:v>12.0572</c:v>
                </c:pt>
                <c:pt idx="100">
                  <c:v>10.543200000000001</c:v>
                </c:pt>
                <c:pt idx="101">
                  <c:v>9.0291999999999994</c:v>
                </c:pt>
                <c:pt idx="102">
                  <c:v>16.037600000000001</c:v>
                </c:pt>
                <c:pt idx="103">
                  <c:v>14.5236</c:v>
                </c:pt>
                <c:pt idx="104">
                  <c:v>13.009600000000001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1C-44DA-A7E4-86753E724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937791"/>
        <c:axId val="1384939711"/>
      </c:scatterChart>
      <c:valAx>
        <c:axId val="138493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9711"/>
        <c:crosses val="autoZero"/>
        <c:crossBetween val="midCat"/>
      </c:valAx>
      <c:valAx>
        <c:axId val="13849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'MUROS DE CORTE'!$G$70:$G$80</c:f>
              <c:numCache>
                <c:formatCode>General</c:formatCode>
                <c:ptCount val="11"/>
                <c:pt idx="0">
                  <c:v>0</c:v>
                </c:pt>
                <c:pt idx="1">
                  <c:v>2627.5562599999998</c:v>
                </c:pt>
                <c:pt idx="2">
                  <c:v>3379.2744999999995</c:v>
                </c:pt>
                <c:pt idx="3">
                  <c:v>3973.7776399999998</c:v>
                </c:pt>
                <c:pt idx="4">
                  <c:v>4424.6965</c:v>
                </c:pt>
                <c:pt idx="5">
                  <c:v>4756.3884200000002</c:v>
                </c:pt>
                <c:pt idx="6">
                  <c:v>4727.9592499999999</c:v>
                </c:pt>
                <c:pt idx="7">
                  <c:v>4440.00144</c:v>
                </c:pt>
                <c:pt idx="8">
                  <c:v>3904.78928</c:v>
                </c:pt>
                <c:pt idx="9">
                  <c:v>3120.6174300000002</c:v>
                </c:pt>
                <c:pt idx="10">
                  <c:v>0</c:v>
                </c:pt>
              </c:numCache>
            </c:numRef>
          </c:xVal>
          <c:yVal>
            <c:numRef>
              <c:f>'MUROS DE CORTE'!$F$70:$F$80</c:f>
              <c:numCache>
                <c:formatCode>General</c:formatCode>
                <c:ptCount val="11"/>
                <c:pt idx="0">
                  <c:v>2776.8417599999998</c:v>
                </c:pt>
                <c:pt idx="1">
                  <c:v>2736.6966199999997</c:v>
                </c:pt>
                <c:pt idx="2">
                  <c:v>2465.2149199999999</c:v>
                </c:pt>
                <c:pt idx="3">
                  <c:v>2182.8055199999999</c:v>
                </c:pt>
                <c:pt idx="4">
                  <c:v>1884.0541999999998</c:v>
                </c:pt>
                <c:pt idx="5">
                  <c:v>1559.1926000000001</c:v>
                </c:pt>
                <c:pt idx="6">
                  <c:v>1263.5416499999999</c:v>
                </c:pt>
                <c:pt idx="7">
                  <c:v>970.88508999999988</c:v>
                </c:pt>
                <c:pt idx="8">
                  <c:v>678.54373999999996</c:v>
                </c:pt>
                <c:pt idx="9">
                  <c:v>385.79988999999995</c:v>
                </c:pt>
                <c:pt idx="10">
                  <c:v>-452.75999999999993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D-4172-AA29-757F586C947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'MUROS DE CORTE'!$H$70:$H$80</c:f>
              <c:numCache>
                <c:formatCode>General</c:formatCode>
                <c:ptCount val="11"/>
                <c:pt idx="0">
                  <c:v>0</c:v>
                </c:pt>
                <c:pt idx="1">
                  <c:v>-2627.5562599999998</c:v>
                </c:pt>
                <c:pt idx="2">
                  <c:v>-3379.2744999999995</c:v>
                </c:pt>
                <c:pt idx="3">
                  <c:v>-3973.7776399999998</c:v>
                </c:pt>
                <c:pt idx="4">
                  <c:v>-4424.6965</c:v>
                </c:pt>
                <c:pt idx="5">
                  <c:v>-4756.3884200000002</c:v>
                </c:pt>
                <c:pt idx="6">
                  <c:v>-4727.9592499999999</c:v>
                </c:pt>
                <c:pt idx="7">
                  <c:v>-4440.00144</c:v>
                </c:pt>
                <c:pt idx="8">
                  <c:v>-3904.78928</c:v>
                </c:pt>
                <c:pt idx="9">
                  <c:v>-3120.6174300000002</c:v>
                </c:pt>
                <c:pt idx="10">
                  <c:v>0</c:v>
                </c:pt>
              </c:numCache>
            </c:numRef>
          </c:xVal>
          <c:yVal>
            <c:numRef>
              <c:f>'MUROS DE CORTE'!$F$70:$F$80</c:f>
              <c:numCache>
                <c:formatCode>General</c:formatCode>
                <c:ptCount val="11"/>
                <c:pt idx="0">
                  <c:v>2776.8417599999998</c:v>
                </c:pt>
                <c:pt idx="1">
                  <c:v>2736.6966199999997</c:v>
                </c:pt>
                <c:pt idx="2">
                  <c:v>2465.2149199999999</c:v>
                </c:pt>
                <c:pt idx="3">
                  <c:v>2182.8055199999999</c:v>
                </c:pt>
                <c:pt idx="4">
                  <c:v>1884.0541999999998</c:v>
                </c:pt>
                <c:pt idx="5">
                  <c:v>1559.1926000000001</c:v>
                </c:pt>
                <c:pt idx="6">
                  <c:v>1263.5416499999999</c:v>
                </c:pt>
                <c:pt idx="7">
                  <c:v>970.88508999999988</c:v>
                </c:pt>
                <c:pt idx="8">
                  <c:v>678.54373999999996</c:v>
                </c:pt>
                <c:pt idx="9">
                  <c:v>385.79988999999995</c:v>
                </c:pt>
                <c:pt idx="10">
                  <c:v>-452.75999999999993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5D-4172-AA29-757F586C947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'MUROS DE CORTE'!$S$69:$S$138</c:f>
              <c:numCache>
                <c:formatCode>General</c:formatCode>
                <c:ptCount val="70"/>
                <c:pt idx="0">
                  <c:v>-259.60329999999999</c:v>
                </c:pt>
                <c:pt idx="1">
                  <c:v>-287.27730000000003</c:v>
                </c:pt>
                <c:pt idx="2">
                  <c:v>-164.77789999999999</c:v>
                </c:pt>
                <c:pt idx="3">
                  <c:v>-180.9332</c:v>
                </c:pt>
                <c:pt idx="4">
                  <c:v>-262.1875</c:v>
                </c:pt>
                <c:pt idx="5">
                  <c:v>-289.93400000000003</c:v>
                </c:pt>
                <c:pt idx="6">
                  <c:v>239.50389999999999</c:v>
                </c:pt>
                <c:pt idx="7">
                  <c:v>684.61109999999996</c:v>
                </c:pt>
                <c:pt idx="8">
                  <c:v>-672.31280000000004</c:v>
                </c:pt>
                <c:pt idx="9">
                  <c:v>-1163.2239</c:v>
                </c:pt>
                <c:pt idx="10">
                  <c:v>239.50389999999999</c:v>
                </c:pt>
                <c:pt idx="11">
                  <c:v>684.61109999999996</c:v>
                </c:pt>
                <c:pt idx="12">
                  <c:v>-672.31280000000004</c:v>
                </c:pt>
                <c:pt idx="13">
                  <c:v>-1163.2239</c:v>
                </c:pt>
                <c:pt idx="14">
                  <c:v>465.1574</c:v>
                </c:pt>
                <c:pt idx="15">
                  <c:v>1136.5681999999999</c:v>
                </c:pt>
                <c:pt idx="16">
                  <c:v>-897.96630000000005</c:v>
                </c:pt>
                <c:pt idx="17">
                  <c:v>-1615.181</c:v>
                </c:pt>
                <c:pt idx="18">
                  <c:v>465.1574</c:v>
                </c:pt>
                <c:pt idx="19">
                  <c:v>1136.5681999999999</c:v>
                </c:pt>
                <c:pt idx="20">
                  <c:v>-897.96630000000005</c:v>
                </c:pt>
                <c:pt idx="21">
                  <c:v>-1615.181</c:v>
                </c:pt>
                <c:pt idx="22">
                  <c:v>309.2285</c:v>
                </c:pt>
                <c:pt idx="23">
                  <c:v>762.80520000000001</c:v>
                </c:pt>
                <c:pt idx="24">
                  <c:v>-602.5883</c:v>
                </c:pt>
                <c:pt idx="25">
                  <c:v>-1085.0297</c:v>
                </c:pt>
                <c:pt idx="26">
                  <c:v>309.2285</c:v>
                </c:pt>
                <c:pt idx="27">
                  <c:v>762.80520000000001</c:v>
                </c:pt>
                <c:pt idx="28">
                  <c:v>-602.5883</c:v>
                </c:pt>
                <c:pt idx="29">
                  <c:v>-1085.0297</c:v>
                </c:pt>
                <c:pt idx="30">
                  <c:v>534.88189999999997</c:v>
                </c:pt>
                <c:pt idx="31">
                  <c:v>1214.7623000000001</c:v>
                </c:pt>
                <c:pt idx="32">
                  <c:v>-828.24180000000001</c:v>
                </c:pt>
                <c:pt idx="33">
                  <c:v>-1536.9867999999999</c:v>
                </c:pt>
                <c:pt idx="34">
                  <c:v>534.88189999999997</c:v>
                </c:pt>
                <c:pt idx="35">
                  <c:v>1214.7623000000001</c:v>
                </c:pt>
                <c:pt idx="36">
                  <c:v>-828.24180000000001</c:v>
                </c:pt>
                <c:pt idx="37">
                  <c:v>-1536.9867999999999</c:v>
                </c:pt>
                <c:pt idx="38">
                  <c:v>237.6037</c:v>
                </c:pt>
                <c:pt idx="39">
                  <c:v>682.6576</c:v>
                </c:pt>
                <c:pt idx="40">
                  <c:v>-674.21299999999997</c:v>
                </c:pt>
                <c:pt idx="41">
                  <c:v>-1165.1773000000001</c:v>
                </c:pt>
                <c:pt idx="42">
                  <c:v>237.6037</c:v>
                </c:pt>
                <c:pt idx="43">
                  <c:v>682.6576</c:v>
                </c:pt>
                <c:pt idx="44">
                  <c:v>-674.21299999999997</c:v>
                </c:pt>
                <c:pt idx="45">
                  <c:v>-1165.1773000000001</c:v>
                </c:pt>
                <c:pt idx="46">
                  <c:v>463.25720000000001</c:v>
                </c:pt>
                <c:pt idx="47">
                  <c:v>1134.6147000000001</c:v>
                </c:pt>
                <c:pt idx="48">
                  <c:v>-899.86649999999997</c:v>
                </c:pt>
                <c:pt idx="49">
                  <c:v>-1617.1344999999999</c:v>
                </c:pt>
                <c:pt idx="50">
                  <c:v>463.25720000000001</c:v>
                </c:pt>
                <c:pt idx="51">
                  <c:v>1134.6147000000001</c:v>
                </c:pt>
                <c:pt idx="52">
                  <c:v>-899.86649999999997</c:v>
                </c:pt>
                <c:pt idx="53">
                  <c:v>-1617.1344999999999</c:v>
                </c:pt>
                <c:pt idx="54">
                  <c:v>351.78800000000001</c:v>
                </c:pt>
                <c:pt idx="55">
                  <c:v>809.37909999999999</c:v>
                </c:pt>
                <c:pt idx="56">
                  <c:v>-560.02880000000005</c:v>
                </c:pt>
                <c:pt idx="57">
                  <c:v>-1038.4558</c:v>
                </c:pt>
                <c:pt idx="58">
                  <c:v>351.78800000000001</c:v>
                </c:pt>
                <c:pt idx="59">
                  <c:v>809.37909999999999</c:v>
                </c:pt>
                <c:pt idx="60">
                  <c:v>-560.02880000000005</c:v>
                </c:pt>
                <c:pt idx="61">
                  <c:v>-1038.4558</c:v>
                </c:pt>
                <c:pt idx="62">
                  <c:v>577.44140000000004</c:v>
                </c:pt>
                <c:pt idx="63">
                  <c:v>1261.3362</c:v>
                </c:pt>
                <c:pt idx="64">
                  <c:v>-785.68230000000005</c:v>
                </c:pt>
                <c:pt idx="65">
                  <c:v>-1490.413</c:v>
                </c:pt>
                <c:pt idx="66">
                  <c:v>577.44140000000004</c:v>
                </c:pt>
                <c:pt idx="67">
                  <c:v>1261.3362</c:v>
                </c:pt>
                <c:pt idx="68">
                  <c:v>-785.68230000000005</c:v>
                </c:pt>
                <c:pt idx="69">
                  <c:v>-1490.413</c:v>
                </c:pt>
              </c:numCache>
            </c:numRef>
          </c:xVal>
          <c:yVal>
            <c:numRef>
              <c:f>'MUROS DE CORTE'!$R$69:$R$138</c:f>
              <c:numCache>
                <c:formatCode>General</c:formatCode>
                <c:ptCount val="70"/>
                <c:pt idx="0">
                  <c:v>242.32409999999999</c:v>
                </c:pt>
                <c:pt idx="1">
                  <c:v>276.51209999999998</c:v>
                </c:pt>
                <c:pt idx="2">
                  <c:v>229.18430000000001</c:v>
                </c:pt>
                <c:pt idx="3">
                  <c:v>263.3723</c:v>
                </c:pt>
                <c:pt idx="4">
                  <c:v>206.87950000000001</c:v>
                </c:pt>
                <c:pt idx="5">
                  <c:v>241.0676</c:v>
                </c:pt>
                <c:pt idx="6">
                  <c:v>207.46940000000001</c:v>
                </c:pt>
                <c:pt idx="7">
                  <c:v>237.99440000000001</c:v>
                </c:pt>
                <c:pt idx="8">
                  <c:v>208.0292</c:v>
                </c:pt>
                <c:pt idx="9">
                  <c:v>238.55430000000001</c:v>
                </c:pt>
                <c:pt idx="10">
                  <c:v>207.46940000000001</c:v>
                </c:pt>
                <c:pt idx="11">
                  <c:v>237.99440000000001</c:v>
                </c:pt>
                <c:pt idx="12">
                  <c:v>208.0292</c:v>
                </c:pt>
                <c:pt idx="13">
                  <c:v>238.55430000000001</c:v>
                </c:pt>
                <c:pt idx="14">
                  <c:v>207.34440000000001</c:v>
                </c:pt>
                <c:pt idx="15">
                  <c:v>237.86949999999999</c:v>
                </c:pt>
                <c:pt idx="16">
                  <c:v>208.1542</c:v>
                </c:pt>
                <c:pt idx="17">
                  <c:v>238.67930000000001</c:v>
                </c:pt>
                <c:pt idx="18">
                  <c:v>207.34440000000001</c:v>
                </c:pt>
                <c:pt idx="19">
                  <c:v>237.86949999999999</c:v>
                </c:pt>
                <c:pt idx="20">
                  <c:v>208.1542</c:v>
                </c:pt>
                <c:pt idx="21">
                  <c:v>238.67930000000001</c:v>
                </c:pt>
                <c:pt idx="22">
                  <c:v>197.80779999999999</c:v>
                </c:pt>
                <c:pt idx="23">
                  <c:v>228.33279999999999</c:v>
                </c:pt>
                <c:pt idx="24">
                  <c:v>198.36760000000001</c:v>
                </c:pt>
                <c:pt idx="25">
                  <c:v>228.89269999999999</c:v>
                </c:pt>
                <c:pt idx="26">
                  <c:v>197.80779999999999</c:v>
                </c:pt>
                <c:pt idx="27">
                  <c:v>228.33279999999999</c:v>
                </c:pt>
                <c:pt idx="28">
                  <c:v>198.36760000000001</c:v>
                </c:pt>
                <c:pt idx="29">
                  <c:v>228.89269999999999</c:v>
                </c:pt>
                <c:pt idx="30">
                  <c:v>197.68279999999999</c:v>
                </c:pt>
                <c:pt idx="31">
                  <c:v>228.20779999999999</c:v>
                </c:pt>
                <c:pt idx="32">
                  <c:v>198.49260000000001</c:v>
                </c:pt>
                <c:pt idx="33">
                  <c:v>229.01769999999999</c:v>
                </c:pt>
                <c:pt idx="34">
                  <c:v>197.68279999999999</c:v>
                </c:pt>
                <c:pt idx="35">
                  <c:v>228.20779999999999</c:v>
                </c:pt>
                <c:pt idx="36">
                  <c:v>198.49260000000001</c:v>
                </c:pt>
                <c:pt idx="37">
                  <c:v>229.01769999999999</c:v>
                </c:pt>
                <c:pt idx="38">
                  <c:v>181.40729999999999</c:v>
                </c:pt>
                <c:pt idx="39">
                  <c:v>211.9323</c:v>
                </c:pt>
                <c:pt idx="40">
                  <c:v>181.96709999999999</c:v>
                </c:pt>
                <c:pt idx="41">
                  <c:v>212.49209999999999</c:v>
                </c:pt>
                <c:pt idx="42">
                  <c:v>181.40729999999999</c:v>
                </c:pt>
                <c:pt idx="43">
                  <c:v>211.9323</c:v>
                </c:pt>
                <c:pt idx="44">
                  <c:v>181.96709999999999</c:v>
                </c:pt>
                <c:pt idx="45">
                  <c:v>212.49209999999999</c:v>
                </c:pt>
                <c:pt idx="46">
                  <c:v>181.28229999999999</c:v>
                </c:pt>
                <c:pt idx="47">
                  <c:v>211.8073</c:v>
                </c:pt>
                <c:pt idx="48">
                  <c:v>182.09209999999999</c:v>
                </c:pt>
                <c:pt idx="49">
                  <c:v>212.61709999999999</c:v>
                </c:pt>
                <c:pt idx="50">
                  <c:v>181.28229999999999</c:v>
                </c:pt>
                <c:pt idx="51">
                  <c:v>211.8073</c:v>
                </c:pt>
                <c:pt idx="52">
                  <c:v>182.09209999999999</c:v>
                </c:pt>
                <c:pt idx="53">
                  <c:v>212.61709999999999</c:v>
                </c:pt>
                <c:pt idx="54">
                  <c:v>120.3651</c:v>
                </c:pt>
                <c:pt idx="55">
                  <c:v>142.34309999999999</c:v>
                </c:pt>
                <c:pt idx="56">
                  <c:v>120.925</c:v>
                </c:pt>
                <c:pt idx="57">
                  <c:v>142.90299999999999</c:v>
                </c:pt>
                <c:pt idx="58">
                  <c:v>120.3651</c:v>
                </c:pt>
                <c:pt idx="59">
                  <c:v>142.34309999999999</c:v>
                </c:pt>
                <c:pt idx="60">
                  <c:v>120.925</c:v>
                </c:pt>
                <c:pt idx="61">
                  <c:v>142.90299999999999</c:v>
                </c:pt>
                <c:pt idx="62">
                  <c:v>120.2401</c:v>
                </c:pt>
                <c:pt idx="63">
                  <c:v>142.2182</c:v>
                </c:pt>
                <c:pt idx="64">
                  <c:v>121.04989999999999</c:v>
                </c:pt>
                <c:pt idx="65">
                  <c:v>143.02799999999999</c:v>
                </c:pt>
                <c:pt idx="66">
                  <c:v>120.2401</c:v>
                </c:pt>
                <c:pt idx="67">
                  <c:v>142.2182</c:v>
                </c:pt>
                <c:pt idx="68">
                  <c:v>121.04989999999999</c:v>
                </c:pt>
                <c:pt idx="69">
                  <c:v>143.02799999999999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5D-4172-AA29-757F586C947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'MUROS DE CORTE'!$V$69:$V$628</c:f>
              <c:numCache>
                <c:formatCode>General</c:formatCode>
                <c:ptCount val="560"/>
                <c:pt idx="0">
                  <c:v>9.7100000000000006E-2</c:v>
                </c:pt>
                <c:pt idx="1">
                  <c:v>-0.1283</c:v>
                </c:pt>
                <c:pt idx="2">
                  <c:v>-7.1599999999999997E-2</c:v>
                </c:pt>
                <c:pt idx="3">
                  <c:v>-2.4E-2</c:v>
                </c:pt>
                <c:pt idx="4">
                  <c:v>-8.8400000000000006E-2</c:v>
                </c:pt>
                <c:pt idx="5">
                  <c:v>5.7000000000000002E-3</c:v>
                </c:pt>
                <c:pt idx="6">
                  <c:v>-0.16289999999999999</c:v>
                </c:pt>
                <c:pt idx="7">
                  <c:v>6.2799999999999995E-2</c:v>
                </c:pt>
                <c:pt idx="8">
                  <c:v>0.15579999999999999</c:v>
                </c:pt>
                <c:pt idx="9">
                  <c:v>-0.1535</c:v>
                </c:pt>
                <c:pt idx="10">
                  <c:v>-5.0299999999999997E-2</c:v>
                </c:pt>
                <c:pt idx="11">
                  <c:v>-3.2099999999999997E-2</c:v>
                </c:pt>
                <c:pt idx="12">
                  <c:v>-6.3200000000000006E-2</c:v>
                </c:pt>
                <c:pt idx="13">
                  <c:v>-7.1000000000000004E-3</c:v>
                </c:pt>
                <c:pt idx="14">
                  <c:v>-0.15060000000000001</c:v>
                </c:pt>
                <c:pt idx="15">
                  <c:v>7.4700000000000003E-2</c:v>
                </c:pt>
                <c:pt idx="16">
                  <c:v>5.1499999999999997E-2</c:v>
                </c:pt>
                <c:pt idx="17">
                  <c:v>-9.3299999999999994E-2</c:v>
                </c:pt>
                <c:pt idx="18">
                  <c:v>-7.4099999999999999E-2</c:v>
                </c:pt>
                <c:pt idx="19">
                  <c:v>-1.0699999999999999E-2</c:v>
                </c:pt>
                <c:pt idx="20">
                  <c:v>-9.1399999999999995E-2</c:v>
                </c:pt>
                <c:pt idx="21">
                  <c:v>1.8800000000000001E-2</c:v>
                </c:pt>
                <c:pt idx="22">
                  <c:v>-0.151</c:v>
                </c:pt>
                <c:pt idx="23">
                  <c:v>7.4899999999999994E-2</c:v>
                </c:pt>
                <c:pt idx="24">
                  <c:v>1.2949999999999999</c:v>
                </c:pt>
                <c:pt idx="25">
                  <c:v>0.55110000000000003</c:v>
                </c:pt>
                <c:pt idx="26">
                  <c:v>0.43490000000000001</c:v>
                </c:pt>
                <c:pt idx="27">
                  <c:v>0.3795</c:v>
                </c:pt>
                <c:pt idx="28">
                  <c:v>0.41710000000000003</c:v>
                </c:pt>
                <c:pt idx="29">
                  <c:v>0.42220000000000002</c:v>
                </c:pt>
                <c:pt idx="30">
                  <c:v>0.2419</c:v>
                </c:pt>
                <c:pt idx="31">
                  <c:v>0.38550000000000001</c:v>
                </c:pt>
                <c:pt idx="32">
                  <c:v>-1.1186</c:v>
                </c:pt>
                <c:pt idx="33">
                  <c:v>-0.77600000000000002</c:v>
                </c:pt>
                <c:pt idx="34">
                  <c:v>-0.55649999999999999</c:v>
                </c:pt>
                <c:pt idx="35">
                  <c:v>-0.4204</c:v>
                </c:pt>
                <c:pt idx="36">
                  <c:v>-0.56740000000000002</c:v>
                </c:pt>
                <c:pt idx="37">
                  <c:v>-0.41189999999999999</c:v>
                </c:pt>
                <c:pt idx="38">
                  <c:v>-0.52370000000000005</c:v>
                </c:pt>
                <c:pt idx="39">
                  <c:v>-0.26719999999999999</c:v>
                </c:pt>
                <c:pt idx="40">
                  <c:v>1.2949999999999999</c:v>
                </c:pt>
                <c:pt idx="41">
                  <c:v>0.55110000000000003</c:v>
                </c:pt>
                <c:pt idx="42">
                  <c:v>0.43490000000000001</c:v>
                </c:pt>
                <c:pt idx="43">
                  <c:v>0.3795</c:v>
                </c:pt>
                <c:pt idx="44">
                  <c:v>0.41710000000000003</c:v>
                </c:pt>
                <c:pt idx="45">
                  <c:v>0.42220000000000002</c:v>
                </c:pt>
                <c:pt idx="46">
                  <c:v>0.2419</c:v>
                </c:pt>
                <c:pt idx="47">
                  <c:v>0.38550000000000001</c:v>
                </c:pt>
                <c:pt idx="48">
                  <c:v>-1.1186</c:v>
                </c:pt>
                <c:pt idx="49">
                  <c:v>-0.77600000000000002</c:v>
                </c:pt>
                <c:pt idx="50">
                  <c:v>-0.55649999999999999</c:v>
                </c:pt>
                <c:pt idx="51">
                  <c:v>-0.4204</c:v>
                </c:pt>
                <c:pt idx="52">
                  <c:v>-0.56740000000000002</c:v>
                </c:pt>
                <c:pt idx="53">
                  <c:v>-0.41189999999999999</c:v>
                </c:pt>
                <c:pt idx="54">
                  <c:v>-0.52370000000000005</c:v>
                </c:pt>
                <c:pt idx="55">
                  <c:v>-0.26719999999999999</c:v>
                </c:pt>
                <c:pt idx="56">
                  <c:v>1.8782000000000001</c:v>
                </c:pt>
                <c:pt idx="57">
                  <c:v>0.87119999999999997</c:v>
                </c:pt>
                <c:pt idx="58">
                  <c:v>0.6734</c:v>
                </c:pt>
                <c:pt idx="59">
                  <c:v>0.57099999999999995</c:v>
                </c:pt>
                <c:pt idx="60">
                  <c:v>0.6542</c:v>
                </c:pt>
                <c:pt idx="61">
                  <c:v>0.62229999999999996</c:v>
                </c:pt>
                <c:pt idx="62">
                  <c:v>0.42430000000000001</c:v>
                </c:pt>
                <c:pt idx="63">
                  <c:v>0.53749999999999998</c:v>
                </c:pt>
                <c:pt idx="64">
                  <c:v>-1.7018</c:v>
                </c:pt>
                <c:pt idx="65">
                  <c:v>-1.0961000000000001</c:v>
                </c:pt>
                <c:pt idx="66">
                  <c:v>-0.79490000000000005</c:v>
                </c:pt>
                <c:pt idx="67">
                  <c:v>-0.6119</c:v>
                </c:pt>
                <c:pt idx="68">
                  <c:v>-0.80449999999999999</c:v>
                </c:pt>
                <c:pt idx="69">
                  <c:v>-0.61199999999999999</c:v>
                </c:pt>
                <c:pt idx="70">
                  <c:v>-0.70620000000000005</c:v>
                </c:pt>
                <c:pt idx="71">
                  <c:v>-0.41920000000000002</c:v>
                </c:pt>
                <c:pt idx="72">
                  <c:v>1.8782000000000001</c:v>
                </c:pt>
                <c:pt idx="73">
                  <c:v>0.87119999999999997</c:v>
                </c:pt>
                <c:pt idx="74">
                  <c:v>0.6734</c:v>
                </c:pt>
                <c:pt idx="75">
                  <c:v>0.57099999999999995</c:v>
                </c:pt>
                <c:pt idx="76">
                  <c:v>0.6542</c:v>
                </c:pt>
                <c:pt idx="77">
                  <c:v>0.62229999999999996</c:v>
                </c:pt>
                <c:pt idx="78">
                  <c:v>0.42430000000000001</c:v>
                </c:pt>
                <c:pt idx="79">
                  <c:v>0.53749999999999998</c:v>
                </c:pt>
                <c:pt idx="80">
                  <c:v>-1.7018</c:v>
                </c:pt>
                <c:pt idx="81">
                  <c:v>-1.0961000000000001</c:v>
                </c:pt>
                <c:pt idx="82">
                  <c:v>-0.79490000000000005</c:v>
                </c:pt>
                <c:pt idx="83">
                  <c:v>-0.6119</c:v>
                </c:pt>
                <c:pt idx="84">
                  <c:v>-0.80449999999999999</c:v>
                </c:pt>
                <c:pt idx="85">
                  <c:v>-0.61199999999999999</c:v>
                </c:pt>
                <c:pt idx="86">
                  <c:v>-0.70620000000000005</c:v>
                </c:pt>
                <c:pt idx="87">
                  <c:v>-0.41920000000000002</c:v>
                </c:pt>
                <c:pt idx="88">
                  <c:v>1.3382000000000001</c:v>
                </c:pt>
                <c:pt idx="89">
                  <c:v>0.53259999999999996</c:v>
                </c:pt>
                <c:pt idx="90">
                  <c:v>0.45050000000000001</c:v>
                </c:pt>
                <c:pt idx="91">
                  <c:v>0.3735</c:v>
                </c:pt>
                <c:pt idx="92">
                  <c:v>0.43559999999999999</c:v>
                </c:pt>
                <c:pt idx="93">
                  <c:v>0.4128</c:v>
                </c:pt>
                <c:pt idx="94">
                  <c:v>0.25090000000000001</c:v>
                </c:pt>
                <c:pt idx="95">
                  <c:v>0.39419999999999999</c:v>
                </c:pt>
                <c:pt idx="96">
                  <c:v>-1.0752999999999999</c:v>
                </c:pt>
                <c:pt idx="97">
                  <c:v>-0.79449999999999998</c:v>
                </c:pt>
                <c:pt idx="98">
                  <c:v>-0.54079999999999995</c:v>
                </c:pt>
                <c:pt idx="99">
                  <c:v>-0.4264</c:v>
                </c:pt>
                <c:pt idx="100">
                  <c:v>-0.54890000000000005</c:v>
                </c:pt>
                <c:pt idx="101">
                  <c:v>-0.4214</c:v>
                </c:pt>
                <c:pt idx="102">
                  <c:v>-0.51470000000000005</c:v>
                </c:pt>
                <c:pt idx="103">
                  <c:v>-0.25840000000000002</c:v>
                </c:pt>
                <c:pt idx="104">
                  <c:v>1.3382000000000001</c:v>
                </c:pt>
                <c:pt idx="105">
                  <c:v>0.53259999999999996</c:v>
                </c:pt>
                <c:pt idx="106">
                  <c:v>0.45050000000000001</c:v>
                </c:pt>
                <c:pt idx="107">
                  <c:v>0.3735</c:v>
                </c:pt>
                <c:pt idx="108">
                  <c:v>0.43559999999999999</c:v>
                </c:pt>
                <c:pt idx="109">
                  <c:v>0.4128</c:v>
                </c:pt>
                <c:pt idx="110">
                  <c:v>0.25090000000000001</c:v>
                </c:pt>
                <c:pt idx="111">
                  <c:v>0.39419999999999999</c:v>
                </c:pt>
                <c:pt idx="112">
                  <c:v>-1.0752999999999999</c:v>
                </c:pt>
                <c:pt idx="113">
                  <c:v>-0.79449999999999998</c:v>
                </c:pt>
                <c:pt idx="114">
                  <c:v>-0.54079999999999995</c:v>
                </c:pt>
                <c:pt idx="115">
                  <c:v>-0.4264</c:v>
                </c:pt>
                <c:pt idx="116">
                  <c:v>-0.54890000000000005</c:v>
                </c:pt>
                <c:pt idx="117">
                  <c:v>-0.4214</c:v>
                </c:pt>
                <c:pt idx="118">
                  <c:v>-0.51470000000000005</c:v>
                </c:pt>
                <c:pt idx="119">
                  <c:v>-0.25840000000000002</c:v>
                </c:pt>
                <c:pt idx="120">
                  <c:v>1.9215</c:v>
                </c:pt>
                <c:pt idx="121">
                  <c:v>0.85270000000000001</c:v>
                </c:pt>
                <c:pt idx="122">
                  <c:v>0.68899999999999995</c:v>
                </c:pt>
                <c:pt idx="123">
                  <c:v>0.56510000000000005</c:v>
                </c:pt>
                <c:pt idx="124">
                  <c:v>0.67279999999999995</c:v>
                </c:pt>
                <c:pt idx="125">
                  <c:v>0.6129</c:v>
                </c:pt>
                <c:pt idx="126">
                  <c:v>0.43330000000000002</c:v>
                </c:pt>
                <c:pt idx="127">
                  <c:v>0.54630000000000001</c:v>
                </c:pt>
                <c:pt idx="128">
                  <c:v>-1.6586000000000001</c:v>
                </c:pt>
                <c:pt idx="129">
                  <c:v>-1.1146</c:v>
                </c:pt>
                <c:pt idx="130">
                  <c:v>-0.77929999999999999</c:v>
                </c:pt>
                <c:pt idx="131">
                  <c:v>-0.6179</c:v>
                </c:pt>
                <c:pt idx="132">
                  <c:v>-0.78600000000000003</c:v>
                </c:pt>
                <c:pt idx="133">
                  <c:v>-0.62139999999999995</c:v>
                </c:pt>
                <c:pt idx="134">
                  <c:v>-0.69710000000000005</c:v>
                </c:pt>
                <c:pt idx="135">
                  <c:v>-0.41049999999999998</c:v>
                </c:pt>
                <c:pt idx="136">
                  <c:v>1.9215</c:v>
                </c:pt>
                <c:pt idx="137">
                  <c:v>0.85270000000000001</c:v>
                </c:pt>
                <c:pt idx="138">
                  <c:v>0.68899999999999995</c:v>
                </c:pt>
                <c:pt idx="139">
                  <c:v>0.56510000000000005</c:v>
                </c:pt>
                <c:pt idx="140">
                  <c:v>0.67279999999999995</c:v>
                </c:pt>
                <c:pt idx="141">
                  <c:v>0.6129</c:v>
                </c:pt>
                <c:pt idx="142">
                  <c:v>0.43330000000000002</c:v>
                </c:pt>
                <c:pt idx="143">
                  <c:v>0.54630000000000001</c:v>
                </c:pt>
                <c:pt idx="144">
                  <c:v>-1.6586000000000001</c:v>
                </c:pt>
                <c:pt idx="145">
                  <c:v>-1.1146</c:v>
                </c:pt>
                <c:pt idx="146">
                  <c:v>-0.77929999999999999</c:v>
                </c:pt>
                <c:pt idx="147">
                  <c:v>-0.6179</c:v>
                </c:pt>
                <c:pt idx="148">
                  <c:v>-0.78600000000000003</c:v>
                </c:pt>
                <c:pt idx="149">
                  <c:v>-0.62139999999999995</c:v>
                </c:pt>
                <c:pt idx="150">
                  <c:v>-0.69710000000000005</c:v>
                </c:pt>
                <c:pt idx="151">
                  <c:v>-0.41049999999999998</c:v>
                </c:pt>
                <c:pt idx="152">
                  <c:v>1.2614000000000001</c:v>
                </c:pt>
                <c:pt idx="153">
                  <c:v>0.57689999999999997</c:v>
                </c:pt>
                <c:pt idx="154">
                  <c:v>0.43309999999999998</c:v>
                </c:pt>
                <c:pt idx="155">
                  <c:v>0.38929999999999998</c:v>
                </c:pt>
                <c:pt idx="156">
                  <c:v>0.41489999999999999</c:v>
                </c:pt>
                <c:pt idx="157">
                  <c:v>0.43180000000000002</c:v>
                </c:pt>
                <c:pt idx="158">
                  <c:v>0.25059999999999999</c:v>
                </c:pt>
                <c:pt idx="159">
                  <c:v>0.39439999999999997</c:v>
                </c:pt>
                <c:pt idx="160">
                  <c:v>-1.1520999999999999</c:v>
                </c:pt>
                <c:pt idx="161">
                  <c:v>-0.75019999999999998</c:v>
                </c:pt>
                <c:pt idx="162">
                  <c:v>-0.55830000000000002</c:v>
                </c:pt>
                <c:pt idx="163">
                  <c:v>-0.41060000000000002</c:v>
                </c:pt>
                <c:pt idx="164">
                  <c:v>-0.5696</c:v>
                </c:pt>
                <c:pt idx="165">
                  <c:v>-0.40239999999999998</c:v>
                </c:pt>
                <c:pt idx="166">
                  <c:v>-0.51500000000000001</c:v>
                </c:pt>
                <c:pt idx="167">
                  <c:v>-0.25819999999999999</c:v>
                </c:pt>
                <c:pt idx="168">
                  <c:v>1.2614000000000001</c:v>
                </c:pt>
                <c:pt idx="169">
                  <c:v>0.57689999999999997</c:v>
                </c:pt>
                <c:pt idx="170">
                  <c:v>0.43309999999999998</c:v>
                </c:pt>
                <c:pt idx="171">
                  <c:v>0.38929999999999998</c:v>
                </c:pt>
                <c:pt idx="172">
                  <c:v>0.41489999999999999</c:v>
                </c:pt>
                <c:pt idx="173">
                  <c:v>0.43180000000000002</c:v>
                </c:pt>
                <c:pt idx="174">
                  <c:v>0.25059999999999999</c:v>
                </c:pt>
                <c:pt idx="175">
                  <c:v>0.39439999999999997</c:v>
                </c:pt>
                <c:pt idx="176">
                  <c:v>-1.1520999999999999</c:v>
                </c:pt>
                <c:pt idx="177">
                  <c:v>-0.75019999999999998</c:v>
                </c:pt>
                <c:pt idx="178">
                  <c:v>-0.55830000000000002</c:v>
                </c:pt>
                <c:pt idx="179">
                  <c:v>-0.41060000000000002</c:v>
                </c:pt>
                <c:pt idx="180">
                  <c:v>-0.5696</c:v>
                </c:pt>
                <c:pt idx="181">
                  <c:v>-0.40239999999999998</c:v>
                </c:pt>
                <c:pt idx="182">
                  <c:v>-0.51500000000000001</c:v>
                </c:pt>
                <c:pt idx="183">
                  <c:v>-0.25819999999999999</c:v>
                </c:pt>
                <c:pt idx="184">
                  <c:v>1.8447</c:v>
                </c:pt>
                <c:pt idx="185">
                  <c:v>0.89700000000000002</c:v>
                </c:pt>
                <c:pt idx="186">
                  <c:v>0.67159999999999997</c:v>
                </c:pt>
                <c:pt idx="187">
                  <c:v>0.58079999999999998</c:v>
                </c:pt>
                <c:pt idx="188">
                  <c:v>0.65200000000000002</c:v>
                </c:pt>
                <c:pt idx="189">
                  <c:v>0.63190000000000002</c:v>
                </c:pt>
                <c:pt idx="190">
                  <c:v>0.43309999999999998</c:v>
                </c:pt>
                <c:pt idx="191">
                  <c:v>0.54649999999999999</c:v>
                </c:pt>
                <c:pt idx="192">
                  <c:v>-1.7354000000000001</c:v>
                </c:pt>
                <c:pt idx="193">
                  <c:v>-1.0703</c:v>
                </c:pt>
                <c:pt idx="194">
                  <c:v>-0.79679999999999995</c:v>
                </c:pt>
                <c:pt idx="195">
                  <c:v>-0.60219999999999996</c:v>
                </c:pt>
                <c:pt idx="196">
                  <c:v>-0.80669999999999997</c:v>
                </c:pt>
                <c:pt idx="197">
                  <c:v>-0.60240000000000005</c:v>
                </c:pt>
                <c:pt idx="198">
                  <c:v>-0.69740000000000002</c:v>
                </c:pt>
                <c:pt idx="199">
                  <c:v>-0.4103</c:v>
                </c:pt>
                <c:pt idx="200">
                  <c:v>1.8447</c:v>
                </c:pt>
                <c:pt idx="201">
                  <c:v>0.89700000000000002</c:v>
                </c:pt>
                <c:pt idx="202">
                  <c:v>0.67159999999999997</c:v>
                </c:pt>
                <c:pt idx="203">
                  <c:v>0.58079999999999998</c:v>
                </c:pt>
                <c:pt idx="204">
                  <c:v>0.65200000000000002</c:v>
                </c:pt>
                <c:pt idx="205">
                  <c:v>0.63190000000000002</c:v>
                </c:pt>
                <c:pt idx="206">
                  <c:v>0.43309999999999998</c:v>
                </c:pt>
                <c:pt idx="207">
                  <c:v>0.54649999999999999</c:v>
                </c:pt>
                <c:pt idx="208">
                  <c:v>-1.7354000000000001</c:v>
                </c:pt>
                <c:pt idx="209">
                  <c:v>-1.0703</c:v>
                </c:pt>
                <c:pt idx="210">
                  <c:v>-0.79679999999999995</c:v>
                </c:pt>
                <c:pt idx="211">
                  <c:v>-0.60219999999999996</c:v>
                </c:pt>
                <c:pt idx="212">
                  <c:v>-0.80669999999999997</c:v>
                </c:pt>
                <c:pt idx="213">
                  <c:v>-0.60240000000000005</c:v>
                </c:pt>
                <c:pt idx="214">
                  <c:v>-0.69740000000000002</c:v>
                </c:pt>
                <c:pt idx="215">
                  <c:v>-0.4103</c:v>
                </c:pt>
                <c:pt idx="216">
                  <c:v>1.2754000000000001</c:v>
                </c:pt>
                <c:pt idx="217">
                  <c:v>0.58960000000000001</c:v>
                </c:pt>
                <c:pt idx="218">
                  <c:v>0.46250000000000002</c:v>
                </c:pt>
                <c:pt idx="219">
                  <c:v>0.38829999999999998</c:v>
                </c:pt>
                <c:pt idx="220">
                  <c:v>0.45079999999999998</c:v>
                </c:pt>
                <c:pt idx="221">
                  <c:v>0.4209</c:v>
                </c:pt>
                <c:pt idx="222">
                  <c:v>0.2964</c:v>
                </c:pt>
                <c:pt idx="223">
                  <c:v>0.37930000000000003</c:v>
                </c:pt>
                <c:pt idx="224">
                  <c:v>-1.1380999999999999</c:v>
                </c:pt>
                <c:pt idx="225">
                  <c:v>-0.73750000000000004</c:v>
                </c:pt>
                <c:pt idx="226">
                  <c:v>-0.52890000000000004</c:v>
                </c:pt>
                <c:pt idx="227">
                  <c:v>-0.41149999999999998</c:v>
                </c:pt>
                <c:pt idx="228">
                  <c:v>-0.53369999999999995</c:v>
                </c:pt>
                <c:pt idx="229">
                  <c:v>-0.4133</c:v>
                </c:pt>
                <c:pt idx="230">
                  <c:v>-0.46910000000000002</c:v>
                </c:pt>
                <c:pt idx="231">
                  <c:v>-0.27329999999999999</c:v>
                </c:pt>
                <c:pt idx="232">
                  <c:v>1.2754000000000001</c:v>
                </c:pt>
                <c:pt idx="233">
                  <c:v>0.58960000000000001</c:v>
                </c:pt>
                <c:pt idx="234">
                  <c:v>0.46250000000000002</c:v>
                </c:pt>
                <c:pt idx="235">
                  <c:v>0.38829999999999998</c:v>
                </c:pt>
                <c:pt idx="236">
                  <c:v>0.45079999999999998</c:v>
                </c:pt>
                <c:pt idx="237">
                  <c:v>0.4209</c:v>
                </c:pt>
                <c:pt idx="238">
                  <c:v>0.2964</c:v>
                </c:pt>
                <c:pt idx="239">
                  <c:v>0.37930000000000003</c:v>
                </c:pt>
                <c:pt idx="240">
                  <c:v>-1.1380999999999999</c:v>
                </c:pt>
                <c:pt idx="241">
                  <c:v>-0.73750000000000004</c:v>
                </c:pt>
                <c:pt idx="242">
                  <c:v>-0.52890000000000004</c:v>
                </c:pt>
                <c:pt idx="243">
                  <c:v>-0.41149999999999998</c:v>
                </c:pt>
                <c:pt idx="244">
                  <c:v>-0.53369999999999995</c:v>
                </c:pt>
                <c:pt idx="245">
                  <c:v>-0.4133</c:v>
                </c:pt>
                <c:pt idx="246">
                  <c:v>-0.46910000000000002</c:v>
                </c:pt>
                <c:pt idx="247">
                  <c:v>-0.27329999999999999</c:v>
                </c:pt>
                <c:pt idx="248">
                  <c:v>1.8587</c:v>
                </c:pt>
                <c:pt idx="249">
                  <c:v>0.90969999999999995</c:v>
                </c:pt>
                <c:pt idx="250">
                  <c:v>0.70089999999999997</c:v>
                </c:pt>
                <c:pt idx="251">
                  <c:v>0.57989999999999997</c:v>
                </c:pt>
                <c:pt idx="252">
                  <c:v>0.68789999999999996</c:v>
                </c:pt>
                <c:pt idx="253">
                  <c:v>0.621</c:v>
                </c:pt>
                <c:pt idx="254">
                  <c:v>0.47889999999999999</c:v>
                </c:pt>
                <c:pt idx="255">
                  <c:v>0.53139999999999998</c:v>
                </c:pt>
                <c:pt idx="256">
                  <c:v>-1.7214</c:v>
                </c:pt>
                <c:pt idx="257">
                  <c:v>-1.0576000000000001</c:v>
                </c:pt>
                <c:pt idx="258">
                  <c:v>-0.76739999999999997</c:v>
                </c:pt>
                <c:pt idx="259">
                  <c:v>-0.60309999999999997</c:v>
                </c:pt>
                <c:pt idx="260">
                  <c:v>-0.77080000000000004</c:v>
                </c:pt>
                <c:pt idx="261">
                  <c:v>-0.61329999999999996</c:v>
                </c:pt>
                <c:pt idx="262">
                  <c:v>-0.65159999999999996</c:v>
                </c:pt>
                <c:pt idx="263">
                  <c:v>-0.4254</c:v>
                </c:pt>
                <c:pt idx="264">
                  <c:v>1.8587</c:v>
                </c:pt>
                <c:pt idx="265">
                  <c:v>0.90969999999999995</c:v>
                </c:pt>
                <c:pt idx="266">
                  <c:v>0.70089999999999997</c:v>
                </c:pt>
                <c:pt idx="267">
                  <c:v>0.57989999999999997</c:v>
                </c:pt>
                <c:pt idx="268">
                  <c:v>0.68789999999999996</c:v>
                </c:pt>
                <c:pt idx="269">
                  <c:v>0.621</c:v>
                </c:pt>
                <c:pt idx="270">
                  <c:v>0.47889999999999999</c:v>
                </c:pt>
                <c:pt idx="271">
                  <c:v>0.53139999999999998</c:v>
                </c:pt>
                <c:pt idx="272">
                  <c:v>-1.7214</c:v>
                </c:pt>
                <c:pt idx="273">
                  <c:v>-1.0576000000000001</c:v>
                </c:pt>
                <c:pt idx="274">
                  <c:v>-0.76739999999999997</c:v>
                </c:pt>
                <c:pt idx="275">
                  <c:v>-0.60309999999999997</c:v>
                </c:pt>
                <c:pt idx="276">
                  <c:v>-0.77080000000000004</c:v>
                </c:pt>
                <c:pt idx="277">
                  <c:v>-0.61329999999999996</c:v>
                </c:pt>
                <c:pt idx="278">
                  <c:v>-0.65159999999999996</c:v>
                </c:pt>
                <c:pt idx="279">
                  <c:v>-0.4254</c:v>
                </c:pt>
                <c:pt idx="280">
                  <c:v>-0.40279999999999999</c:v>
                </c:pt>
                <c:pt idx="281">
                  <c:v>0.25740000000000002</c:v>
                </c:pt>
                <c:pt idx="282">
                  <c:v>1.2999999999999999E-2</c:v>
                </c:pt>
                <c:pt idx="283">
                  <c:v>8.0000000000000002E-3</c:v>
                </c:pt>
                <c:pt idx="284">
                  <c:v>8.7800000000000003E-2</c:v>
                </c:pt>
                <c:pt idx="285">
                  <c:v>6.13E-2</c:v>
                </c:pt>
                <c:pt idx="286">
                  <c:v>0.64119999999999999</c:v>
                </c:pt>
                <c:pt idx="287">
                  <c:v>-2.1025</c:v>
                </c:pt>
                <c:pt idx="288">
                  <c:v>-0.3458</c:v>
                </c:pt>
                <c:pt idx="289">
                  <c:v>0.23330000000000001</c:v>
                </c:pt>
                <c:pt idx="290">
                  <c:v>1.4500000000000001E-2</c:v>
                </c:pt>
                <c:pt idx="291">
                  <c:v>2.1999999999999999E-2</c:v>
                </c:pt>
                <c:pt idx="292">
                  <c:v>5.5800000000000002E-2</c:v>
                </c:pt>
                <c:pt idx="293">
                  <c:v>4.53E-2</c:v>
                </c:pt>
                <c:pt idx="294">
                  <c:v>0.4133</c:v>
                </c:pt>
                <c:pt idx="295">
                  <c:v>-1.1934</c:v>
                </c:pt>
                <c:pt idx="296">
                  <c:v>-0.35920000000000002</c:v>
                </c:pt>
                <c:pt idx="297">
                  <c:v>0.223</c:v>
                </c:pt>
                <c:pt idx="298">
                  <c:v>1.54E-2</c:v>
                </c:pt>
                <c:pt idx="299">
                  <c:v>-6.0000000000000001E-3</c:v>
                </c:pt>
                <c:pt idx="300">
                  <c:v>9.2700000000000005E-2</c:v>
                </c:pt>
                <c:pt idx="301">
                  <c:v>4.99E-2</c:v>
                </c:pt>
                <c:pt idx="302">
                  <c:v>0.64329999999999998</c:v>
                </c:pt>
                <c:pt idx="303">
                  <c:v>-2.1724999999999999</c:v>
                </c:pt>
                <c:pt idx="304">
                  <c:v>0.86480000000000001</c:v>
                </c:pt>
                <c:pt idx="305">
                  <c:v>0.88370000000000004</c:v>
                </c:pt>
                <c:pt idx="306">
                  <c:v>0.5081</c:v>
                </c:pt>
                <c:pt idx="307">
                  <c:v>0.40760000000000002</c:v>
                </c:pt>
                <c:pt idx="308">
                  <c:v>0.56779999999999997</c:v>
                </c:pt>
                <c:pt idx="309">
                  <c:v>0.46689999999999998</c:v>
                </c:pt>
                <c:pt idx="310">
                  <c:v>0.92620000000000002</c:v>
                </c:pt>
                <c:pt idx="311">
                  <c:v>-1.3889</c:v>
                </c:pt>
                <c:pt idx="312">
                  <c:v>-1.5499000000000001</c:v>
                </c:pt>
                <c:pt idx="313">
                  <c:v>-0.44409999999999999</c:v>
                </c:pt>
                <c:pt idx="314">
                  <c:v>-0.4839</c:v>
                </c:pt>
                <c:pt idx="315">
                  <c:v>-0.39329999999999998</c:v>
                </c:pt>
                <c:pt idx="316">
                  <c:v>-0.41980000000000001</c:v>
                </c:pt>
                <c:pt idx="317">
                  <c:v>-0.36609999999999998</c:v>
                </c:pt>
                <c:pt idx="318">
                  <c:v>0.1459</c:v>
                </c:pt>
                <c:pt idx="319">
                  <c:v>-2.0985</c:v>
                </c:pt>
                <c:pt idx="320">
                  <c:v>0.86480000000000001</c:v>
                </c:pt>
                <c:pt idx="321">
                  <c:v>0.88370000000000004</c:v>
                </c:pt>
                <c:pt idx="322">
                  <c:v>0.5081</c:v>
                </c:pt>
                <c:pt idx="323">
                  <c:v>0.40760000000000002</c:v>
                </c:pt>
                <c:pt idx="324">
                  <c:v>0.56779999999999997</c:v>
                </c:pt>
                <c:pt idx="325">
                  <c:v>0.46689999999999998</c:v>
                </c:pt>
                <c:pt idx="326">
                  <c:v>0.92620000000000002</c:v>
                </c:pt>
                <c:pt idx="327">
                  <c:v>-1.3889</c:v>
                </c:pt>
                <c:pt idx="328">
                  <c:v>-1.5499000000000001</c:v>
                </c:pt>
                <c:pt idx="329">
                  <c:v>-0.44409999999999999</c:v>
                </c:pt>
                <c:pt idx="330">
                  <c:v>-0.4839</c:v>
                </c:pt>
                <c:pt idx="331">
                  <c:v>-0.39329999999999998</c:v>
                </c:pt>
                <c:pt idx="332">
                  <c:v>-0.41980000000000001</c:v>
                </c:pt>
                <c:pt idx="333">
                  <c:v>-0.36609999999999998</c:v>
                </c:pt>
                <c:pt idx="334">
                  <c:v>0.1459</c:v>
                </c:pt>
                <c:pt idx="335">
                  <c:v>-2.0985</c:v>
                </c:pt>
                <c:pt idx="336">
                  <c:v>1.4482999999999999</c:v>
                </c:pt>
                <c:pt idx="337">
                  <c:v>1.204</c:v>
                </c:pt>
                <c:pt idx="338">
                  <c:v>0.74670000000000003</c:v>
                </c:pt>
                <c:pt idx="339">
                  <c:v>0.59930000000000005</c:v>
                </c:pt>
                <c:pt idx="340">
                  <c:v>0.80569999999999997</c:v>
                </c:pt>
                <c:pt idx="341">
                  <c:v>0.66669999999999996</c:v>
                </c:pt>
                <c:pt idx="342">
                  <c:v>1.1123000000000001</c:v>
                </c:pt>
                <c:pt idx="343">
                  <c:v>-1.2224999999999999</c:v>
                </c:pt>
                <c:pt idx="344">
                  <c:v>-2.1335000000000002</c:v>
                </c:pt>
                <c:pt idx="345">
                  <c:v>-0.76439999999999997</c:v>
                </c:pt>
                <c:pt idx="346">
                  <c:v>-0.72250000000000003</c:v>
                </c:pt>
                <c:pt idx="347">
                  <c:v>-0.58499999999999996</c:v>
                </c:pt>
                <c:pt idx="348">
                  <c:v>-0.65780000000000005</c:v>
                </c:pt>
                <c:pt idx="349">
                  <c:v>-0.56579999999999997</c:v>
                </c:pt>
                <c:pt idx="350">
                  <c:v>-4.0300000000000002E-2</c:v>
                </c:pt>
                <c:pt idx="351">
                  <c:v>-2.2648999999999999</c:v>
                </c:pt>
                <c:pt idx="352">
                  <c:v>1.4482999999999999</c:v>
                </c:pt>
                <c:pt idx="353">
                  <c:v>1.204</c:v>
                </c:pt>
                <c:pt idx="354">
                  <c:v>0.74670000000000003</c:v>
                </c:pt>
                <c:pt idx="355">
                  <c:v>0.59930000000000005</c:v>
                </c:pt>
                <c:pt idx="356">
                  <c:v>0.80569999999999997</c:v>
                </c:pt>
                <c:pt idx="357">
                  <c:v>0.66669999999999996</c:v>
                </c:pt>
                <c:pt idx="358">
                  <c:v>1.1123000000000001</c:v>
                </c:pt>
                <c:pt idx="359">
                  <c:v>-1.2224999999999999</c:v>
                </c:pt>
                <c:pt idx="360">
                  <c:v>-2.1335000000000002</c:v>
                </c:pt>
                <c:pt idx="361">
                  <c:v>-0.76439999999999997</c:v>
                </c:pt>
                <c:pt idx="362">
                  <c:v>-0.72250000000000003</c:v>
                </c:pt>
                <c:pt idx="363">
                  <c:v>-0.58499999999999996</c:v>
                </c:pt>
                <c:pt idx="364">
                  <c:v>-0.65780000000000005</c:v>
                </c:pt>
                <c:pt idx="365">
                  <c:v>-0.56579999999999997</c:v>
                </c:pt>
                <c:pt idx="366">
                  <c:v>-4.0300000000000002E-2</c:v>
                </c:pt>
                <c:pt idx="367">
                  <c:v>-2.2648999999999999</c:v>
                </c:pt>
                <c:pt idx="368">
                  <c:v>0.90669999999999995</c:v>
                </c:pt>
                <c:pt idx="369">
                  <c:v>0.86599999999999999</c:v>
                </c:pt>
                <c:pt idx="370">
                  <c:v>0.50919999999999999</c:v>
                </c:pt>
                <c:pt idx="371">
                  <c:v>0.4178</c:v>
                </c:pt>
                <c:pt idx="372">
                  <c:v>0.54430000000000001</c:v>
                </c:pt>
                <c:pt idx="373">
                  <c:v>0.45519999999999999</c:v>
                </c:pt>
                <c:pt idx="374">
                  <c:v>0.75860000000000005</c:v>
                </c:pt>
                <c:pt idx="375">
                  <c:v>-0.72040000000000004</c:v>
                </c:pt>
                <c:pt idx="376">
                  <c:v>-1.508</c:v>
                </c:pt>
                <c:pt idx="377">
                  <c:v>-0.46179999999999999</c:v>
                </c:pt>
                <c:pt idx="378">
                  <c:v>-0.48280000000000001</c:v>
                </c:pt>
                <c:pt idx="379">
                  <c:v>-0.38300000000000001</c:v>
                </c:pt>
                <c:pt idx="380">
                  <c:v>-0.44330000000000003</c:v>
                </c:pt>
                <c:pt idx="381">
                  <c:v>-0.37780000000000002</c:v>
                </c:pt>
                <c:pt idx="382">
                  <c:v>-2.1700000000000001E-2</c:v>
                </c:pt>
                <c:pt idx="383">
                  <c:v>-1.43</c:v>
                </c:pt>
                <c:pt idx="384">
                  <c:v>0.90669999999999995</c:v>
                </c:pt>
                <c:pt idx="385">
                  <c:v>0.86599999999999999</c:v>
                </c:pt>
                <c:pt idx="386">
                  <c:v>0.50919999999999999</c:v>
                </c:pt>
                <c:pt idx="387">
                  <c:v>0.4178</c:v>
                </c:pt>
                <c:pt idx="388">
                  <c:v>0.54430000000000001</c:v>
                </c:pt>
                <c:pt idx="389">
                  <c:v>0.45519999999999999</c:v>
                </c:pt>
                <c:pt idx="390">
                  <c:v>0.75860000000000005</c:v>
                </c:pt>
                <c:pt idx="391">
                  <c:v>-0.72040000000000004</c:v>
                </c:pt>
                <c:pt idx="392">
                  <c:v>-1.508</c:v>
                </c:pt>
                <c:pt idx="393">
                  <c:v>-0.46179999999999999</c:v>
                </c:pt>
                <c:pt idx="394">
                  <c:v>-0.48280000000000001</c:v>
                </c:pt>
                <c:pt idx="395">
                  <c:v>-0.38300000000000001</c:v>
                </c:pt>
                <c:pt idx="396">
                  <c:v>-0.44330000000000003</c:v>
                </c:pt>
                <c:pt idx="397">
                  <c:v>-0.37780000000000002</c:v>
                </c:pt>
                <c:pt idx="398">
                  <c:v>-2.1700000000000001E-2</c:v>
                </c:pt>
                <c:pt idx="399">
                  <c:v>-1.43</c:v>
                </c:pt>
                <c:pt idx="400">
                  <c:v>1.4903</c:v>
                </c:pt>
                <c:pt idx="401">
                  <c:v>1.1862999999999999</c:v>
                </c:pt>
                <c:pt idx="402">
                  <c:v>0.74790000000000001</c:v>
                </c:pt>
                <c:pt idx="403">
                  <c:v>0.60960000000000003</c:v>
                </c:pt>
                <c:pt idx="404">
                  <c:v>0.78220000000000001</c:v>
                </c:pt>
                <c:pt idx="405">
                  <c:v>0.65500000000000003</c:v>
                </c:pt>
                <c:pt idx="406">
                  <c:v>0.94479999999999997</c:v>
                </c:pt>
                <c:pt idx="407">
                  <c:v>-0.55400000000000005</c:v>
                </c:pt>
                <c:pt idx="408">
                  <c:v>-2.0914999999999999</c:v>
                </c:pt>
                <c:pt idx="409">
                  <c:v>-0.78210000000000002</c:v>
                </c:pt>
                <c:pt idx="410">
                  <c:v>-0.72140000000000004</c:v>
                </c:pt>
                <c:pt idx="411">
                  <c:v>-0.57479999999999998</c:v>
                </c:pt>
                <c:pt idx="412">
                  <c:v>-0.68130000000000002</c:v>
                </c:pt>
                <c:pt idx="413">
                  <c:v>-0.57750000000000001</c:v>
                </c:pt>
                <c:pt idx="414">
                  <c:v>-0.20780000000000001</c:v>
                </c:pt>
                <c:pt idx="415">
                  <c:v>-1.5964</c:v>
                </c:pt>
                <c:pt idx="416">
                  <c:v>1.4903</c:v>
                </c:pt>
                <c:pt idx="417">
                  <c:v>1.1862999999999999</c:v>
                </c:pt>
                <c:pt idx="418">
                  <c:v>0.74790000000000001</c:v>
                </c:pt>
                <c:pt idx="419">
                  <c:v>0.60960000000000003</c:v>
                </c:pt>
                <c:pt idx="420">
                  <c:v>0.78220000000000001</c:v>
                </c:pt>
                <c:pt idx="421">
                  <c:v>0.65500000000000003</c:v>
                </c:pt>
                <c:pt idx="422">
                  <c:v>0.94479999999999997</c:v>
                </c:pt>
                <c:pt idx="423">
                  <c:v>-0.55400000000000005</c:v>
                </c:pt>
                <c:pt idx="424">
                  <c:v>-2.0914999999999999</c:v>
                </c:pt>
                <c:pt idx="425">
                  <c:v>-0.78210000000000002</c:v>
                </c:pt>
                <c:pt idx="426">
                  <c:v>-0.72140000000000004</c:v>
                </c:pt>
                <c:pt idx="427">
                  <c:v>-0.57479999999999998</c:v>
                </c:pt>
                <c:pt idx="428">
                  <c:v>-0.68130000000000002</c:v>
                </c:pt>
                <c:pt idx="429">
                  <c:v>-0.57750000000000001</c:v>
                </c:pt>
                <c:pt idx="430">
                  <c:v>-0.20780000000000001</c:v>
                </c:pt>
                <c:pt idx="431">
                  <c:v>-1.5964</c:v>
                </c:pt>
                <c:pt idx="432">
                  <c:v>0.89680000000000004</c:v>
                </c:pt>
                <c:pt idx="433">
                  <c:v>0.85840000000000005</c:v>
                </c:pt>
                <c:pt idx="434">
                  <c:v>0.50980000000000003</c:v>
                </c:pt>
                <c:pt idx="435">
                  <c:v>0.3972</c:v>
                </c:pt>
                <c:pt idx="436">
                  <c:v>0.57140000000000002</c:v>
                </c:pt>
                <c:pt idx="437">
                  <c:v>0.45860000000000001</c:v>
                </c:pt>
                <c:pt idx="438">
                  <c:v>0.92769999999999997</c:v>
                </c:pt>
                <c:pt idx="439">
                  <c:v>-1.4403999999999999</c:v>
                </c:pt>
                <c:pt idx="440">
                  <c:v>-1.5178</c:v>
                </c:pt>
                <c:pt idx="441">
                  <c:v>-0.46939999999999998</c:v>
                </c:pt>
                <c:pt idx="442">
                  <c:v>-0.48220000000000002</c:v>
                </c:pt>
                <c:pt idx="443">
                  <c:v>-0.40360000000000001</c:v>
                </c:pt>
                <c:pt idx="444">
                  <c:v>-0.41620000000000001</c:v>
                </c:pt>
                <c:pt idx="445">
                  <c:v>-0.37440000000000001</c:v>
                </c:pt>
                <c:pt idx="446">
                  <c:v>0.1474</c:v>
                </c:pt>
                <c:pt idx="447">
                  <c:v>-2.15</c:v>
                </c:pt>
                <c:pt idx="448">
                  <c:v>0.89680000000000004</c:v>
                </c:pt>
                <c:pt idx="449">
                  <c:v>0.85840000000000005</c:v>
                </c:pt>
                <c:pt idx="450">
                  <c:v>0.50980000000000003</c:v>
                </c:pt>
                <c:pt idx="451">
                  <c:v>0.3972</c:v>
                </c:pt>
                <c:pt idx="452">
                  <c:v>0.57140000000000002</c:v>
                </c:pt>
                <c:pt idx="453">
                  <c:v>0.45860000000000001</c:v>
                </c:pt>
                <c:pt idx="454">
                  <c:v>0.92769999999999997</c:v>
                </c:pt>
                <c:pt idx="455">
                  <c:v>-1.4403999999999999</c:v>
                </c:pt>
                <c:pt idx="456">
                  <c:v>-1.5178</c:v>
                </c:pt>
                <c:pt idx="457">
                  <c:v>-0.46939999999999998</c:v>
                </c:pt>
                <c:pt idx="458">
                  <c:v>-0.48220000000000002</c:v>
                </c:pt>
                <c:pt idx="459">
                  <c:v>-0.40360000000000001</c:v>
                </c:pt>
                <c:pt idx="460">
                  <c:v>-0.41620000000000001</c:v>
                </c:pt>
                <c:pt idx="461">
                  <c:v>-0.37440000000000001</c:v>
                </c:pt>
                <c:pt idx="462">
                  <c:v>0.1474</c:v>
                </c:pt>
                <c:pt idx="463">
                  <c:v>-2.15</c:v>
                </c:pt>
                <c:pt idx="464">
                  <c:v>1.4803999999999999</c:v>
                </c:pt>
                <c:pt idx="465">
                  <c:v>1.1787000000000001</c:v>
                </c:pt>
                <c:pt idx="466">
                  <c:v>0.74850000000000005</c:v>
                </c:pt>
                <c:pt idx="467">
                  <c:v>0.58899999999999997</c:v>
                </c:pt>
                <c:pt idx="468">
                  <c:v>0.80930000000000002</c:v>
                </c:pt>
                <c:pt idx="469">
                  <c:v>0.6583</c:v>
                </c:pt>
                <c:pt idx="470">
                  <c:v>1.1137999999999999</c:v>
                </c:pt>
                <c:pt idx="471">
                  <c:v>-1.274</c:v>
                </c:pt>
                <c:pt idx="472">
                  <c:v>-2.1013999999999999</c:v>
                </c:pt>
                <c:pt idx="473">
                  <c:v>-0.78969999999999996</c:v>
                </c:pt>
                <c:pt idx="474">
                  <c:v>-0.7208</c:v>
                </c:pt>
                <c:pt idx="475">
                  <c:v>-0.59540000000000004</c:v>
                </c:pt>
                <c:pt idx="476">
                  <c:v>-0.65410000000000001</c:v>
                </c:pt>
                <c:pt idx="477">
                  <c:v>-0.57420000000000004</c:v>
                </c:pt>
                <c:pt idx="478">
                  <c:v>-3.8800000000000001E-2</c:v>
                </c:pt>
                <c:pt idx="479">
                  <c:v>-2.3163999999999998</c:v>
                </c:pt>
                <c:pt idx="480">
                  <c:v>1.4803999999999999</c:v>
                </c:pt>
                <c:pt idx="481">
                  <c:v>1.1787000000000001</c:v>
                </c:pt>
                <c:pt idx="482">
                  <c:v>0.74850000000000005</c:v>
                </c:pt>
                <c:pt idx="483">
                  <c:v>0.58899999999999997</c:v>
                </c:pt>
                <c:pt idx="484">
                  <c:v>0.80930000000000002</c:v>
                </c:pt>
                <c:pt idx="485">
                  <c:v>0.6583</c:v>
                </c:pt>
                <c:pt idx="486">
                  <c:v>1.1137999999999999</c:v>
                </c:pt>
                <c:pt idx="487">
                  <c:v>-1.274</c:v>
                </c:pt>
                <c:pt idx="488">
                  <c:v>-2.1013999999999999</c:v>
                </c:pt>
                <c:pt idx="489">
                  <c:v>-0.78969999999999996</c:v>
                </c:pt>
                <c:pt idx="490">
                  <c:v>-0.7208</c:v>
                </c:pt>
                <c:pt idx="491">
                  <c:v>-0.59540000000000004</c:v>
                </c:pt>
                <c:pt idx="492">
                  <c:v>-0.65410000000000001</c:v>
                </c:pt>
                <c:pt idx="493">
                  <c:v>-0.57420000000000004</c:v>
                </c:pt>
                <c:pt idx="494">
                  <c:v>-3.8800000000000001E-2</c:v>
                </c:pt>
                <c:pt idx="495">
                  <c:v>-2.3163999999999998</c:v>
                </c:pt>
                <c:pt idx="496">
                  <c:v>1.0181</c:v>
                </c:pt>
                <c:pt idx="497">
                  <c:v>0.78859999999999997</c:v>
                </c:pt>
                <c:pt idx="498">
                  <c:v>0.50639999999999996</c:v>
                </c:pt>
                <c:pt idx="499">
                  <c:v>0.40560000000000002</c:v>
                </c:pt>
                <c:pt idx="500">
                  <c:v>0.53239999999999998</c:v>
                </c:pt>
                <c:pt idx="501">
                  <c:v>0.4385</c:v>
                </c:pt>
                <c:pt idx="502">
                  <c:v>0.65339999999999998</c:v>
                </c:pt>
                <c:pt idx="503">
                  <c:v>-0.45190000000000002</c:v>
                </c:pt>
                <c:pt idx="504">
                  <c:v>-1.3965000000000001</c:v>
                </c:pt>
                <c:pt idx="505">
                  <c:v>-0.5393</c:v>
                </c:pt>
                <c:pt idx="506">
                  <c:v>-0.48559999999999998</c:v>
                </c:pt>
                <c:pt idx="507">
                  <c:v>-0.39529999999999998</c:v>
                </c:pt>
                <c:pt idx="508">
                  <c:v>-0.45529999999999998</c:v>
                </c:pt>
                <c:pt idx="509">
                  <c:v>-0.39450000000000002</c:v>
                </c:pt>
                <c:pt idx="510">
                  <c:v>-0.12690000000000001</c:v>
                </c:pt>
                <c:pt idx="511">
                  <c:v>-1.1616</c:v>
                </c:pt>
                <c:pt idx="512">
                  <c:v>1.0181</c:v>
                </c:pt>
                <c:pt idx="513">
                  <c:v>0.78859999999999997</c:v>
                </c:pt>
                <c:pt idx="514">
                  <c:v>0.50639999999999996</c:v>
                </c:pt>
                <c:pt idx="515">
                  <c:v>0.40560000000000002</c:v>
                </c:pt>
                <c:pt idx="516">
                  <c:v>0.53239999999999998</c:v>
                </c:pt>
                <c:pt idx="517">
                  <c:v>0.4385</c:v>
                </c:pt>
                <c:pt idx="518">
                  <c:v>0.65339999999999998</c:v>
                </c:pt>
                <c:pt idx="519">
                  <c:v>-0.45190000000000002</c:v>
                </c:pt>
                <c:pt idx="520">
                  <c:v>-1.3965000000000001</c:v>
                </c:pt>
                <c:pt idx="521">
                  <c:v>-0.5393</c:v>
                </c:pt>
                <c:pt idx="522">
                  <c:v>-0.48559999999999998</c:v>
                </c:pt>
                <c:pt idx="523">
                  <c:v>-0.39529999999999998</c:v>
                </c:pt>
                <c:pt idx="524">
                  <c:v>-0.45529999999999998</c:v>
                </c:pt>
                <c:pt idx="525">
                  <c:v>-0.39450000000000002</c:v>
                </c:pt>
                <c:pt idx="526">
                  <c:v>-0.12690000000000001</c:v>
                </c:pt>
                <c:pt idx="527">
                  <c:v>-1.1616</c:v>
                </c:pt>
                <c:pt idx="528">
                  <c:v>1.6016999999999999</c:v>
                </c:pt>
                <c:pt idx="529">
                  <c:v>1.1088</c:v>
                </c:pt>
                <c:pt idx="530">
                  <c:v>0.745</c:v>
                </c:pt>
                <c:pt idx="531">
                  <c:v>0.59730000000000005</c:v>
                </c:pt>
                <c:pt idx="532">
                  <c:v>0.77029999999999998</c:v>
                </c:pt>
                <c:pt idx="533">
                  <c:v>0.63819999999999999</c:v>
                </c:pt>
                <c:pt idx="534">
                  <c:v>0.83960000000000001</c:v>
                </c:pt>
                <c:pt idx="535">
                  <c:v>-0.28549999999999998</c:v>
                </c:pt>
                <c:pt idx="536">
                  <c:v>-1.9801</c:v>
                </c:pt>
                <c:pt idx="537">
                  <c:v>-0.85960000000000003</c:v>
                </c:pt>
                <c:pt idx="538">
                  <c:v>-0.72430000000000005</c:v>
                </c:pt>
                <c:pt idx="539">
                  <c:v>-0.58699999999999997</c:v>
                </c:pt>
                <c:pt idx="540">
                  <c:v>-0.69320000000000004</c:v>
                </c:pt>
                <c:pt idx="541">
                  <c:v>-0.59430000000000005</c:v>
                </c:pt>
                <c:pt idx="542">
                  <c:v>-0.313</c:v>
                </c:pt>
                <c:pt idx="543">
                  <c:v>-1.3280000000000001</c:v>
                </c:pt>
                <c:pt idx="544">
                  <c:v>1.6016999999999999</c:v>
                </c:pt>
                <c:pt idx="545">
                  <c:v>1.1088</c:v>
                </c:pt>
                <c:pt idx="546">
                  <c:v>0.745</c:v>
                </c:pt>
                <c:pt idx="547">
                  <c:v>0.59730000000000005</c:v>
                </c:pt>
                <c:pt idx="548">
                  <c:v>0.77029999999999998</c:v>
                </c:pt>
                <c:pt idx="549">
                  <c:v>0.63819999999999999</c:v>
                </c:pt>
                <c:pt idx="550">
                  <c:v>0.83960000000000001</c:v>
                </c:pt>
                <c:pt idx="551">
                  <c:v>-0.28549999999999998</c:v>
                </c:pt>
                <c:pt idx="552">
                  <c:v>-1.9801</c:v>
                </c:pt>
                <c:pt idx="553">
                  <c:v>-0.85960000000000003</c:v>
                </c:pt>
                <c:pt idx="554">
                  <c:v>-0.72430000000000005</c:v>
                </c:pt>
                <c:pt idx="555">
                  <c:v>-0.58699999999999997</c:v>
                </c:pt>
                <c:pt idx="556">
                  <c:v>-0.69320000000000004</c:v>
                </c:pt>
                <c:pt idx="557">
                  <c:v>-0.59430000000000005</c:v>
                </c:pt>
                <c:pt idx="558">
                  <c:v>-0.313</c:v>
                </c:pt>
                <c:pt idx="559">
                  <c:v>-1.3280000000000001</c:v>
                </c:pt>
              </c:numCache>
            </c:numRef>
          </c:xVal>
          <c:yVal>
            <c:numRef>
              <c:f>'MUROS DE CORTE'!$U$69:$U$628</c:f>
              <c:numCache>
                <c:formatCode>General</c:formatCode>
                <c:ptCount val="560"/>
                <c:pt idx="0">
                  <c:v>17.289899999999999</c:v>
                </c:pt>
                <c:pt idx="1">
                  <c:v>16.1662</c:v>
                </c:pt>
                <c:pt idx="2">
                  <c:v>15.709300000000001</c:v>
                </c:pt>
                <c:pt idx="3">
                  <c:v>14.585599999999999</c:v>
                </c:pt>
                <c:pt idx="4">
                  <c:v>15.233000000000001</c:v>
                </c:pt>
                <c:pt idx="5">
                  <c:v>14.1089</c:v>
                </c:pt>
                <c:pt idx="6">
                  <c:v>15.7157</c:v>
                </c:pt>
                <c:pt idx="7">
                  <c:v>14.5924</c:v>
                </c:pt>
                <c:pt idx="8">
                  <c:v>22.548100000000002</c:v>
                </c:pt>
                <c:pt idx="9">
                  <c:v>21.424399999999999</c:v>
                </c:pt>
                <c:pt idx="10">
                  <c:v>20.533300000000001</c:v>
                </c:pt>
                <c:pt idx="11">
                  <c:v>19.409600000000001</c:v>
                </c:pt>
                <c:pt idx="12">
                  <c:v>19.709</c:v>
                </c:pt>
                <c:pt idx="13">
                  <c:v>18.584900000000001</c:v>
                </c:pt>
                <c:pt idx="14">
                  <c:v>19.9101</c:v>
                </c:pt>
                <c:pt idx="15">
                  <c:v>18.786799999999999</c:v>
                </c:pt>
                <c:pt idx="16">
                  <c:v>12.648199999999999</c:v>
                </c:pt>
                <c:pt idx="17">
                  <c:v>11.5245</c:v>
                </c:pt>
                <c:pt idx="18">
                  <c:v>11.4199</c:v>
                </c:pt>
                <c:pt idx="19">
                  <c:v>10.296200000000001</c:v>
                </c:pt>
                <c:pt idx="20">
                  <c:v>11.124499999999999</c:v>
                </c:pt>
                <c:pt idx="21">
                  <c:v>10.000400000000001</c:v>
                </c:pt>
                <c:pt idx="22">
                  <c:v>11.6624</c:v>
                </c:pt>
                <c:pt idx="23">
                  <c:v>10.539099999999999</c:v>
                </c:pt>
                <c:pt idx="24">
                  <c:v>-47.369700000000002</c:v>
                </c:pt>
                <c:pt idx="25">
                  <c:v>-48.372999999999998</c:v>
                </c:pt>
                <c:pt idx="26">
                  <c:v>-37.552</c:v>
                </c:pt>
                <c:pt idx="27">
                  <c:v>-38.555300000000003</c:v>
                </c:pt>
                <c:pt idx="28">
                  <c:v>-28.757899999999999</c:v>
                </c:pt>
                <c:pt idx="29">
                  <c:v>-29.761600000000001</c:v>
                </c:pt>
                <c:pt idx="30">
                  <c:v>-20.347300000000001</c:v>
                </c:pt>
                <c:pt idx="31">
                  <c:v>-21.350300000000001</c:v>
                </c:pt>
                <c:pt idx="32">
                  <c:v>78.296000000000006</c:v>
                </c:pt>
                <c:pt idx="33">
                  <c:v>77.292699999999996</c:v>
                </c:pt>
                <c:pt idx="34">
                  <c:v>65.636200000000002</c:v>
                </c:pt>
                <c:pt idx="35">
                  <c:v>64.632900000000006</c:v>
                </c:pt>
                <c:pt idx="36">
                  <c:v>55.935600000000001</c:v>
                </c:pt>
                <c:pt idx="37">
                  <c:v>54.931899999999999</c:v>
                </c:pt>
                <c:pt idx="38">
                  <c:v>48.302500000000002</c:v>
                </c:pt>
                <c:pt idx="39">
                  <c:v>47.299500000000002</c:v>
                </c:pt>
                <c:pt idx="40">
                  <c:v>-47.369700000000002</c:v>
                </c:pt>
                <c:pt idx="41">
                  <c:v>-48.372999999999998</c:v>
                </c:pt>
                <c:pt idx="42">
                  <c:v>-37.552</c:v>
                </c:pt>
                <c:pt idx="43">
                  <c:v>-38.555300000000003</c:v>
                </c:pt>
                <c:pt idx="44">
                  <c:v>-28.757899999999999</c:v>
                </c:pt>
                <c:pt idx="45">
                  <c:v>-29.761600000000001</c:v>
                </c:pt>
                <c:pt idx="46">
                  <c:v>-20.347300000000001</c:v>
                </c:pt>
                <c:pt idx="47">
                  <c:v>-21.350300000000001</c:v>
                </c:pt>
                <c:pt idx="48">
                  <c:v>78.296000000000006</c:v>
                </c:pt>
                <c:pt idx="49">
                  <c:v>77.292699999999996</c:v>
                </c:pt>
                <c:pt idx="50">
                  <c:v>65.636200000000002</c:v>
                </c:pt>
                <c:pt idx="51">
                  <c:v>64.632900000000006</c:v>
                </c:pt>
                <c:pt idx="52">
                  <c:v>55.935600000000001</c:v>
                </c:pt>
                <c:pt idx="53">
                  <c:v>54.931899999999999</c:v>
                </c:pt>
                <c:pt idx="54">
                  <c:v>48.302500000000002</c:v>
                </c:pt>
                <c:pt idx="55">
                  <c:v>47.299500000000002</c:v>
                </c:pt>
                <c:pt idx="56">
                  <c:v>-78.105099999999993</c:v>
                </c:pt>
                <c:pt idx="57">
                  <c:v>-79.108400000000003</c:v>
                </c:pt>
                <c:pt idx="58">
                  <c:v>-62.871200000000002</c:v>
                </c:pt>
                <c:pt idx="59">
                  <c:v>-63.874499999999998</c:v>
                </c:pt>
                <c:pt idx="60">
                  <c:v>-49.624000000000002</c:v>
                </c:pt>
                <c:pt idx="61">
                  <c:v>-50.627600000000001</c:v>
                </c:pt>
                <c:pt idx="62">
                  <c:v>-37.333399999999997</c:v>
                </c:pt>
                <c:pt idx="63">
                  <c:v>-38.336399999999998</c:v>
                </c:pt>
                <c:pt idx="64">
                  <c:v>109.0314</c:v>
                </c:pt>
                <c:pt idx="65">
                  <c:v>108.02809999999999</c:v>
                </c:pt>
                <c:pt idx="66">
                  <c:v>90.955399999999997</c:v>
                </c:pt>
                <c:pt idx="67">
                  <c:v>89.952100000000002</c:v>
                </c:pt>
                <c:pt idx="68">
                  <c:v>76.801599999999993</c:v>
                </c:pt>
                <c:pt idx="69">
                  <c:v>75.798000000000002</c:v>
                </c:pt>
                <c:pt idx="70">
                  <c:v>65.288600000000002</c:v>
                </c:pt>
                <c:pt idx="71">
                  <c:v>64.285600000000002</c:v>
                </c:pt>
                <c:pt idx="72">
                  <c:v>-78.105099999999993</c:v>
                </c:pt>
                <c:pt idx="73">
                  <c:v>-79.108400000000003</c:v>
                </c:pt>
                <c:pt idx="74">
                  <c:v>-62.871200000000002</c:v>
                </c:pt>
                <c:pt idx="75">
                  <c:v>-63.874499999999998</c:v>
                </c:pt>
                <c:pt idx="76">
                  <c:v>-49.624000000000002</c:v>
                </c:pt>
                <c:pt idx="77">
                  <c:v>-50.627600000000001</c:v>
                </c:pt>
                <c:pt idx="78">
                  <c:v>-37.333399999999997</c:v>
                </c:pt>
                <c:pt idx="79">
                  <c:v>-38.336399999999998</c:v>
                </c:pt>
                <c:pt idx="80">
                  <c:v>109.0314</c:v>
                </c:pt>
                <c:pt idx="81">
                  <c:v>108.02809999999999</c:v>
                </c:pt>
                <c:pt idx="82">
                  <c:v>90.955399999999997</c:v>
                </c:pt>
                <c:pt idx="83">
                  <c:v>89.952100000000002</c:v>
                </c:pt>
                <c:pt idx="84">
                  <c:v>76.801599999999993</c:v>
                </c:pt>
                <c:pt idx="85">
                  <c:v>75.798000000000002</c:v>
                </c:pt>
                <c:pt idx="86">
                  <c:v>65.288600000000002</c:v>
                </c:pt>
                <c:pt idx="87">
                  <c:v>64.285600000000002</c:v>
                </c:pt>
                <c:pt idx="88">
                  <c:v>-43.503399999999999</c:v>
                </c:pt>
                <c:pt idx="89">
                  <c:v>-44.506700000000002</c:v>
                </c:pt>
                <c:pt idx="90">
                  <c:v>-34.004899999999999</c:v>
                </c:pt>
                <c:pt idx="91">
                  <c:v>-35.008200000000002</c:v>
                </c:pt>
                <c:pt idx="92">
                  <c:v>-25.466799999999999</c:v>
                </c:pt>
                <c:pt idx="93">
                  <c:v>-26.470400000000001</c:v>
                </c:pt>
                <c:pt idx="94">
                  <c:v>-17.263200000000001</c:v>
                </c:pt>
                <c:pt idx="95">
                  <c:v>-18.266100000000002</c:v>
                </c:pt>
                <c:pt idx="96">
                  <c:v>82.162300000000002</c:v>
                </c:pt>
                <c:pt idx="97">
                  <c:v>81.159000000000006</c:v>
                </c:pt>
                <c:pt idx="98">
                  <c:v>69.183300000000003</c:v>
                </c:pt>
                <c:pt idx="99">
                  <c:v>68.180000000000007</c:v>
                </c:pt>
                <c:pt idx="100">
                  <c:v>59.226700000000001</c:v>
                </c:pt>
                <c:pt idx="101">
                  <c:v>58.223100000000002</c:v>
                </c:pt>
                <c:pt idx="102">
                  <c:v>51.386600000000001</c:v>
                </c:pt>
                <c:pt idx="103">
                  <c:v>50.383600000000001</c:v>
                </c:pt>
                <c:pt idx="104">
                  <c:v>-43.503399999999999</c:v>
                </c:pt>
                <c:pt idx="105">
                  <c:v>-44.506700000000002</c:v>
                </c:pt>
                <c:pt idx="106">
                  <c:v>-34.004899999999999</c:v>
                </c:pt>
                <c:pt idx="107">
                  <c:v>-35.008200000000002</c:v>
                </c:pt>
                <c:pt idx="108">
                  <c:v>-25.466799999999999</c:v>
                </c:pt>
                <c:pt idx="109">
                  <c:v>-26.470400000000001</c:v>
                </c:pt>
                <c:pt idx="110">
                  <c:v>-17.263200000000001</c:v>
                </c:pt>
                <c:pt idx="111">
                  <c:v>-18.266100000000002</c:v>
                </c:pt>
                <c:pt idx="112">
                  <c:v>82.162300000000002</c:v>
                </c:pt>
                <c:pt idx="113">
                  <c:v>81.159000000000006</c:v>
                </c:pt>
                <c:pt idx="114">
                  <c:v>69.183300000000003</c:v>
                </c:pt>
                <c:pt idx="115">
                  <c:v>68.180000000000007</c:v>
                </c:pt>
                <c:pt idx="116">
                  <c:v>59.226700000000001</c:v>
                </c:pt>
                <c:pt idx="117">
                  <c:v>58.223100000000002</c:v>
                </c:pt>
                <c:pt idx="118">
                  <c:v>51.386600000000001</c:v>
                </c:pt>
                <c:pt idx="119">
                  <c:v>50.383600000000001</c:v>
                </c:pt>
                <c:pt idx="120">
                  <c:v>-74.238799999999998</c:v>
                </c:pt>
                <c:pt idx="121">
                  <c:v>-75.242099999999994</c:v>
                </c:pt>
                <c:pt idx="122">
                  <c:v>-59.324100000000001</c:v>
                </c:pt>
                <c:pt idx="123">
                  <c:v>-60.327399999999997</c:v>
                </c:pt>
                <c:pt idx="124">
                  <c:v>-46.332799999999999</c:v>
                </c:pt>
                <c:pt idx="125">
                  <c:v>-47.336500000000001</c:v>
                </c:pt>
                <c:pt idx="126">
                  <c:v>-34.249299999999998</c:v>
                </c:pt>
                <c:pt idx="127">
                  <c:v>-35.252200000000002</c:v>
                </c:pt>
                <c:pt idx="128">
                  <c:v>112.8977</c:v>
                </c:pt>
                <c:pt idx="129">
                  <c:v>111.8944</c:v>
                </c:pt>
                <c:pt idx="130">
                  <c:v>94.502499999999998</c:v>
                </c:pt>
                <c:pt idx="131">
                  <c:v>93.499200000000002</c:v>
                </c:pt>
                <c:pt idx="132">
                  <c:v>80.092799999999997</c:v>
                </c:pt>
                <c:pt idx="133">
                  <c:v>79.089100000000002</c:v>
                </c:pt>
                <c:pt idx="134">
                  <c:v>68.372699999999995</c:v>
                </c:pt>
                <c:pt idx="135">
                  <c:v>67.369699999999995</c:v>
                </c:pt>
                <c:pt idx="136">
                  <c:v>-74.238799999999998</c:v>
                </c:pt>
                <c:pt idx="137">
                  <c:v>-75.242099999999994</c:v>
                </c:pt>
                <c:pt idx="138">
                  <c:v>-59.324100000000001</c:v>
                </c:pt>
                <c:pt idx="139">
                  <c:v>-60.327399999999997</c:v>
                </c:pt>
                <c:pt idx="140">
                  <c:v>-46.332799999999999</c:v>
                </c:pt>
                <c:pt idx="141">
                  <c:v>-47.336500000000001</c:v>
                </c:pt>
                <c:pt idx="142">
                  <c:v>-34.249299999999998</c:v>
                </c:pt>
                <c:pt idx="143">
                  <c:v>-35.252200000000002</c:v>
                </c:pt>
                <c:pt idx="144">
                  <c:v>112.8977</c:v>
                </c:pt>
                <c:pt idx="145">
                  <c:v>111.8944</c:v>
                </c:pt>
                <c:pt idx="146">
                  <c:v>94.502499999999998</c:v>
                </c:pt>
                <c:pt idx="147">
                  <c:v>93.499200000000002</c:v>
                </c:pt>
                <c:pt idx="148">
                  <c:v>80.092799999999997</c:v>
                </c:pt>
                <c:pt idx="149">
                  <c:v>79.089100000000002</c:v>
                </c:pt>
                <c:pt idx="150">
                  <c:v>68.372699999999995</c:v>
                </c:pt>
                <c:pt idx="151">
                  <c:v>67.369699999999995</c:v>
                </c:pt>
                <c:pt idx="152">
                  <c:v>-50.782800000000002</c:v>
                </c:pt>
                <c:pt idx="153">
                  <c:v>-51.786099999999998</c:v>
                </c:pt>
                <c:pt idx="154">
                  <c:v>-40.706000000000003</c:v>
                </c:pt>
                <c:pt idx="155">
                  <c:v>-41.709299999999999</c:v>
                </c:pt>
                <c:pt idx="156">
                  <c:v>-31.7789</c:v>
                </c:pt>
                <c:pt idx="157">
                  <c:v>-32.782499999999999</c:v>
                </c:pt>
                <c:pt idx="158">
                  <c:v>-23.3276</c:v>
                </c:pt>
                <c:pt idx="159">
                  <c:v>-24.3306</c:v>
                </c:pt>
                <c:pt idx="160">
                  <c:v>74.882900000000006</c:v>
                </c:pt>
                <c:pt idx="161">
                  <c:v>73.879599999999996</c:v>
                </c:pt>
                <c:pt idx="162">
                  <c:v>62.482199999999999</c:v>
                </c:pt>
                <c:pt idx="163">
                  <c:v>61.478900000000003</c:v>
                </c:pt>
                <c:pt idx="164">
                  <c:v>52.9146</c:v>
                </c:pt>
                <c:pt idx="165">
                  <c:v>51.911000000000001</c:v>
                </c:pt>
                <c:pt idx="166">
                  <c:v>45.322099999999999</c:v>
                </c:pt>
                <c:pt idx="167">
                  <c:v>44.319200000000002</c:v>
                </c:pt>
                <c:pt idx="168">
                  <c:v>-50.782800000000002</c:v>
                </c:pt>
                <c:pt idx="169">
                  <c:v>-51.786099999999998</c:v>
                </c:pt>
                <c:pt idx="170">
                  <c:v>-40.706000000000003</c:v>
                </c:pt>
                <c:pt idx="171">
                  <c:v>-41.709299999999999</c:v>
                </c:pt>
                <c:pt idx="172">
                  <c:v>-31.7789</c:v>
                </c:pt>
                <c:pt idx="173">
                  <c:v>-32.782499999999999</c:v>
                </c:pt>
                <c:pt idx="174">
                  <c:v>-23.3276</c:v>
                </c:pt>
                <c:pt idx="175">
                  <c:v>-24.3306</c:v>
                </c:pt>
                <c:pt idx="176">
                  <c:v>74.882900000000006</c:v>
                </c:pt>
                <c:pt idx="177">
                  <c:v>73.879599999999996</c:v>
                </c:pt>
                <c:pt idx="178">
                  <c:v>62.482199999999999</c:v>
                </c:pt>
                <c:pt idx="179">
                  <c:v>61.478900000000003</c:v>
                </c:pt>
                <c:pt idx="180">
                  <c:v>52.9146</c:v>
                </c:pt>
                <c:pt idx="181">
                  <c:v>51.911000000000001</c:v>
                </c:pt>
                <c:pt idx="182">
                  <c:v>45.322099999999999</c:v>
                </c:pt>
                <c:pt idx="183">
                  <c:v>44.319200000000002</c:v>
                </c:pt>
                <c:pt idx="184">
                  <c:v>-81.518199999999993</c:v>
                </c:pt>
                <c:pt idx="185">
                  <c:v>-82.521500000000003</c:v>
                </c:pt>
                <c:pt idx="186">
                  <c:v>-66.025199999999998</c:v>
                </c:pt>
                <c:pt idx="187">
                  <c:v>-67.028499999999994</c:v>
                </c:pt>
                <c:pt idx="188">
                  <c:v>-52.6449</c:v>
                </c:pt>
                <c:pt idx="189">
                  <c:v>-53.648600000000002</c:v>
                </c:pt>
                <c:pt idx="190">
                  <c:v>-40.313699999999997</c:v>
                </c:pt>
                <c:pt idx="191">
                  <c:v>-41.316699999999997</c:v>
                </c:pt>
                <c:pt idx="192">
                  <c:v>105.6183</c:v>
                </c:pt>
                <c:pt idx="193">
                  <c:v>104.61499999999999</c:v>
                </c:pt>
                <c:pt idx="194">
                  <c:v>87.801400000000001</c:v>
                </c:pt>
                <c:pt idx="195">
                  <c:v>86.798100000000005</c:v>
                </c:pt>
                <c:pt idx="196">
                  <c:v>73.780699999999996</c:v>
                </c:pt>
                <c:pt idx="197">
                  <c:v>72.777000000000001</c:v>
                </c:pt>
                <c:pt idx="198">
                  <c:v>62.308199999999999</c:v>
                </c:pt>
                <c:pt idx="199">
                  <c:v>61.305300000000003</c:v>
                </c:pt>
                <c:pt idx="200">
                  <c:v>-81.518199999999993</c:v>
                </c:pt>
                <c:pt idx="201">
                  <c:v>-82.521500000000003</c:v>
                </c:pt>
                <c:pt idx="202">
                  <c:v>-66.025199999999998</c:v>
                </c:pt>
                <c:pt idx="203">
                  <c:v>-67.028499999999994</c:v>
                </c:pt>
                <c:pt idx="204">
                  <c:v>-52.6449</c:v>
                </c:pt>
                <c:pt idx="205">
                  <c:v>-53.648600000000002</c:v>
                </c:pt>
                <c:pt idx="206">
                  <c:v>-40.313699999999997</c:v>
                </c:pt>
                <c:pt idx="207">
                  <c:v>-41.316699999999997</c:v>
                </c:pt>
                <c:pt idx="208">
                  <c:v>105.6183</c:v>
                </c:pt>
                <c:pt idx="209">
                  <c:v>104.61499999999999</c:v>
                </c:pt>
                <c:pt idx="210">
                  <c:v>87.801400000000001</c:v>
                </c:pt>
                <c:pt idx="211">
                  <c:v>86.798100000000005</c:v>
                </c:pt>
                <c:pt idx="212">
                  <c:v>73.780699999999996</c:v>
                </c:pt>
                <c:pt idx="213">
                  <c:v>72.777000000000001</c:v>
                </c:pt>
                <c:pt idx="214">
                  <c:v>62.308199999999999</c:v>
                </c:pt>
                <c:pt idx="215">
                  <c:v>61.305300000000003</c:v>
                </c:pt>
                <c:pt idx="216">
                  <c:v>-51.613100000000003</c:v>
                </c:pt>
                <c:pt idx="217">
                  <c:v>-52.335500000000003</c:v>
                </c:pt>
                <c:pt idx="218">
                  <c:v>-41.430199999999999</c:v>
                </c:pt>
                <c:pt idx="219">
                  <c:v>-42.1526</c:v>
                </c:pt>
                <c:pt idx="220">
                  <c:v>-32.603400000000001</c:v>
                </c:pt>
                <c:pt idx="221">
                  <c:v>-33.326000000000001</c:v>
                </c:pt>
                <c:pt idx="222">
                  <c:v>-24.4434</c:v>
                </c:pt>
                <c:pt idx="223">
                  <c:v>-25.165600000000001</c:v>
                </c:pt>
                <c:pt idx="224">
                  <c:v>74.052599999999998</c:v>
                </c:pt>
                <c:pt idx="225">
                  <c:v>73.330200000000005</c:v>
                </c:pt>
                <c:pt idx="226">
                  <c:v>61.758000000000003</c:v>
                </c:pt>
                <c:pt idx="227">
                  <c:v>61.035600000000002</c:v>
                </c:pt>
                <c:pt idx="228">
                  <c:v>52.0901</c:v>
                </c:pt>
                <c:pt idx="229">
                  <c:v>51.3675</c:v>
                </c:pt>
                <c:pt idx="230">
                  <c:v>44.206299999999999</c:v>
                </c:pt>
                <c:pt idx="231">
                  <c:v>43.484200000000001</c:v>
                </c:pt>
                <c:pt idx="232">
                  <c:v>-51.613100000000003</c:v>
                </c:pt>
                <c:pt idx="233">
                  <c:v>-52.335500000000003</c:v>
                </c:pt>
                <c:pt idx="234">
                  <c:v>-41.430199999999999</c:v>
                </c:pt>
                <c:pt idx="235">
                  <c:v>-42.1526</c:v>
                </c:pt>
                <c:pt idx="236">
                  <c:v>-32.603400000000001</c:v>
                </c:pt>
                <c:pt idx="237">
                  <c:v>-33.326000000000001</c:v>
                </c:pt>
                <c:pt idx="238">
                  <c:v>-24.4434</c:v>
                </c:pt>
                <c:pt idx="239">
                  <c:v>-25.165600000000001</c:v>
                </c:pt>
                <c:pt idx="240">
                  <c:v>74.052599999999998</c:v>
                </c:pt>
                <c:pt idx="241">
                  <c:v>73.330200000000005</c:v>
                </c:pt>
                <c:pt idx="242">
                  <c:v>61.758000000000003</c:v>
                </c:pt>
                <c:pt idx="243">
                  <c:v>61.035600000000002</c:v>
                </c:pt>
                <c:pt idx="244">
                  <c:v>52.0901</c:v>
                </c:pt>
                <c:pt idx="245">
                  <c:v>51.3675</c:v>
                </c:pt>
                <c:pt idx="246">
                  <c:v>44.206299999999999</c:v>
                </c:pt>
                <c:pt idx="247">
                  <c:v>43.484200000000001</c:v>
                </c:pt>
                <c:pt idx="248">
                  <c:v>-82.348500000000001</c:v>
                </c:pt>
                <c:pt idx="249">
                  <c:v>-83.070899999999995</c:v>
                </c:pt>
                <c:pt idx="250">
                  <c:v>-66.749399999999994</c:v>
                </c:pt>
                <c:pt idx="251">
                  <c:v>-67.471800000000002</c:v>
                </c:pt>
                <c:pt idx="252">
                  <c:v>-53.4694</c:v>
                </c:pt>
                <c:pt idx="253">
                  <c:v>-54.192100000000003</c:v>
                </c:pt>
                <c:pt idx="254">
                  <c:v>-41.429499999999997</c:v>
                </c:pt>
                <c:pt idx="255">
                  <c:v>-42.151699999999998</c:v>
                </c:pt>
                <c:pt idx="256">
                  <c:v>104.788</c:v>
                </c:pt>
                <c:pt idx="257">
                  <c:v>104.0656</c:v>
                </c:pt>
                <c:pt idx="258">
                  <c:v>87.077200000000005</c:v>
                </c:pt>
                <c:pt idx="259">
                  <c:v>86.354799999999997</c:v>
                </c:pt>
                <c:pt idx="260">
                  <c:v>72.956199999999995</c:v>
                </c:pt>
                <c:pt idx="261">
                  <c:v>72.233500000000006</c:v>
                </c:pt>
                <c:pt idx="262">
                  <c:v>61.192500000000003</c:v>
                </c:pt>
                <c:pt idx="263">
                  <c:v>60.470300000000002</c:v>
                </c:pt>
                <c:pt idx="264">
                  <c:v>-82.348500000000001</c:v>
                </c:pt>
                <c:pt idx="265">
                  <c:v>-83.070899999999995</c:v>
                </c:pt>
                <c:pt idx="266">
                  <c:v>-66.749399999999994</c:v>
                </c:pt>
                <c:pt idx="267">
                  <c:v>-67.471800000000002</c:v>
                </c:pt>
                <c:pt idx="268">
                  <c:v>-53.4694</c:v>
                </c:pt>
                <c:pt idx="269">
                  <c:v>-54.192100000000003</c:v>
                </c:pt>
                <c:pt idx="270">
                  <c:v>-41.429499999999997</c:v>
                </c:pt>
                <c:pt idx="271">
                  <c:v>-42.151699999999998</c:v>
                </c:pt>
                <c:pt idx="272">
                  <c:v>104.788</c:v>
                </c:pt>
                <c:pt idx="273">
                  <c:v>104.0656</c:v>
                </c:pt>
                <c:pt idx="274">
                  <c:v>87.077200000000005</c:v>
                </c:pt>
                <c:pt idx="275">
                  <c:v>86.354799999999997</c:v>
                </c:pt>
                <c:pt idx="276">
                  <c:v>72.956199999999995</c:v>
                </c:pt>
                <c:pt idx="277">
                  <c:v>72.233500000000006</c:v>
                </c:pt>
                <c:pt idx="278">
                  <c:v>61.192500000000003</c:v>
                </c:pt>
                <c:pt idx="279">
                  <c:v>60.470300000000002</c:v>
                </c:pt>
                <c:pt idx="280">
                  <c:v>56.440399999999997</c:v>
                </c:pt>
                <c:pt idx="281">
                  <c:v>55.316699999999997</c:v>
                </c:pt>
                <c:pt idx="282">
                  <c:v>53.366</c:v>
                </c:pt>
                <c:pt idx="283">
                  <c:v>52.2423</c:v>
                </c:pt>
                <c:pt idx="284">
                  <c:v>53.034300000000002</c:v>
                </c:pt>
                <c:pt idx="285">
                  <c:v>51.910200000000003</c:v>
                </c:pt>
                <c:pt idx="286">
                  <c:v>56.542200000000001</c:v>
                </c:pt>
                <c:pt idx="287">
                  <c:v>55.418900000000001</c:v>
                </c:pt>
                <c:pt idx="288">
                  <c:v>47.181600000000003</c:v>
                </c:pt>
                <c:pt idx="289">
                  <c:v>46.057899999999997</c:v>
                </c:pt>
                <c:pt idx="290">
                  <c:v>44.239899999999999</c:v>
                </c:pt>
                <c:pt idx="291">
                  <c:v>43.116199999999999</c:v>
                </c:pt>
                <c:pt idx="292">
                  <c:v>43.432899999999997</c:v>
                </c:pt>
                <c:pt idx="293">
                  <c:v>42.308799999999998</c:v>
                </c:pt>
                <c:pt idx="294">
                  <c:v>45.2547</c:v>
                </c:pt>
                <c:pt idx="295">
                  <c:v>44.131399999999999</c:v>
                </c:pt>
                <c:pt idx="296">
                  <c:v>52.162100000000002</c:v>
                </c:pt>
                <c:pt idx="297">
                  <c:v>51.0383</c:v>
                </c:pt>
                <c:pt idx="298">
                  <c:v>49.438200000000002</c:v>
                </c:pt>
                <c:pt idx="299">
                  <c:v>48.314500000000002</c:v>
                </c:pt>
                <c:pt idx="300">
                  <c:v>49.313899999999997</c:v>
                </c:pt>
                <c:pt idx="301">
                  <c:v>48.189799999999998</c:v>
                </c:pt>
                <c:pt idx="302">
                  <c:v>52.968600000000002</c:v>
                </c:pt>
                <c:pt idx="303">
                  <c:v>51.845199999999998</c:v>
                </c:pt>
                <c:pt idx="304">
                  <c:v>-14.7605</c:v>
                </c:pt>
                <c:pt idx="305">
                  <c:v>-15.7638</c:v>
                </c:pt>
                <c:pt idx="306">
                  <c:v>-6.1780999999999997</c:v>
                </c:pt>
                <c:pt idx="307">
                  <c:v>-7.1814</c:v>
                </c:pt>
                <c:pt idx="308">
                  <c:v>2.7467999999999999</c:v>
                </c:pt>
                <c:pt idx="309">
                  <c:v>1.7432000000000001</c:v>
                </c:pt>
                <c:pt idx="310">
                  <c:v>13.6975</c:v>
                </c:pt>
                <c:pt idx="311">
                  <c:v>12.694599999999999</c:v>
                </c:pt>
                <c:pt idx="312">
                  <c:v>110.90689999999999</c:v>
                </c:pt>
                <c:pt idx="313">
                  <c:v>109.9036</c:v>
                </c:pt>
                <c:pt idx="314">
                  <c:v>96.997600000000006</c:v>
                </c:pt>
                <c:pt idx="315">
                  <c:v>95.994299999999996</c:v>
                </c:pt>
                <c:pt idx="316">
                  <c:v>87.393000000000001</c:v>
                </c:pt>
                <c:pt idx="317">
                  <c:v>86.389399999999995</c:v>
                </c:pt>
                <c:pt idx="318">
                  <c:v>82.204800000000006</c:v>
                </c:pt>
                <c:pt idx="319">
                  <c:v>81.201800000000006</c:v>
                </c:pt>
                <c:pt idx="320">
                  <c:v>-14.7605</c:v>
                </c:pt>
                <c:pt idx="321">
                  <c:v>-15.7638</c:v>
                </c:pt>
                <c:pt idx="322">
                  <c:v>-6.1780999999999997</c:v>
                </c:pt>
                <c:pt idx="323">
                  <c:v>-7.1814</c:v>
                </c:pt>
                <c:pt idx="324">
                  <c:v>2.7467999999999999</c:v>
                </c:pt>
                <c:pt idx="325">
                  <c:v>1.7432000000000001</c:v>
                </c:pt>
                <c:pt idx="326">
                  <c:v>13.6975</c:v>
                </c:pt>
                <c:pt idx="327">
                  <c:v>12.694599999999999</c:v>
                </c:pt>
                <c:pt idx="328">
                  <c:v>110.90689999999999</c:v>
                </c:pt>
                <c:pt idx="329">
                  <c:v>109.9036</c:v>
                </c:pt>
                <c:pt idx="330">
                  <c:v>96.997600000000006</c:v>
                </c:pt>
                <c:pt idx="331">
                  <c:v>95.994299999999996</c:v>
                </c:pt>
                <c:pt idx="332">
                  <c:v>87.393000000000001</c:v>
                </c:pt>
                <c:pt idx="333">
                  <c:v>86.389399999999995</c:v>
                </c:pt>
                <c:pt idx="334">
                  <c:v>82.204800000000006</c:v>
                </c:pt>
                <c:pt idx="335">
                  <c:v>81.201800000000006</c:v>
                </c:pt>
                <c:pt idx="336">
                  <c:v>-45.497199999999999</c:v>
                </c:pt>
                <c:pt idx="337">
                  <c:v>-46.500500000000002</c:v>
                </c:pt>
                <c:pt idx="338">
                  <c:v>-31.494700000000002</c:v>
                </c:pt>
                <c:pt idx="339">
                  <c:v>-32.497999999999998</c:v>
                </c:pt>
                <c:pt idx="340">
                  <c:v>-18.107099999999999</c:v>
                </c:pt>
                <c:pt idx="341">
                  <c:v>-19.110800000000001</c:v>
                </c:pt>
                <c:pt idx="342">
                  <c:v>-3.2505000000000002</c:v>
                </c:pt>
                <c:pt idx="343">
                  <c:v>-4.2534000000000001</c:v>
                </c:pt>
                <c:pt idx="344">
                  <c:v>141.64349999999999</c:v>
                </c:pt>
                <c:pt idx="345">
                  <c:v>140.64019999999999</c:v>
                </c:pt>
                <c:pt idx="346">
                  <c:v>122.3142</c:v>
                </c:pt>
                <c:pt idx="347">
                  <c:v>121.3109</c:v>
                </c:pt>
                <c:pt idx="348">
                  <c:v>108.2469</c:v>
                </c:pt>
                <c:pt idx="349">
                  <c:v>107.2433</c:v>
                </c:pt>
                <c:pt idx="350">
                  <c:v>99.152699999999996</c:v>
                </c:pt>
                <c:pt idx="351">
                  <c:v>98.149799999999999</c:v>
                </c:pt>
                <c:pt idx="352">
                  <c:v>-45.497199999999999</c:v>
                </c:pt>
                <c:pt idx="353">
                  <c:v>-46.500500000000002</c:v>
                </c:pt>
                <c:pt idx="354">
                  <c:v>-31.494700000000002</c:v>
                </c:pt>
                <c:pt idx="355">
                  <c:v>-32.497999999999998</c:v>
                </c:pt>
                <c:pt idx="356">
                  <c:v>-18.107099999999999</c:v>
                </c:pt>
                <c:pt idx="357">
                  <c:v>-19.110800000000001</c:v>
                </c:pt>
                <c:pt idx="358">
                  <c:v>-3.2505000000000002</c:v>
                </c:pt>
                <c:pt idx="359">
                  <c:v>-4.2534000000000001</c:v>
                </c:pt>
                <c:pt idx="360">
                  <c:v>141.64349999999999</c:v>
                </c:pt>
                <c:pt idx="361">
                  <c:v>140.64019999999999</c:v>
                </c:pt>
                <c:pt idx="362">
                  <c:v>122.3142</c:v>
                </c:pt>
                <c:pt idx="363">
                  <c:v>121.3109</c:v>
                </c:pt>
                <c:pt idx="364">
                  <c:v>108.2469</c:v>
                </c:pt>
                <c:pt idx="365">
                  <c:v>107.2433</c:v>
                </c:pt>
                <c:pt idx="366">
                  <c:v>99.152699999999996</c:v>
                </c:pt>
                <c:pt idx="367">
                  <c:v>98.149799999999999</c:v>
                </c:pt>
                <c:pt idx="368">
                  <c:v>-21.5684</c:v>
                </c:pt>
                <c:pt idx="369">
                  <c:v>-22.5717</c:v>
                </c:pt>
                <c:pt idx="370">
                  <c:v>-12.888500000000001</c:v>
                </c:pt>
                <c:pt idx="371">
                  <c:v>-13.8918</c:v>
                </c:pt>
                <c:pt idx="372">
                  <c:v>-4.3131000000000004</c:v>
                </c:pt>
                <c:pt idx="373">
                  <c:v>-5.3167</c:v>
                </c:pt>
                <c:pt idx="374">
                  <c:v>5.3978999999999999</c:v>
                </c:pt>
                <c:pt idx="375">
                  <c:v>4.3948999999999998</c:v>
                </c:pt>
                <c:pt idx="376">
                  <c:v>104.0989</c:v>
                </c:pt>
                <c:pt idx="377">
                  <c:v>103.0956</c:v>
                </c:pt>
                <c:pt idx="378">
                  <c:v>90.287300000000002</c:v>
                </c:pt>
                <c:pt idx="379">
                  <c:v>89.284000000000006</c:v>
                </c:pt>
                <c:pt idx="380">
                  <c:v>80.333100000000002</c:v>
                </c:pt>
                <c:pt idx="381">
                  <c:v>79.329499999999996</c:v>
                </c:pt>
                <c:pt idx="382">
                  <c:v>73.905100000000004</c:v>
                </c:pt>
                <c:pt idx="383">
                  <c:v>72.902199999999993</c:v>
                </c:pt>
                <c:pt idx="384">
                  <c:v>-21.5684</c:v>
                </c:pt>
                <c:pt idx="385">
                  <c:v>-22.5717</c:v>
                </c:pt>
                <c:pt idx="386">
                  <c:v>-12.888500000000001</c:v>
                </c:pt>
                <c:pt idx="387">
                  <c:v>-13.8918</c:v>
                </c:pt>
                <c:pt idx="388">
                  <c:v>-4.3131000000000004</c:v>
                </c:pt>
                <c:pt idx="389">
                  <c:v>-5.3167</c:v>
                </c:pt>
                <c:pt idx="390">
                  <c:v>5.3978999999999999</c:v>
                </c:pt>
                <c:pt idx="391">
                  <c:v>4.3948999999999998</c:v>
                </c:pt>
                <c:pt idx="392">
                  <c:v>104.0989</c:v>
                </c:pt>
                <c:pt idx="393">
                  <c:v>103.0956</c:v>
                </c:pt>
                <c:pt idx="394">
                  <c:v>90.287300000000002</c:v>
                </c:pt>
                <c:pt idx="395">
                  <c:v>89.284000000000006</c:v>
                </c:pt>
                <c:pt idx="396">
                  <c:v>80.333100000000002</c:v>
                </c:pt>
                <c:pt idx="397">
                  <c:v>79.329499999999996</c:v>
                </c:pt>
                <c:pt idx="398">
                  <c:v>73.905100000000004</c:v>
                </c:pt>
                <c:pt idx="399">
                  <c:v>72.902199999999993</c:v>
                </c:pt>
                <c:pt idx="400">
                  <c:v>-52.305100000000003</c:v>
                </c:pt>
                <c:pt idx="401">
                  <c:v>-53.308399999999999</c:v>
                </c:pt>
                <c:pt idx="402">
                  <c:v>-38.205100000000002</c:v>
                </c:pt>
                <c:pt idx="403">
                  <c:v>-39.208399999999997</c:v>
                </c:pt>
                <c:pt idx="404">
                  <c:v>-25.167000000000002</c:v>
                </c:pt>
                <c:pt idx="405">
                  <c:v>-26.1706</c:v>
                </c:pt>
                <c:pt idx="406">
                  <c:v>-11.5501</c:v>
                </c:pt>
                <c:pt idx="407">
                  <c:v>-12.553100000000001</c:v>
                </c:pt>
                <c:pt idx="408">
                  <c:v>134.8356</c:v>
                </c:pt>
                <c:pt idx="409">
                  <c:v>133.8323</c:v>
                </c:pt>
                <c:pt idx="410">
                  <c:v>115.6039</c:v>
                </c:pt>
                <c:pt idx="411">
                  <c:v>114.6006</c:v>
                </c:pt>
                <c:pt idx="412">
                  <c:v>101.1871</c:v>
                </c:pt>
                <c:pt idx="413">
                  <c:v>100.18340000000001</c:v>
                </c:pt>
                <c:pt idx="414">
                  <c:v>90.853099999999998</c:v>
                </c:pt>
                <c:pt idx="415">
                  <c:v>89.850099999999998</c:v>
                </c:pt>
                <c:pt idx="416">
                  <c:v>-52.305100000000003</c:v>
                </c:pt>
                <c:pt idx="417">
                  <c:v>-53.308399999999999</c:v>
                </c:pt>
                <c:pt idx="418">
                  <c:v>-38.205100000000002</c:v>
                </c:pt>
                <c:pt idx="419">
                  <c:v>-39.208399999999997</c:v>
                </c:pt>
                <c:pt idx="420">
                  <c:v>-25.167000000000002</c:v>
                </c:pt>
                <c:pt idx="421">
                  <c:v>-26.1706</c:v>
                </c:pt>
                <c:pt idx="422">
                  <c:v>-11.5501</c:v>
                </c:pt>
                <c:pt idx="423">
                  <c:v>-12.553100000000001</c:v>
                </c:pt>
                <c:pt idx="424">
                  <c:v>134.8356</c:v>
                </c:pt>
                <c:pt idx="425">
                  <c:v>133.8323</c:v>
                </c:pt>
                <c:pt idx="426">
                  <c:v>115.6039</c:v>
                </c:pt>
                <c:pt idx="427">
                  <c:v>114.6006</c:v>
                </c:pt>
                <c:pt idx="428">
                  <c:v>101.1871</c:v>
                </c:pt>
                <c:pt idx="429">
                  <c:v>100.18340000000001</c:v>
                </c:pt>
                <c:pt idx="430">
                  <c:v>90.853099999999998</c:v>
                </c:pt>
                <c:pt idx="431">
                  <c:v>89.850099999999998</c:v>
                </c:pt>
                <c:pt idx="432">
                  <c:v>-17.906300000000002</c:v>
                </c:pt>
                <c:pt idx="433">
                  <c:v>-18.909700000000001</c:v>
                </c:pt>
                <c:pt idx="434">
                  <c:v>-9.0662000000000003</c:v>
                </c:pt>
                <c:pt idx="435">
                  <c:v>-10.0695</c:v>
                </c:pt>
                <c:pt idx="436">
                  <c:v>1.12E-2</c:v>
                </c:pt>
                <c:pt idx="437">
                  <c:v>-0.99239999999999995</c:v>
                </c:pt>
                <c:pt idx="438">
                  <c:v>11.069800000000001</c:v>
                </c:pt>
                <c:pt idx="439">
                  <c:v>10.0669</c:v>
                </c:pt>
                <c:pt idx="440">
                  <c:v>107.761</c:v>
                </c:pt>
                <c:pt idx="441">
                  <c:v>106.7577</c:v>
                </c:pt>
                <c:pt idx="442">
                  <c:v>94.1096</c:v>
                </c:pt>
                <c:pt idx="443">
                  <c:v>93.106200000000001</c:v>
                </c:pt>
                <c:pt idx="444">
                  <c:v>84.657399999999996</c:v>
                </c:pt>
                <c:pt idx="445">
                  <c:v>83.653700000000001</c:v>
                </c:pt>
                <c:pt idx="446">
                  <c:v>79.577100000000002</c:v>
                </c:pt>
                <c:pt idx="447">
                  <c:v>78.574100000000001</c:v>
                </c:pt>
                <c:pt idx="448">
                  <c:v>-17.906300000000002</c:v>
                </c:pt>
                <c:pt idx="449">
                  <c:v>-18.909700000000001</c:v>
                </c:pt>
                <c:pt idx="450">
                  <c:v>-9.0662000000000003</c:v>
                </c:pt>
                <c:pt idx="451">
                  <c:v>-10.0695</c:v>
                </c:pt>
                <c:pt idx="452">
                  <c:v>1.12E-2</c:v>
                </c:pt>
                <c:pt idx="453">
                  <c:v>-0.99239999999999995</c:v>
                </c:pt>
                <c:pt idx="454">
                  <c:v>11.069800000000001</c:v>
                </c:pt>
                <c:pt idx="455">
                  <c:v>10.0669</c:v>
                </c:pt>
                <c:pt idx="456">
                  <c:v>107.761</c:v>
                </c:pt>
                <c:pt idx="457">
                  <c:v>106.7577</c:v>
                </c:pt>
                <c:pt idx="458">
                  <c:v>94.1096</c:v>
                </c:pt>
                <c:pt idx="459">
                  <c:v>93.106200000000001</c:v>
                </c:pt>
                <c:pt idx="460">
                  <c:v>84.657399999999996</c:v>
                </c:pt>
                <c:pt idx="461">
                  <c:v>83.653700000000001</c:v>
                </c:pt>
                <c:pt idx="462">
                  <c:v>79.577100000000002</c:v>
                </c:pt>
                <c:pt idx="463">
                  <c:v>78.574100000000001</c:v>
                </c:pt>
                <c:pt idx="464">
                  <c:v>-48.643000000000001</c:v>
                </c:pt>
                <c:pt idx="465">
                  <c:v>-49.646299999999997</c:v>
                </c:pt>
                <c:pt idx="466">
                  <c:v>-34.382800000000003</c:v>
                </c:pt>
                <c:pt idx="467">
                  <c:v>-35.386099999999999</c:v>
                </c:pt>
                <c:pt idx="468">
                  <c:v>-20.842700000000001</c:v>
                </c:pt>
                <c:pt idx="469">
                  <c:v>-21.846399999999999</c:v>
                </c:pt>
                <c:pt idx="470">
                  <c:v>-5.8780999999999999</c:v>
                </c:pt>
                <c:pt idx="471">
                  <c:v>-6.8811</c:v>
                </c:pt>
                <c:pt idx="472">
                  <c:v>138.49770000000001</c:v>
                </c:pt>
                <c:pt idx="473">
                  <c:v>137.49440000000001</c:v>
                </c:pt>
                <c:pt idx="474">
                  <c:v>119.42619999999999</c:v>
                </c:pt>
                <c:pt idx="475">
                  <c:v>118.4228</c:v>
                </c:pt>
                <c:pt idx="476">
                  <c:v>105.51130000000001</c:v>
                </c:pt>
                <c:pt idx="477">
                  <c:v>104.5077</c:v>
                </c:pt>
                <c:pt idx="478">
                  <c:v>96.525000000000006</c:v>
                </c:pt>
                <c:pt idx="479">
                  <c:v>95.522099999999995</c:v>
                </c:pt>
                <c:pt idx="480">
                  <c:v>-48.643000000000001</c:v>
                </c:pt>
                <c:pt idx="481">
                  <c:v>-49.646299999999997</c:v>
                </c:pt>
                <c:pt idx="482">
                  <c:v>-34.382800000000003</c:v>
                </c:pt>
                <c:pt idx="483">
                  <c:v>-35.386099999999999</c:v>
                </c:pt>
                <c:pt idx="484">
                  <c:v>-20.842700000000001</c:v>
                </c:pt>
                <c:pt idx="485">
                  <c:v>-21.846399999999999</c:v>
                </c:pt>
                <c:pt idx="486">
                  <c:v>-5.8780999999999999</c:v>
                </c:pt>
                <c:pt idx="487">
                  <c:v>-6.8811</c:v>
                </c:pt>
                <c:pt idx="488">
                  <c:v>138.49770000000001</c:v>
                </c:pt>
                <c:pt idx="489">
                  <c:v>137.49440000000001</c:v>
                </c:pt>
                <c:pt idx="490">
                  <c:v>119.42619999999999</c:v>
                </c:pt>
                <c:pt idx="491">
                  <c:v>118.4228</c:v>
                </c:pt>
                <c:pt idx="492">
                  <c:v>105.51130000000001</c:v>
                </c:pt>
                <c:pt idx="493">
                  <c:v>104.5077</c:v>
                </c:pt>
                <c:pt idx="494">
                  <c:v>96.525000000000006</c:v>
                </c:pt>
                <c:pt idx="495">
                  <c:v>95.522099999999995</c:v>
                </c:pt>
                <c:pt idx="496">
                  <c:v>-36.016399999999997</c:v>
                </c:pt>
                <c:pt idx="497">
                  <c:v>-36.738700000000001</c:v>
                </c:pt>
                <c:pt idx="498">
                  <c:v>-26.414100000000001</c:v>
                </c:pt>
                <c:pt idx="499">
                  <c:v>-27.136500000000002</c:v>
                </c:pt>
                <c:pt idx="500">
                  <c:v>-17.540900000000001</c:v>
                </c:pt>
                <c:pt idx="501">
                  <c:v>-18.263500000000001</c:v>
                </c:pt>
                <c:pt idx="502">
                  <c:v>-8.2396999999999991</c:v>
                </c:pt>
                <c:pt idx="503">
                  <c:v>-8.9618000000000002</c:v>
                </c:pt>
                <c:pt idx="504">
                  <c:v>89.650999999999996</c:v>
                </c:pt>
                <c:pt idx="505">
                  <c:v>88.928600000000003</c:v>
                </c:pt>
                <c:pt idx="506">
                  <c:v>76.761600000000001</c:v>
                </c:pt>
                <c:pt idx="507">
                  <c:v>76.039299999999997</c:v>
                </c:pt>
                <c:pt idx="508">
                  <c:v>67.1053</c:v>
                </c:pt>
                <c:pt idx="509">
                  <c:v>66.3827</c:v>
                </c:pt>
                <c:pt idx="510">
                  <c:v>60.267499999999998</c:v>
                </c:pt>
                <c:pt idx="511">
                  <c:v>59.545400000000001</c:v>
                </c:pt>
                <c:pt idx="512">
                  <c:v>-36.016399999999997</c:v>
                </c:pt>
                <c:pt idx="513">
                  <c:v>-36.738700000000001</c:v>
                </c:pt>
                <c:pt idx="514">
                  <c:v>-26.414100000000001</c:v>
                </c:pt>
                <c:pt idx="515">
                  <c:v>-27.136500000000002</c:v>
                </c:pt>
                <c:pt idx="516">
                  <c:v>-17.540900000000001</c:v>
                </c:pt>
                <c:pt idx="517">
                  <c:v>-18.263500000000001</c:v>
                </c:pt>
                <c:pt idx="518">
                  <c:v>-8.2396999999999991</c:v>
                </c:pt>
                <c:pt idx="519">
                  <c:v>-8.9618000000000002</c:v>
                </c:pt>
                <c:pt idx="520">
                  <c:v>89.650999999999996</c:v>
                </c:pt>
                <c:pt idx="521">
                  <c:v>88.928600000000003</c:v>
                </c:pt>
                <c:pt idx="522">
                  <c:v>76.761600000000001</c:v>
                </c:pt>
                <c:pt idx="523">
                  <c:v>76.039299999999997</c:v>
                </c:pt>
                <c:pt idx="524">
                  <c:v>67.1053</c:v>
                </c:pt>
                <c:pt idx="525">
                  <c:v>66.3827</c:v>
                </c:pt>
                <c:pt idx="526">
                  <c:v>60.267499999999998</c:v>
                </c:pt>
                <c:pt idx="527">
                  <c:v>59.545400000000001</c:v>
                </c:pt>
                <c:pt idx="528">
                  <c:v>-66.753</c:v>
                </c:pt>
                <c:pt idx="529">
                  <c:v>-67.475399999999993</c:v>
                </c:pt>
                <c:pt idx="530">
                  <c:v>-51.730699999999999</c:v>
                </c:pt>
                <c:pt idx="531">
                  <c:v>-52.453099999999999</c:v>
                </c:pt>
                <c:pt idx="532">
                  <c:v>-38.394799999999996</c:v>
                </c:pt>
                <c:pt idx="533">
                  <c:v>-39.117400000000004</c:v>
                </c:pt>
                <c:pt idx="534">
                  <c:v>-25.1877</c:v>
                </c:pt>
                <c:pt idx="535">
                  <c:v>-25.909800000000001</c:v>
                </c:pt>
                <c:pt idx="536">
                  <c:v>120.3877</c:v>
                </c:pt>
                <c:pt idx="537">
                  <c:v>119.6653</c:v>
                </c:pt>
                <c:pt idx="538">
                  <c:v>102.0782</c:v>
                </c:pt>
                <c:pt idx="539">
                  <c:v>101.35590000000001</c:v>
                </c:pt>
                <c:pt idx="540">
                  <c:v>87.959299999999999</c:v>
                </c:pt>
                <c:pt idx="541">
                  <c:v>87.236599999999996</c:v>
                </c:pt>
                <c:pt idx="542">
                  <c:v>77.215500000000006</c:v>
                </c:pt>
                <c:pt idx="543">
                  <c:v>76.493399999999994</c:v>
                </c:pt>
                <c:pt idx="544">
                  <c:v>-66.753</c:v>
                </c:pt>
                <c:pt idx="545">
                  <c:v>-67.475399999999993</c:v>
                </c:pt>
                <c:pt idx="546">
                  <c:v>-51.730699999999999</c:v>
                </c:pt>
                <c:pt idx="547">
                  <c:v>-52.453099999999999</c:v>
                </c:pt>
                <c:pt idx="548">
                  <c:v>-38.394799999999996</c:v>
                </c:pt>
                <c:pt idx="549">
                  <c:v>-39.117400000000004</c:v>
                </c:pt>
                <c:pt idx="550">
                  <c:v>-25.1877</c:v>
                </c:pt>
                <c:pt idx="551">
                  <c:v>-25.909800000000001</c:v>
                </c:pt>
                <c:pt idx="552">
                  <c:v>120.3877</c:v>
                </c:pt>
                <c:pt idx="553">
                  <c:v>119.6653</c:v>
                </c:pt>
                <c:pt idx="554">
                  <c:v>102.0782</c:v>
                </c:pt>
                <c:pt idx="555">
                  <c:v>101.35590000000001</c:v>
                </c:pt>
                <c:pt idx="556">
                  <c:v>87.959299999999999</c:v>
                </c:pt>
                <c:pt idx="557">
                  <c:v>87.236599999999996</c:v>
                </c:pt>
                <c:pt idx="558">
                  <c:v>77.215500000000006</c:v>
                </c:pt>
                <c:pt idx="559">
                  <c:v>76.493399999999994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5D-4172-AA29-757F586C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938751"/>
        <c:axId val="1384939231"/>
      </c:scatterChart>
      <c:valAx>
        <c:axId val="13849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9231"/>
        <c:crosses val="autoZero"/>
        <c:crossBetween val="midCat"/>
      </c:valAx>
      <c:valAx>
        <c:axId val="138493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chart" Target="../charts/chart1.xml"/><Relationship Id="rId7" Type="http://schemas.openxmlformats.org/officeDocument/2006/relationships/image" Target="../media/image27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chart" Target="../charts/chart2.xml"/><Relationship Id="rId9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171450</xdr:rowOff>
    </xdr:from>
    <xdr:to>
      <xdr:col>7</xdr:col>
      <xdr:colOff>618450</xdr:colOff>
      <xdr:row>7</xdr:row>
      <xdr:rowOff>93478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A8C01A-8D83-5626-1045-EB1286AE5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52450"/>
          <a:ext cx="5400000" cy="8745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7</xdr:col>
      <xdr:colOff>542250</xdr:colOff>
      <xdr:row>23</xdr:row>
      <xdr:rowOff>85436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7F3F00-F877-49E8-728A-849B1504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238500"/>
          <a:ext cx="5400000" cy="122843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24</xdr:row>
      <xdr:rowOff>180975</xdr:rowOff>
    </xdr:from>
    <xdr:to>
      <xdr:col>7</xdr:col>
      <xdr:colOff>561300</xdr:colOff>
      <xdr:row>46</xdr:row>
      <xdr:rowOff>10351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5695E4-0781-4566-2A8B-E6B1EC5B3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4752975"/>
          <a:ext cx="5400000" cy="4020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6</xdr:col>
      <xdr:colOff>657864</xdr:colOff>
      <xdr:row>75</xdr:row>
      <xdr:rowOff>133608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C247EF6-5453-6B5D-75EB-123261983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2573000"/>
          <a:ext cx="4582164" cy="1848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6</xdr:col>
      <xdr:colOff>524496</xdr:colOff>
      <xdr:row>125</xdr:row>
      <xdr:rowOff>85870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F81D02-2571-205B-717D-5D8A1C03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3050500"/>
          <a:ext cx="4448796" cy="1038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6</xdr:col>
      <xdr:colOff>562601</xdr:colOff>
      <xdr:row>147</xdr:row>
      <xdr:rowOff>66791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A804B40-425F-22CD-A1F9-F9774912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7432000"/>
          <a:ext cx="4486901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6</xdr:col>
      <xdr:colOff>543549</xdr:colOff>
      <xdr:row>161</xdr:row>
      <xdr:rowOff>66817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575CB2-D3A4-9125-55D4-979833348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29908500"/>
          <a:ext cx="4467849" cy="10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6</xdr:col>
      <xdr:colOff>400654</xdr:colOff>
      <xdr:row>176</xdr:row>
      <xdr:rowOff>28739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FEEF8D6-B04E-BE87-6891-06173036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32575500"/>
          <a:ext cx="4324954" cy="1171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6</xdr:col>
      <xdr:colOff>600706</xdr:colOff>
      <xdr:row>190</xdr:row>
      <xdr:rowOff>133635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A7C17E8-D5C1-1079-EB09-8BFF91CD1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34480500"/>
          <a:ext cx="4525006" cy="2038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6</xdr:col>
      <xdr:colOff>657864</xdr:colOff>
      <xdr:row>227</xdr:row>
      <xdr:rowOff>9633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4EF7F8E-92A4-E823-C741-8AF98DAEE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42672000"/>
          <a:ext cx="4582164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6</xdr:col>
      <xdr:colOff>619759</xdr:colOff>
      <xdr:row>238</xdr:row>
      <xdr:rowOff>105029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236DC3-E19B-BD7D-DE57-E30D425D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43815000"/>
          <a:ext cx="4544059" cy="1819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38100</xdr:rowOff>
    </xdr:from>
    <xdr:to>
      <xdr:col>6</xdr:col>
      <xdr:colOff>629285</xdr:colOff>
      <xdr:row>246</xdr:row>
      <xdr:rowOff>104944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60E55EC-D523-E666-1AF5-8860599AC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45948600"/>
          <a:ext cx="4553585" cy="1209844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250</xdr:row>
      <xdr:rowOff>66675</xdr:rowOff>
    </xdr:from>
    <xdr:to>
      <xdr:col>6</xdr:col>
      <xdr:colOff>657870</xdr:colOff>
      <xdr:row>258</xdr:row>
      <xdr:rowOff>181204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7FD99BC-8EF9-4A36-52D0-13806C54A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3900" y="47882175"/>
          <a:ext cx="4620270" cy="163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6</xdr:col>
      <xdr:colOff>648338</xdr:colOff>
      <xdr:row>277</xdr:row>
      <xdr:rowOff>53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2E36D71-E740-2424-D640-4292EFBB8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2000" y="52578000"/>
          <a:ext cx="4572638" cy="38105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277</xdr:row>
      <xdr:rowOff>38100</xdr:rowOff>
    </xdr:from>
    <xdr:to>
      <xdr:col>6</xdr:col>
      <xdr:colOff>657862</xdr:colOff>
      <xdr:row>295</xdr:row>
      <xdr:rowOff>95737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FBD43C1-2202-C018-31ED-D643F52C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" y="52997100"/>
          <a:ext cx="4563112" cy="3486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1</xdr:row>
      <xdr:rowOff>14287</xdr:rowOff>
    </xdr:from>
    <xdr:ext cx="1068498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8565281-D71F-FB45-F654-3796E54C6972}"/>
                </a:ext>
              </a:extLst>
            </xdr:cNvPr>
            <xdr:cNvSpPr txBox="1"/>
          </xdr:nvSpPr>
          <xdr:spPr>
            <a:xfrm>
              <a:off x="4038600" y="204787"/>
              <a:ext cx="1068498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8565281-D71F-FB45-F654-3796E54C6972}"/>
                </a:ext>
              </a:extLst>
            </xdr:cNvPr>
            <xdr:cNvSpPr txBox="1"/>
          </xdr:nvSpPr>
          <xdr:spPr>
            <a:xfrm>
              <a:off x="4038600" y="204787"/>
              <a:ext cx="1068498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5</xdr:col>
      <xdr:colOff>333375</xdr:colOff>
      <xdr:row>4</xdr:row>
      <xdr:rowOff>33337</xdr:rowOff>
    </xdr:from>
    <xdr:ext cx="937501" cy="3515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96E8BF9-81E0-E863-15BA-489EA171ED71}"/>
                </a:ext>
              </a:extLst>
            </xdr:cNvPr>
            <xdr:cNvSpPr txBox="1"/>
          </xdr:nvSpPr>
          <xdr:spPr>
            <a:xfrm>
              <a:off x="4143375" y="795337"/>
              <a:ext cx="937501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𝐴𝑠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0.85.</m:t>
                        </m:r>
                        <m:sSup>
                          <m:sSup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𝑐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96E8BF9-81E0-E863-15BA-489EA171ED71}"/>
                </a:ext>
              </a:extLst>
            </xdr:cNvPr>
            <xdr:cNvSpPr txBox="1"/>
          </xdr:nvSpPr>
          <xdr:spPr>
            <a:xfrm>
              <a:off x="4143375" y="795337"/>
              <a:ext cx="937501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𝑎=(𝐴𝑠.𝑓𝑦)/(0.85.𝑓^′ 𝑐.𝑏)</a:t>
              </a:r>
              <a:endParaRPr lang="es-PE" sz="1100"/>
            </a:p>
          </xdr:txBody>
        </xdr:sp>
      </mc:Fallback>
    </mc:AlternateContent>
    <xdr:clientData/>
  </xdr:oneCellAnchor>
  <xdr:twoCellAnchor>
    <xdr:from>
      <xdr:col>10</xdr:col>
      <xdr:colOff>590550</xdr:colOff>
      <xdr:row>20</xdr:row>
      <xdr:rowOff>47625</xdr:rowOff>
    </xdr:from>
    <xdr:to>
      <xdr:col>19</xdr:col>
      <xdr:colOff>38100</xdr:colOff>
      <xdr:row>20</xdr:row>
      <xdr:rowOff>57150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37ACECB-7A38-DA52-7EC4-48F56230658E}"/>
            </a:ext>
          </a:extLst>
        </xdr:cNvPr>
        <xdr:cNvCxnSpPr/>
      </xdr:nvCxnSpPr>
      <xdr:spPr>
        <a:xfrm>
          <a:off x="8496300" y="3857625"/>
          <a:ext cx="63055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17</xdr:row>
      <xdr:rowOff>66675</xdr:rowOff>
    </xdr:from>
    <xdr:to>
      <xdr:col>10</xdr:col>
      <xdr:colOff>590550</xdr:colOff>
      <xdr:row>20</xdr:row>
      <xdr:rowOff>47625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6922AFA3-EC22-6B78-4774-7CBAD5E4F61E}"/>
            </a:ext>
          </a:extLst>
        </xdr:cNvPr>
        <xdr:cNvCxnSpPr/>
      </xdr:nvCxnSpPr>
      <xdr:spPr>
        <a:xfrm flipV="1">
          <a:off x="8496300" y="33051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24</xdr:row>
      <xdr:rowOff>104775</xdr:rowOff>
    </xdr:from>
    <xdr:to>
      <xdr:col>19</xdr:col>
      <xdr:colOff>38100</xdr:colOff>
      <xdr:row>24</xdr:row>
      <xdr:rowOff>114300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6B4FAC6E-EB39-486C-9825-D900179CF1F6}"/>
            </a:ext>
          </a:extLst>
        </xdr:cNvPr>
        <xdr:cNvCxnSpPr/>
      </xdr:nvCxnSpPr>
      <xdr:spPr>
        <a:xfrm>
          <a:off x="8496300" y="4676775"/>
          <a:ext cx="63055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24</xdr:row>
      <xdr:rowOff>95250</xdr:rowOff>
    </xdr:from>
    <xdr:to>
      <xdr:col>10</xdr:col>
      <xdr:colOff>600075</xdr:colOff>
      <xdr:row>27</xdr:row>
      <xdr:rowOff>76200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CF1712B1-9D26-4434-B619-FDA7D18D6919}"/>
            </a:ext>
          </a:extLst>
        </xdr:cNvPr>
        <xdr:cNvCxnSpPr/>
      </xdr:nvCxnSpPr>
      <xdr:spPr>
        <a:xfrm flipV="1">
          <a:off x="8505825" y="466725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17</xdr:row>
      <xdr:rowOff>76200</xdr:rowOff>
    </xdr:from>
    <xdr:to>
      <xdr:col>19</xdr:col>
      <xdr:colOff>9525</xdr:colOff>
      <xdr:row>20</xdr:row>
      <xdr:rowOff>57150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BCB546AC-2150-4EB5-92B5-F13DB954E87E}"/>
            </a:ext>
          </a:extLst>
        </xdr:cNvPr>
        <xdr:cNvCxnSpPr/>
      </xdr:nvCxnSpPr>
      <xdr:spPr>
        <a:xfrm flipV="1">
          <a:off x="14773275" y="331470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24</xdr:row>
      <xdr:rowOff>104775</xdr:rowOff>
    </xdr:from>
    <xdr:to>
      <xdr:col>19</xdr:col>
      <xdr:colOff>19050</xdr:colOff>
      <xdr:row>27</xdr:row>
      <xdr:rowOff>85725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8BAFE23B-935D-485C-9AF5-500B5B856D10}"/>
            </a:ext>
          </a:extLst>
        </xdr:cNvPr>
        <xdr:cNvCxnSpPr/>
      </xdr:nvCxnSpPr>
      <xdr:spPr>
        <a:xfrm flipV="1">
          <a:off x="14782800" y="46767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17</xdr:row>
      <xdr:rowOff>76200</xdr:rowOff>
    </xdr:from>
    <xdr:to>
      <xdr:col>20</xdr:col>
      <xdr:colOff>95250</xdr:colOff>
      <xdr:row>27</xdr:row>
      <xdr:rowOff>9525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75079D18-1429-4884-B022-30DA922EF644}"/>
            </a:ext>
          </a:extLst>
        </xdr:cNvPr>
        <xdr:cNvCxnSpPr/>
      </xdr:nvCxnSpPr>
      <xdr:spPr>
        <a:xfrm flipV="1">
          <a:off x="15621000" y="3314700"/>
          <a:ext cx="0" cy="18383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20</xdr:row>
      <xdr:rowOff>47625</xdr:rowOff>
    </xdr:from>
    <xdr:to>
      <xdr:col>9</xdr:col>
      <xdr:colOff>514350</xdr:colOff>
      <xdr:row>20</xdr:row>
      <xdr:rowOff>57150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F83B6E5-C408-412D-93B7-FF6018EBC1FA}"/>
            </a:ext>
          </a:extLst>
        </xdr:cNvPr>
        <xdr:cNvCxnSpPr/>
      </xdr:nvCxnSpPr>
      <xdr:spPr>
        <a:xfrm>
          <a:off x="6153150" y="3857625"/>
          <a:ext cx="15049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723900</xdr:colOff>
      <xdr:row>24</xdr:row>
      <xdr:rowOff>114300</xdr:rowOff>
    </xdr:from>
    <xdr:to>
      <xdr:col>9</xdr:col>
      <xdr:colOff>514350</xdr:colOff>
      <xdr:row>24</xdr:row>
      <xdr:rowOff>114300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D1C20DD0-3C16-43E8-B686-9BFD5E5F618D}"/>
            </a:ext>
          </a:extLst>
        </xdr:cNvPr>
        <xdr:cNvCxnSpPr/>
      </xdr:nvCxnSpPr>
      <xdr:spPr>
        <a:xfrm>
          <a:off x="6096000" y="4686300"/>
          <a:ext cx="1562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485775</xdr:colOff>
      <xdr:row>17</xdr:row>
      <xdr:rowOff>76200</xdr:rowOff>
    </xdr:from>
    <xdr:to>
      <xdr:col>9</xdr:col>
      <xdr:colOff>485775</xdr:colOff>
      <xdr:row>20</xdr:row>
      <xdr:rowOff>57150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A514C700-1962-4560-8262-4EEC04C0CCA4}"/>
            </a:ext>
          </a:extLst>
        </xdr:cNvPr>
        <xdr:cNvCxnSpPr/>
      </xdr:nvCxnSpPr>
      <xdr:spPr>
        <a:xfrm flipV="1">
          <a:off x="7629525" y="331470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24</xdr:row>
      <xdr:rowOff>104775</xdr:rowOff>
    </xdr:from>
    <xdr:to>
      <xdr:col>9</xdr:col>
      <xdr:colOff>495300</xdr:colOff>
      <xdr:row>27</xdr:row>
      <xdr:rowOff>85725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34BCED96-0017-420C-A979-8DFD5BFC0B3D}"/>
            </a:ext>
          </a:extLst>
        </xdr:cNvPr>
        <xdr:cNvCxnSpPr/>
      </xdr:nvCxnSpPr>
      <xdr:spPr>
        <a:xfrm flipV="1">
          <a:off x="7639050" y="46767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742950</xdr:colOff>
      <xdr:row>20</xdr:row>
      <xdr:rowOff>19050</xdr:rowOff>
    </xdr:from>
    <xdr:to>
      <xdr:col>8</xdr:col>
      <xdr:colOff>0</xdr:colOff>
      <xdr:row>24</xdr:row>
      <xdr:rowOff>123825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2048AC7F-4A50-4D81-BDCA-D36C7DACE6EB}"/>
            </a:ext>
          </a:extLst>
        </xdr:cNvPr>
        <xdr:cNvCxnSpPr/>
      </xdr:nvCxnSpPr>
      <xdr:spPr>
        <a:xfrm flipV="1">
          <a:off x="6115050" y="3829050"/>
          <a:ext cx="19050" cy="8667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20</xdr:row>
      <xdr:rowOff>133350</xdr:rowOff>
    </xdr:from>
    <xdr:to>
      <xdr:col>19</xdr:col>
      <xdr:colOff>723900</xdr:colOff>
      <xdr:row>20</xdr:row>
      <xdr:rowOff>142875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3C389972-BE77-4422-9AE3-C0256FE75EC5}"/>
            </a:ext>
          </a:extLst>
        </xdr:cNvPr>
        <xdr:cNvCxnSpPr/>
      </xdr:nvCxnSpPr>
      <xdr:spPr>
        <a:xfrm>
          <a:off x="6181725" y="3943350"/>
          <a:ext cx="930592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20</xdr:row>
      <xdr:rowOff>123825</xdr:rowOff>
    </xdr:from>
    <xdr:to>
      <xdr:col>8</xdr:col>
      <xdr:colOff>57150</xdr:colOff>
      <xdr:row>22</xdr:row>
      <xdr:rowOff>161925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10FC575E-BB0C-46C9-857B-D40E5D12DFA3}"/>
            </a:ext>
          </a:extLst>
        </xdr:cNvPr>
        <xdr:cNvCxnSpPr/>
      </xdr:nvCxnSpPr>
      <xdr:spPr>
        <a:xfrm flipV="1">
          <a:off x="6191250" y="3933825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742950</xdr:colOff>
      <xdr:row>20</xdr:row>
      <xdr:rowOff>133350</xdr:rowOff>
    </xdr:from>
    <xdr:to>
      <xdr:col>19</xdr:col>
      <xdr:colOff>742950</xdr:colOff>
      <xdr:row>22</xdr:row>
      <xdr:rowOff>171450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80FEC118-2CAC-4131-A9C2-DCE85D8C535C}"/>
            </a:ext>
          </a:extLst>
        </xdr:cNvPr>
        <xdr:cNvCxnSpPr/>
      </xdr:nvCxnSpPr>
      <xdr:spPr>
        <a:xfrm flipV="1">
          <a:off x="15506700" y="3943350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17</xdr:row>
      <xdr:rowOff>114300</xdr:rowOff>
    </xdr:from>
    <xdr:to>
      <xdr:col>11</xdr:col>
      <xdr:colOff>676275</xdr:colOff>
      <xdr:row>20</xdr:row>
      <xdr:rowOff>123825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5E98A23F-2E91-FFD4-DFC6-BDB43244510D}"/>
            </a:ext>
          </a:extLst>
        </xdr:cNvPr>
        <xdr:cNvCxnSpPr/>
      </xdr:nvCxnSpPr>
      <xdr:spPr>
        <a:xfrm flipH="1">
          <a:off x="8848725" y="3352800"/>
          <a:ext cx="495300" cy="581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809625</xdr:colOff>
      <xdr:row>21</xdr:row>
      <xdr:rowOff>38100</xdr:rowOff>
    </xdr:from>
    <xdr:to>
      <xdr:col>13</xdr:col>
      <xdr:colOff>447675</xdr:colOff>
      <xdr:row>21</xdr:row>
      <xdr:rowOff>47625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CA6CBD4F-5658-442D-9FB1-8128B629F485}"/>
            </a:ext>
          </a:extLst>
        </xdr:cNvPr>
        <xdr:cNvCxnSpPr/>
      </xdr:nvCxnSpPr>
      <xdr:spPr>
        <a:xfrm>
          <a:off x="6943725" y="4038600"/>
          <a:ext cx="3695700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228600</xdr:colOff>
      <xdr:row>18</xdr:row>
      <xdr:rowOff>95250</xdr:rowOff>
    </xdr:from>
    <xdr:to>
      <xdr:col>12</xdr:col>
      <xdr:colOff>704850</xdr:colOff>
      <xdr:row>21</xdr:row>
      <xdr:rowOff>47625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B486C55F-5D40-42C3-980C-2014623F5B48}"/>
            </a:ext>
          </a:extLst>
        </xdr:cNvPr>
        <xdr:cNvCxnSpPr/>
      </xdr:nvCxnSpPr>
      <xdr:spPr>
        <a:xfrm flipH="1">
          <a:off x="9658350" y="3524250"/>
          <a:ext cx="476250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21</xdr:row>
      <xdr:rowOff>28575</xdr:rowOff>
    </xdr:from>
    <xdr:to>
      <xdr:col>19</xdr:col>
      <xdr:colOff>523875</xdr:colOff>
      <xdr:row>21</xdr:row>
      <xdr:rowOff>57150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1F530459-CA32-448C-BB96-A7F4BDC63375}"/>
            </a:ext>
          </a:extLst>
        </xdr:cNvPr>
        <xdr:cNvCxnSpPr/>
      </xdr:nvCxnSpPr>
      <xdr:spPr>
        <a:xfrm>
          <a:off x="12706350" y="4029075"/>
          <a:ext cx="2581275" cy="285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523875</xdr:colOff>
      <xdr:row>21</xdr:row>
      <xdr:rowOff>28575</xdr:rowOff>
    </xdr:from>
    <xdr:to>
      <xdr:col>19</xdr:col>
      <xdr:colOff>523875</xdr:colOff>
      <xdr:row>23</xdr:row>
      <xdr:rowOff>66675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7C822C3E-0839-4FE3-A1E8-3355005C27D5}"/>
            </a:ext>
          </a:extLst>
        </xdr:cNvPr>
        <xdr:cNvCxnSpPr/>
      </xdr:nvCxnSpPr>
      <xdr:spPr>
        <a:xfrm flipV="1">
          <a:off x="15287625" y="4029075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457200</xdr:colOff>
      <xdr:row>30</xdr:row>
      <xdr:rowOff>133350</xdr:rowOff>
    </xdr:from>
    <xdr:to>
      <xdr:col>21</xdr:col>
      <xdr:colOff>79200</xdr:colOff>
      <xdr:row>33</xdr:row>
      <xdr:rowOff>107232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39F562D-5B45-654F-608F-CC0764B6B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6950" y="5848350"/>
          <a:ext cx="6480000" cy="545382"/>
        </a:xfrm>
        <a:prstGeom prst="rect">
          <a:avLst/>
        </a:prstGeom>
      </xdr:spPr>
    </xdr:pic>
    <xdr:clientData/>
  </xdr:twoCellAnchor>
  <xdr:twoCellAnchor>
    <xdr:from>
      <xdr:col>10</xdr:col>
      <xdr:colOff>647700</xdr:colOff>
      <xdr:row>21</xdr:row>
      <xdr:rowOff>142875</xdr:rowOff>
    </xdr:from>
    <xdr:to>
      <xdr:col>13</xdr:col>
      <xdr:colOff>466725</xdr:colOff>
      <xdr:row>21</xdr:row>
      <xdr:rowOff>161925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2A41975B-EB52-204D-46E7-4DDE870BADC7}"/>
            </a:ext>
          </a:extLst>
        </xdr:cNvPr>
        <xdr:cNvCxnSpPr/>
      </xdr:nvCxnSpPr>
      <xdr:spPr>
        <a:xfrm>
          <a:off x="8553450" y="4143375"/>
          <a:ext cx="210502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21</xdr:row>
      <xdr:rowOff>104775</xdr:rowOff>
    </xdr:from>
    <xdr:to>
      <xdr:col>19</xdr:col>
      <xdr:colOff>38100</xdr:colOff>
      <xdr:row>21</xdr:row>
      <xdr:rowOff>123825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EE18282D-421D-4B68-9EDD-D45D2B70C372}"/>
            </a:ext>
          </a:extLst>
        </xdr:cNvPr>
        <xdr:cNvCxnSpPr/>
      </xdr:nvCxnSpPr>
      <xdr:spPr>
        <a:xfrm>
          <a:off x="12696825" y="4105275"/>
          <a:ext cx="210502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24</xdr:row>
      <xdr:rowOff>9525</xdr:rowOff>
    </xdr:from>
    <xdr:to>
      <xdr:col>19</xdr:col>
      <xdr:colOff>657225</xdr:colOff>
      <xdr:row>24</xdr:row>
      <xdr:rowOff>19050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01FAAA92-F0F5-4509-896B-61FDFA4F3030}"/>
            </a:ext>
          </a:extLst>
        </xdr:cNvPr>
        <xdr:cNvCxnSpPr/>
      </xdr:nvCxnSpPr>
      <xdr:spPr>
        <a:xfrm>
          <a:off x="6248400" y="4581525"/>
          <a:ext cx="917257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21</xdr:row>
      <xdr:rowOff>161925</xdr:rowOff>
    </xdr:from>
    <xdr:to>
      <xdr:col>8</xdr:col>
      <xdr:colOff>123825</xdr:colOff>
      <xdr:row>24</xdr:row>
      <xdr:rowOff>9525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2296AFFF-42AD-446C-8C6B-2E6540E6F072}"/>
            </a:ext>
          </a:extLst>
        </xdr:cNvPr>
        <xdr:cNvCxnSpPr/>
      </xdr:nvCxnSpPr>
      <xdr:spPr>
        <a:xfrm flipV="1">
          <a:off x="6257925" y="4162425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638175</xdr:colOff>
      <xdr:row>22</xdr:row>
      <xdr:rowOff>0</xdr:rowOff>
    </xdr:from>
    <xdr:to>
      <xdr:col>19</xdr:col>
      <xdr:colOff>638175</xdr:colOff>
      <xdr:row>24</xdr:row>
      <xdr:rowOff>38100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8F5BA0EE-C7AE-4ABF-B02E-24D6CAB8135E}"/>
            </a:ext>
          </a:extLst>
        </xdr:cNvPr>
        <xdr:cNvCxnSpPr/>
      </xdr:nvCxnSpPr>
      <xdr:spPr>
        <a:xfrm flipV="1">
          <a:off x="15401925" y="4191000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257175</xdr:colOff>
      <xdr:row>24</xdr:row>
      <xdr:rowOff>28575</xdr:rowOff>
    </xdr:from>
    <xdr:to>
      <xdr:col>16</xdr:col>
      <xdr:colOff>57150</xdr:colOff>
      <xdr:row>26</xdr:row>
      <xdr:rowOff>85725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97DE8611-9C77-4A1E-91BF-A8EF719F1CE6}"/>
            </a:ext>
          </a:extLst>
        </xdr:cNvPr>
        <xdr:cNvCxnSpPr/>
      </xdr:nvCxnSpPr>
      <xdr:spPr>
        <a:xfrm flipH="1" flipV="1">
          <a:off x="11972925" y="4600575"/>
          <a:ext cx="561975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638175</xdr:colOff>
      <xdr:row>23</xdr:row>
      <xdr:rowOff>114300</xdr:rowOff>
    </xdr:from>
    <xdr:to>
      <xdr:col>17</xdr:col>
      <xdr:colOff>19050</xdr:colOff>
      <xdr:row>23</xdr:row>
      <xdr:rowOff>123825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1FB3BE3C-0733-44E9-992E-0464B51C17BC}"/>
            </a:ext>
          </a:extLst>
        </xdr:cNvPr>
        <xdr:cNvCxnSpPr/>
      </xdr:nvCxnSpPr>
      <xdr:spPr>
        <a:xfrm>
          <a:off x="10067925" y="4495800"/>
          <a:ext cx="319087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23</xdr:row>
      <xdr:rowOff>152400</xdr:rowOff>
    </xdr:from>
    <xdr:to>
      <xdr:col>14</xdr:col>
      <xdr:colOff>133350</xdr:colOff>
      <xdr:row>26</xdr:row>
      <xdr:rowOff>19050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C449B924-1A09-4823-8CE7-3ECDBB4B12D7}"/>
            </a:ext>
          </a:extLst>
        </xdr:cNvPr>
        <xdr:cNvCxnSpPr/>
      </xdr:nvCxnSpPr>
      <xdr:spPr>
        <a:xfrm flipH="1" flipV="1">
          <a:off x="10525125" y="4533900"/>
          <a:ext cx="561975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25</xdr:row>
      <xdr:rowOff>66675</xdr:rowOff>
    </xdr:from>
    <xdr:to>
      <xdr:col>12</xdr:col>
      <xdr:colOff>628650</xdr:colOff>
      <xdr:row>25</xdr:row>
      <xdr:rowOff>76200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C7D42856-B8C2-572D-0361-FA2BCDD52D65}"/>
            </a:ext>
          </a:extLst>
        </xdr:cNvPr>
        <xdr:cNvCxnSpPr/>
      </xdr:nvCxnSpPr>
      <xdr:spPr>
        <a:xfrm>
          <a:off x="8496300" y="4829175"/>
          <a:ext cx="15621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752475</xdr:colOff>
      <xdr:row>25</xdr:row>
      <xdr:rowOff>95250</xdr:rowOff>
    </xdr:from>
    <xdr:to>
      <xdr:col>19</xdr:col>
      <xdr:colOff>28575</xdr:colOff>
      <xdr:row>25</xdr:row>
      <xdr:rowOff>104775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6082CE4F-29C4-416A-B8B2-0A04A4AAF2F3}"/>
            </a:ext>
          </a:extLst>
        </xdr:cNvPr>
        <xdr:cNvCxnSpPr/>
      </xdr:nvCxnSpPr>
      <xdr:spPr>
        <a:xfrm>
          <a:off x="13230225" y="4857750"/>
          <a:ext cx="15621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790575</xdr:colOff>
      <xdr:row>21</xdr:row>
      <xdr:rowOff>133350</xdr:rowOff>
    </xdr:from>
    <xdr:to>
      <xdr:col>9</xdr:col>
      <xdr:colOff>485775</xdr:colOff>
      <xdr:row>21</xdr:row>
      <xdr:rowOff>133350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23FB1133-91DF-4C48-BB9F-836ABAF47AFD}"/>
            </a:ext>
          </a:extLst>
        </xdr:cNvPr>
        <xdr:cNvCxnSpPr/>
      </xdr:nvCxnSpPr>
      <xdr:spPr>
        <a:xfrm>
          <a:off x="6924675" y="4133850"/>
          <a:ext cx="7048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190499</xdr:colOff>
      <xdr:row>46</xdr:row>
      <xdr:rowOff>47625</xdr:rowOff>
    </xdr:from>
    <xdr:to>
      <xdr:col>2</xdr:col>
      <xdr:colOff>752716</xdr:colOff>
      <xdr:row>49</xdr:row>
      <xdr:rowOff>145509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28C22E39-A899-4EF2-72D6-D9119FA2A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9" y="8810625"/>
          <a:ext cx="1324217" cy="669384"/>
        </a:xfrm>
        <a:prstGeom prst="rect">
          <a:avLst/>
        </a:prstGeom>
      </xdr:spPr>
    </xdr:pic>
    <xdr:clientData/>
  </xdr:twoCellAnchor>
  <xdr:twoCellAnchor editAs="oneCell">
    <xdr:from>
      <xdr:col>8</xdr:col>
      <xdr:colOff>933450</xdr:colOff>
      <xdr:row>44</xdr:row>
      <xdr:rowOff>133350</xdr:rowOff>
    </xdr:from>
    <xdr:to>
      <xdr:col>17</xdr:col>
      <xdr:colOff>307800</xdr:colOff>
      <xdr:row>48</xdr:row>
      <xdr:rowOff>1449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3F7E36CE-33EC-6BB4-6CD8-B6D9FBC7C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67550" y="8515350"/>
          <a:ext cx="6480000" cy="630099"/>
        </a:xfrm>
        <a:prstGeom prst="rect">
          <a:avLst/>
        </a:prstGeom>
      </xdr:spPr>
    </xdr:pic>
    <xdr:clientData/>
  </xdr:twoCellAnchor>
  <xdr:twoCellAnchor>
    <xdr:from>
      <xdr:col>19</xdr:col>
      <xdr:colOff>28575</xdr:colOff>
      <xdr:row>19</xdr:row>
      <xdr:rowOff>19050</xdr:rowOff>
    </xdr:from>
    <xdr:to>
      <xdr:col>20</xdr:col>
      <xdr:colOff>9525</xdr:colOff>
      <xdr:row>19</xdr:row>
      <xdr:rowOff>28575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831623D9-C04D-E674-FC50-B69561C05890}"/>
            </a:ext>
          </a:extLst>
        </xdr:cNvPr>
        <xdr:cNvCxnSpPr/>
      </xdr:nvCxnSpPr>
      <xdr:spPr>
        <a:xfrm flipV="1">
          <a:off x="14792325" y="3638550"/>
          <a:ext cx="74295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104775</xdr:colOff>
      <xdr:row>49</xdr:row>
      <xdr:rowOff>28575</xdr:rowOff>
    </xdr:from>
    <xdr:to>
      <xdr:col>16</xdr:col>
      <xdr:colOff>601271</xdr:colOff>
      <xdr:row>67</xdr:row>
      <xdr:rowOff>52525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3319838-FDBE-A953-289F-19F9C4A32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48525" y="9363075"/>
          <a:ext cx="5830496" cy="3452950"/>
        </a:xfrm>
        <a:prstGeom prst="rect">
          <a:avLst/>
        </a:prstGeom>
      </xdr:spPr>
    </xdr:pic>
    <xdr:clientData/>
  </xdr:twoCellAnchor>
  <xdr:oneCellAnchor>
    <xdr:from>
      <xdr:col>4</xdr:col>
      <xdr:colOff>276225</xdr:colOff>
      <xdr:row>73</xdr:row>
      <xdr:rowOff>176212</xdr:rowOff>
    </xdr:from>
    <xdr:ext cx="1200713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15B7074-C5A1-313B-9151-70AFA4FA5C0D}"/>
                </a:ext>
              </a:extLst>
            </xdr:cNvPr>
            <xdr:cNvSpPr txBox="1"/>
          </xdr:nvSpPr>
          <xdr:spPr>
            <a:xfrm>
              <a:off x="3362325" y="14082712"/>
              <a:ext cx="120071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0" i="1">
                      <a:latin typeface="Cambria Math" panose="02040503050406030204" pitchFamily="18" charset="0"/>
                    </a:rPr>
                    <m:t>𝑉𝑐</m:t>
                  </m:r>
                  <m:r>
                    <a:rPr lang="es-ES" sz="1100" b="0" i="1">
                      <a:latin typeface="Cambria Math" panose="02040503050406030204" pitchFamily="18" charset="0"/>
                    </a:rPr>
                    <m:t>=0.53.</m:t>
                  </m:r>
                  <m:rad>
                    <m:radPr>
                      <m:degHide m:val="on"/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s-E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ES" sz="11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p>
                          <m:r>
                            <a:rPr lang="es-ES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es-E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rad>
                  <m:r>
                    <a:rPr lang="es-ES" sz="1100" b="0" i="1">
                      <a:latin typeface="Cambria Math" panose="02040503050406030204" pitchFamily="18" charset="0"/>
                    </a:rPr>
                    <m:t>.</m:t>
                  </m:r>
                  <m:r>
                    <a:rPr lang="es-ES" sz="1100" b="0" i="1">
                      <a:latin typeface="Cambria Math" panose="02040503050406030204" pitchFamily="18" charset="0"/>
                    </a:rPr>
                    <m:t>𝑏</m:t>
                  </m:r>
                </m:oMath>
              </a14:m>
              <a:r>
                <a:rPr lang="es-PE" sz="1100"/>
                <a:t>.d</a:t>
              </a:r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15B7074-C5A1-313B-9151-70AFA4FA5C0D}"/>
                </a:ext>
              </a:extLst>
            </xdr:cNvPr>
            <xdr:cNvSpPr txBox="1"/>
          </xdr:nvSpPr>
          <xdr:spPr>
            <a:xfrm>
              <a:off x="3362325" y="14082712"/>
              <a:ext cx="120071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𝑉𝑐=0.53.√(𝑓^′ 𝑐).𝑏</a:t>
              </a:r>
              <a:r>
                <a:rPr lang="es-PE" sz="1100"/>
                <a:t>.d</a:t>
              </a:r>
            </a:p>
          </xdr:txBody>
        </xdr:sp>
      </mc:Fallback>
    </mc:AlternateContent>
    <xdr:clientData/>
  </xdr:oneCellAnchor>
  <xdr:oneCellAnchor>
    <xdr:from>
      <xdr:col>4</xdr:col>
      <xdr:colOff>257175</xdr:colOff>
      <xdr:row>75</xdr:row>
      <xdr:rowOff>23812</xdr:rowOff>
    </xdr:from>
    <xdr:ext cx="839653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25533A9-6282-63FB-B679-914A346F4191}"/>
                </a:ext>
              </a:extLst>
            </xdr:cNvPr>
            <xdr:cNvSpPr txBox="1"/>
          </xdr:nvSpPr>
          <xdr:spPr>
            <a:xfrm>
              <a:off x="3343275" y="14311312"/>
              <a:ext cx="83965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𝑉𝑠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=3.88.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𝑉𝑐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25533A9-6282-63FB-B679-914A346F4191}"/>
                </a:ext>
              </a:extLst>
            </xdr:cNvPr>
            <xdr:cNvSpPr txBox="1"/>
          </xdr:nvSpPr>
          <xdr:spPr>
            <a:xfrm>
              <a:off x="3343275" y="14311312"/>
              <a:ext cx="83965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𝑉𝑠=3.88.𝑉𝑐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1</xdr:col>
      <xdr:colOff>0</xdr:colOff>
      <xdr:row>82</xdr:row>
      <xdr:rowOff>0</xdr:rowOff>
    </xdr:from>
    <xdr:to>
      <xdr:col>8</xdr:col>
      <xdr:colOff>866217</xdr:colOff>
      <xdr:row>92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518045C-61E5-A568-22D7-307228F3F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15668625"/>
          <a:ext cx="6238317" cy="201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94</xdr:row>
      <xdr:rowOff>9525</xdr:rowOff>
    </xdr:from>
    <xdr:to>
      <xdr:col>9</xdr:col>
      <xdr:colOff>620178</xdr:colOff>
      <xdr:row>106</xdr:row>
      <xdr:rowOff>105107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EEC5554-AB71-4000-D6E1-07407646C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17964150"/>
          <a:ext cx="7544853" cy="23815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8</xdr:col>
      <xdr:colOff>809625</xdr:colOff>
      <xdr:row>110</xdr:row>
      <xdr:rowOff>115746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44B52A3-E456-0D5A-8DF5-CB1C63B7C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20621625"/>
          <a:ext cx="6181725" cy="496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8</xdr:col>
      <xdr:colOff>619125</xdr:colOff>
      <xdr:row>9</xdr:row>
      <xdr:rowOff>60651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759F0D-48E1-4B70-2D1D-FB3CCF9E6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33500"/>
          <a:ext cx="5972175" cy="441651"/>
        </a:xfrm>
        <a:prstGeom prst="rect">
          <a:avLst/>
        </a:prstGeom>
      </xdr:spPr>
    </xdr:pic>
    <xdr:clientData/>
  </xdr:twoCellAnchor>
  <xdr:twoCellAnchor editAs="oneCell">
    <xdr:from>
      <xdr:col>9</xdr:col>
      <xdr:colOff>333375</xdr:colOff>
      <xdr:row>8</xdr:row>
      <xdr:rowOff>66675</xdr:rowOff>
    </xdr:from>
    <xdr:to>
      <xdr:col>12</xdr:col>
      <xdr:colOff>676275</xdr:colOff>
      <xdr:row>16</xdr:row>
      <xdr:rowOff>21267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572762-19A0-D0EA-C3FA-42A394B21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590675"/>
          <a:ext cx="2628900" cy="1488117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17</xdr:row>
      <xdr:rowOff>61912</xdr:rowOff>
    </xdr:from>
    <xdr:to>
      <xdr:col>15</xdr:col>
      <xdr:colOff>142875</xdr:colOff>
      <xdr:row>31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0BE959-E5B1-F906-B06C-2C8D68DDD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76200</xdr:colOff>
      <xdr:row>34</xdr:row>
      <xdr:rowOff>0</xdr:rowOff>
    </xdr:from>
    <xdr:to>
      <xdr:col>15</xdr:col>
      <xdr:colOff>76200</xdr:colOff>
      <xdr:row>48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4FCE2FA-4D07-444C-981D-A9C76D298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51</xdr:row>
      <xdr:rowOff>190499</xdr:rowOff>
    </xdr:from>
    <xdr:to>
      <xdr:col>8</xdr:col>
      <xdr:colOff>609600</xdr:colOff>
      <xdr:row>67</xdr:row>
      <xdr:rowOff>110632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687821B-AF60-CB29-E3C1-7BD572E11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9915524"/>
          <a:ext cx="5962650" cy="2968133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50</xdr:row>
      <xdr:rowOff>133350</xdr:rowOff>
    </xdr:from>
    <xdr:to>
      <xdr:col>14</xdr:col>
      <xdr:colOff>514887</xdr:colOff>
      <xdr:row>82</xdr:row>
      <xdr:rowOff>48464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5FCA86-A423-075D-4388-E2DAB83F3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53300" y="9667875"/>
          <a:ext cx="3848637" cy="60111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8</xdr:col>
      <xdr:colOff>628650</xdr:colOff>
      <xdr:row>98</xdr:row>
      <xdr:rowOff>81673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4FED780-20A5-4042-2525-F49B987EB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8297525"/>
          <a:ext cx="5981700" cy="4626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8</xdr:col>
      <xdr:colOff>657225</xdr:colOff>
      <xdr:row>102</xdr:row>
      <xdr:rowOff>80301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E2519E5-5453-4E80-039F-16E5FBEB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19059525"/>
          <a:ext cx="6010275" cy="4613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8</xdr:col>
      <xdr:colOff>524695</xdr:colOff>
      <xdr:row>120</xdr:row>
      <xdr:rowOff>372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B3B8115-4A70-40D7-FC60-58B3BD67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20202525"/>
          <a:ext cx="5877745" cy="26673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13</xdr:row>
      <xdr:rowOff>57150</xdr:rowOff>
    </xdr:from>
    <xdr:to>
      <xdr:col>11</xdr:col>
      <xdr:colOff>381000</xdr:colOff>
      <xdr:row>15</xdr:row>
      <xdr:rowOff>13163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863140-B407-4AA5-2967-03E4CED8A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2533650"/>
          <a:ext cx="5934075" cy="337013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17</xdr:row>
      <xdr:rowOff>95250</xdr:rowOff>
    </xdr:from>
    <xdr:to>
      <xdr:col>12</xdr:col>
      <xdr:colOff>133350</xdr:colOff>
      <xdr:row>25</xdr:row>
      <xdr:rowOff>135813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486E93-9BF8-D9C3-8344-6B6311FA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0425" y="3333750"/>
          <a:ext cx="6076950" cy="1564563"/>
        </a:xfrm>
        <a:prstGeom prst="rect">
          <a:avLst/>
        </a:prstGeom>
      </xdr:spPr>
    </xdr:pic>
    <xdr:clientData/>
  </xdr:twoCellAnchor>
  <xdr:twoCellAnchor editAs="oneCell">
    <xdr:from>
      <xdr:col>9</xdr:col>
      <xdr:colOff>523875</xdr:colOff>
      <xdr:row>1</xdr:row>
      <xdr:rowOff>180975</xdr:rowOff>
    </xdr:from>
    <xdr:to>
      <xdr:col>20</xdr:col>
      <xdr:colOff>124939</xdr:colOff>
      <xdr:row>10</xdr:row>
      <xdr:rowOff>76425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92E489B-CBEB-29CA-B4A8-D10724CF3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1900" y="371475"/>
          <a:ext cx="7983064" cy="1609950"/>
        </a:xfrm>
        <a:prstGeom prst="rect">
          <a:avLst/>
        </a:prstGeom>
      </xdr:spPr>
    </xdr:pic>
    <xdr:clientData/>
  </xdr:twoCellAnchor>
  <xdr:twoCellAnchor>
    <xdr:from>
      <xdr:col>8</xdr:col>
      <xdr:colOff>600075</xdr:colOff>
      <xdr:row>65</xdr:row>
      <xdr:rowOff>176212</xdr:rowOff>
    </xdr:from>
    <xdr:to>
      <xdr:col>14</xdr:col>
      <xdr:colOff>600075</xdr:colOff>
      <xdr:row>80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1EE7FD-EA47-BDA3-B16B-43F5A52FC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355742</xdr:colOff>
      <xdr:row>1</xdr:row>
      <xdr:rowOff>4524</xdr:rowOff>
    </xdr:from>
    <xdr:to>
      <xdr:col>15</xdr:col>
      <xdr:colOff>474005</xdr:colOff>
      <xdr:row>16</xdr:row>
      <xdr:rowOff>1444</xdr:rowOff>
    </xdr:to>
    <xdr:pic>
      <xdr:nvPicPr>
        <xdr:cNvPr id="8" name="Imagen 7" descr="Qué son las losas aligeradas? - Construyendo Seguro">
          <a:extLst>
            <a:ext uri="{FF2B5EF4-FFF2-40B4-BE49-F238E27FC236}">
              <a16:creationId xmlns:a16="http://schemas.microsoft.com/office/drawing/2014/main" id="{44245C40-3DAC-4D26-B9E9-5EEE2925C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1742" y="195024"/>
          <a:ext cx="5452263" cy="285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39688</xdr:colOff>
      <xdr:row>12</xdr:row>
      <xdr:rowOff>158750</xdr:rowOff>
    </xdr:from>
    <xdr:to>
      <xdr:col>12</xdr:col>
      <xdr:colOff>23813</xdr:colOff>
      <xdr:row>12</xdr:row>
      <xdr:rowOff>166688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97ABAFB7-E681-48D7-91F0-E568B4D28D3B}"/>
            </a:ext>
          </a:extLst>
        </xdr:cNvPr>
        <xdr:cNvCxnSpPr/>
      </xdr:nvCxnSpPr>
      <xdr:spPr>
        <a:xfrm flipV="1">
          <a:off x="7659688" y="2444750"/>
          <a:ext cx="746125" cy="793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166687</xdr:colOff>
      <xdr:row>26</xdr:row>
      <xdr:rowOff>146484</xdr:rowOff>
    </xdr:from>
    <xdr:ext cx="1204817" cy="4345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7D03402C-51C6-4C6B-8E07-421EF65776AB}"/>
                </a:ext>
              </a:extLst>
            </xdr:cNvPr>
            <xdr:cNvSpPr txBox="1"/>
          </xdr:nvSpPr>
          <xdr:spPr>
            <a:xfrm>
              <a:off x="3976687" y="5099484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e>
                        </m:d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∅∗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7D03402C-51C6-4C6B-8E07-421EF65776AB}"/>
                </a:ext>
              </a:extLst>
            </xdr:cNvPr>
            <xdr:cNvSpPr txBox="1"/>
          </xdr:nvSpPr>
          <xdr:spPr>
            <a:xfrm>
              <a:off x="3976687" y="5099484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𝐴𝑠=|𝑀𝑢|/(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4</xdr:col>
      <xdr:colOff>672811</xdr:colOff>
      <xdr:row>23</xdr:row>
      <xdr:rowOff>19050</xdr:rowOff>
    </xdr:from>
    <xdr:ext cx="1760482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767731C9-4B43-6872-B49F-3E93A4D6DB37}"/>
                </a:ext>
              </a:extLst>
            </xdr:cNvPr>
            <xdr:cNvSpPr txBox="1"/>
          </xdr:nvSpPr>
          <xdr:spPr>
            <a:xfrm>
              <a:off x="3720811" y="4400550"/>
              <a:ext cx="17604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begChr m:val="|"/>
                                <m:endChr m:val="|"/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𝑀𝑢</m:t>
                                </m:r>
                              </m:e>
                            </m:d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0.85.</m:t>
                            </m:r>
                            <m:sSup>
                              <m:sSupPr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p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.∅.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767731C9-4B43-6872-B49F-3E93A4D6DB37}"/>
                </a:ext>
              </a:extLst>
            </xdr:cNvPr>
            <xdr:cNvSpPr txBox="1"/>
          </xdr:nvSpPr>
          <xdr:spPr>
            <a:xfrm>
              <a:off x="3720811" y="4400550"/>
              <a:ext cx="17604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𝑎=𝑑−√(𝑑^2−|2𝑀𝑢|/(0.85.𝑓^′ 𝑐.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∅.𝑏))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6</xdr:col>
      <xdr:colOff>0</xdr:colOff>
      <xdr:row>54</xdr:row>
      <xdr:rowOff>0</xdr:rowOff>
    </xdr:from>
    <xdr:to>
      <xdr:col>13</xdr:col>
      <xdr:colOff>562841</xdr:colOff>
      <xdr:row>60</xdr:row>
      <xdr:rowOff>142875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EBEF5F9-855C-AEA8-624A-E934EE076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10287000"/>
          <a:ext cx="5896841" cy="128587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61</xdr:row>
      <xdr:rowOff>1</xdr:rowOff>
    </xdr:from>
    <xdr:to>
      <xdr:col>13</xdr:col>
      <xdr:colOff>606137</xdr:colOff>
      <xdr:row>69</xdr:row>
      <xdr:rowOff>104429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7C4B014-7EF3-DD00-5CBB-AFE9B0660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1" y="11620501"/>
          <a:ext cx="5940136" cy="1628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702-6721-4C48-9714-29CE5EE0B09F}">
  <dimension ref="B2:O13"/>
  <sheetViews>
    <sheetView workbookViewId="0">
      <selection activeCell="O14" sqref="O14"/>
    </sheetView>
  </sheetViews>
  <sheetFormatPr baseColWidth="10" defaultRowHeight="15" x14ac:dyDescent="0.25"/>
  <sheetData>
    <row r="2" spans="2:15" x14ac:dyDescent="0.25">
      <c r="B2" t="s">
        <v>0</v>
      </c>
      <c r="C2" t="s">
        <v>1</v>
      </c>
      <c r="E2" t="s">
        <v>4</v>
      </c>
      <c r="F2">
        <v>0.2</v>
      </c>
    </row>
    <row r="3" spans="2:15" x14ac:dyDescent="0.25">
      <c r="B3" t="s">
        <v>2</v>
      </c>
      <c r="C3" t="s">
        <v>3</v>
      </c>
      <c r="E3" t="s">
        <v>5</v>
      </c>
      <c r="F3">
        <v>7.65</v>
      </c>
      <c r="G3">
        <f>0.25*F3</f>
        <v>1.9125000000000001</v>
      </c>
    </row>
    <row r="6" spans="2:15" x14ac:dyDescent="0.25">
      <c r="B6" t="s">
        <v>8</v>
      </c>
      <c r="D6" t="s">
        <v>6</v>
      </c>
      <c r="E6">
        <v>0.33667000000000002</v>
      </c>
      <c r="G6" t="s">
        <v>9</v>
      </c>
      <c r="I6" t="s">
        <v>7</v>
      </c>
      <c r="J6">
        <v>0.15684999999999999</v>
      </c>
      <c r="L6" t="s">
        <v>10</v>
      </c>
      <c r="N6" t="s">
        <v>6</v>
      </c>
      <c r="O6">
        <v>0.28632000000000002</v>
      </c>
    </row>
    <row r="7" spans="2:15" x14ac:dyDescent="0.25">
      <c r="D7" t="s">
        <v>7</v>
      </c>
      <c r="E7">
        <v>0.16944000000000001</v>
      </c>
      <c r="N7" t="s">
        <v>7</v>
      </c>
      <c r="O7">
        <f>0.85-0.49796</f>
        <v>0.35203999999999996</v>
      </c>
    </row>
    <row r="8" spans="2:15" x14ac:dyDescent="0.25">
      <c r="I8" t="s">
        <v>7</v>
      </c>
      <c r="J8">
        <f>0.25/2</f>
        <v>0.125</v>
      </c>
    </row>
    <row r="9" spans="2:15" x14ac:dyDescent="0.25">
      <c r="D9" t="s">
        <v>6</v>
      </c>
      <c r="E9">
        <f>0.24/2</f>
        <v>0.12</v>
      </c>
      <c r="N9" t="s">
        <v>6</v>
      </c>
      <c r="O9">
        <f>0.24/2</f>
        <v>0.12</v>
      </c>
    </row>
    <row r="10" spans="2:15" x14ac:dyDescent="0.25">
      <c r="D10" t="s">
        <v>7</v>
      </c>
      <c r="E10">
        <f>0.25/2</f>
        <v>0.125</v>
      </c>
      <c r="J10">
        <f>J6-J8</f>
        <v>3.1849999999999989E-2</v>
      </c>
      <c r="N10" t="s">
        <v>7</v>
      </c>
      <c r="O10">
        <f>0.25/2</f>
        <v>0.125</v>
      </c>
    </row>
    <row r="12" spans="2:15" x14ac:dyDescent="0.25">
      <c r="E12">
        <f>E6-E9</f>
        <v>0.21667000000000003</v>
      </c>
      <c r="O12">
        <f>O6-O9</f>
        <v>0.16632000000000002</v>
      </c>
    </row>
    <row r="13" spans="2:15" x14ac:dyDescent="0.25">
      <c r="E13">
        <f>E7-E10</f>
        <v>4.4440000000000007E-2</v>
      </c>
      <c r="O13">
        <f>O7-O10</f>
        <v>0.22703999999999996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8759-4448-474B-8AE1-38013864F156}">
  <dimension ref="B2:D16"/>
  <sheetViews>
    <sheetView workbookViewId="0">
      <selection activeCell="C13" sqref="C13"/>
    </sheetView>
  </sheetViews>
  <sheetFormatPr baseColWidth="10" defaultRowHeight="15" x14ac:dyDescent="0.25"/>
  <sheetData>
    <row r="2" spans="2:4" x14ac:dyDescent="0.25">
      <c r="B2" t="s">
        <v>11</v>
      </c>
      <c r="C2" s="2">
        <f>(C4*C5*C6*C12)/C13</f>
        <v>0.30937500000000001</v>
      </c>
    </row>
    <row r="4" spans="2:4" x14ac:dyDescent="0.25">
      <c r="B4" t="s">
        <v>21</v>
      </c>
      <c r="C4">
        <v>0.45</v>
      </c>
    </row>
    <row r="5" spans="2:4" x14ac:dyDescent="0.25">
      <c r="B5" t="s">
        <v>12</v>
      </c>
      <c r="C5" s="1">
        <v>1.5</v>
      </c>
    </row>
    <row r="6" spans="2:4" x14ac:dyDescent="0.25">
      <c r="B6" t="s">
        <v>13</v>
      </c>
      <c r="C6" s="1">
        <v>2.5</v>
      </c>
    </row>
    <row r="7" spans="2:4" x14ac:dyDescent="0.25">
      <c r="B7" s="3" t="s">
        <v>22</v>
      </c>
      <c r="C7" s="3">
        <f>C8/C9</f>
        <v>0.20149999999999998</v>
      </c>
      <c r="D7" s="3" t="s">
        <v>26</v>
      </c>
    </row>
    <row r="8" spans="2:4" x14ac:dyDescent="0.25">
      <c r="B8" t="s">
        <v>24</v>
      </c>
      <c r="C8">
        <v>12.09</v>
      </c>
      <c r="D8" t="s">
        <v>25</v>
      </c>
    </row>
    <row r="9" spans="2:4" x14ac:dyDescent="0.25">
      <c r="B9" t="s">
        <v>23</v>
      </c>
      <c r="C9">
        <v>60</v>
      </c>
    </row>
    <row r="10" spans="2:4" x14ac:dyDescent="0.25">
      <c r="B10" t="s">
        <v>14</v>
      </c>
      <c r="C10" s="1">
        <v>1</v>
      </c>
      <c r="D10" t="s">
        <v>26</v>
      </c>
    </row>
    <row r="11" spans="2:4" x14ac:dyDescent="0.25">
      <c r="B11" t="s">
        <v>15</v>
      </c>
      <c r="C11" s="1">
        <v>1.6</v>
      </c>
      <c r="D11" t="s">
        <v>26</v>
      </c>
    </row>
    <row r="12" spans="2:4" x14ac:dyDescent="0.25">
      <c r="B12" t="s">
        <v>16</v>
      </c>
      <c r="C12" s="1">
        <v>1.1000000000000001</v>
      </c>
    </row>
    <row r="13" spans="2:4" x14ac:dyDescent="0.25">
      <c r="B13" t="s">
        <v>17</v>
      </c>
      <c r="C13" s="1">
        <f>C14*C15*C16</f>
        <v>6</v>
      </c>
    </row>
    <row r="14" spans="2:4" x14ac:dyDescent="0.25">
      <c r="B14" t="s">
        <v>18</v>
      </c>
      <c r="C14" s="1">
        <v>6</v>
      </c>
    </row>
    <row r="15" spans="2:4" x14ac:dyDescent="0.25">
      <c r="B15" t="s">
        <v>19</v>
      </c>
      <c r="C15" s="1">
        <v>1</v>
      </c>
    </row>
    <row r="16" spans="2:4" x14ac:dyDescent="0.25">
      <c r="B16" t="s">
        <v>20</v>
      </c>
      <c r="C1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E8BC-D20A-4E3F-8451-974C6377F6F3}">
  <dimension ref="B2:R58"/>
  <sheetViews>
    <sheetView workbookViewId="0">
      <selection activeCell="C6" sqref="C6"/>
    </sheetView>
  </sheetViews>
  <sheetFormatPr baseColWidth="10" defaultRowHeight="15" x14ac:dyDescent="0.25"/>
  <cols>
    <col min="2" max="2" width="12.85546875" customWidth="1"/>
    <col min="16" max="16" width="16.85546875" customWidth="1"/>
  </cols>
  <sheetData>
    <row r="2" spans="2:18" x14ac:dyDescent="0.25">
      <c r="B2" s="5" t="s">
        <v>27</v>
      </c>
    </row>
    <row r="3" spans="2:18" x14ac:dyDescent="0.25">
      <c r="M3" s="4" t="s">
        <v>72</v>
      </c>
      <c r="O3" t="s">
        <v>31</v>
      </c>
      <c r="P3" t="s">
        <v>73</v>
      </c>
      <c r="Q3" s="4">
        <v>250</v>
      </c>
      <c r="R3" s="4" t="s">
        <v>74</v>
      </c>
    </row>
    <row r="4" spans="2:18" x14ac:dyDescent="0.25">
      <c r="B4" t="s">
        <v>28</v>
      </c>
      <c r="C4" t="s">
        <v>29</v>
      </c>
      <c r="P4" t="s">
        <v>75</v>
      </c>
      <c r="Q4" s="4">
        <v>400</v>
      </c>
      <c r="R4" s="4" t="s">
        <v>74</v>
      </c>
    </row>
    <row r="5" spans="2:18" x14ac:dyDescent="0.25">
      <c r="B5" t="s">
        <v>30</v>
      </c>
      <c r="C5" t="s">
        <v>97</v>
      </c>
      <c r="P5" t="s">
        <v>76</v>
      </c>
      <c r="Q5" s="4">
        <v>500</v>
      </c>
      <c r="R5" s="4" t="s">
        <v>74</v>
      </c>
    </row>
    <row r="6" spans="2:18" x14ac:dyDescent="0.25">
      <c r="B6" t="s">
        <v>31</v>
      </c>
      <c r="C6" t="s">
        <v>32</v>
      </c>
    </row>
    <row r="7" spans="2:18" x14ac:dyDescent="0.25">
      <c r="B7" t="s">
        <v>33</v>
      </c>
      <c r="C7" t="s">
        <v>34</v>
      </c>
      <c r="O7" t="s">
        <v>33</v>
      </c>
      <c r="P7">
        <v>100</v>
      </c>
      <c r="Q7" t="s">
        <v>74</v>
      </c>
      <c r="R7" t="s">
        <v>77</v>
      </c>
    </row>
    <row r="8" spans="2:18" x14ac:dyDescent="0.25">
      <c r="B8" t="s">
        <v>35</v>
      </c>
      <c r="C8" t="s">
        <v>37</v>
      </c>
      <c r="P8" s="6" t="s">
        <v>78</v>
      </c>
      <c r="Q8" t="s">
        <v>74</v>
      </c>
    </row>
    <row r="9" spans="2:18" x14ac:dyDescent="0.25">
      <c r="B9" t="s">
        <v>36</v>
      </c>
      <c r="C9" t="s">
        <v>37</v>
      </c>
    </row>
    <row r="10" spans="2:18" x14ac:dyDescent="0.25">
      <c r="B10" t="s">
        <v>39</v>
      </c>
      <c r="C10" t="s">
        <v>41</v>
      </c>
      <c r="P10" s="6" t="s">
        <v>79</v>
      </c>
      <c r="Q10">
        <f>100-5*(15-3)</f>
        <v>40</v>
      </c>
      <c r="R10" t="s">
        <v>74</v>
      </c>
    </row>
    <row r="11" spans="2:18" x14ac:dyDescent="0.25">
      <c r="B11" t="s">
        <v>40</v>
      </c>
      <c r="C11" t="s">
        <v>42</v>
      </c>
      <c r="Q11" s="4">
        <v>50</v>
      </c>
      <c r="R11" s="4" t="s">
        <v>74</v>
      </c>
    </row>
    <row r="13" spans="2:18" x14ac:dyDescent="0.25">
      <c r="B13" s="5" t="s">
        <v>38</v>
      </c>
      <c r="O13" t="s">
        <v>30</v>
      </c>
      <c r="P13" s="3" t="s">
        <v>80</v>
      </c>
      <c r="Q13" s="4">
        <v>100</v>
      </c>
      <c r="R13" s="4" t="s">
        <v>74</v>
      </c>
    </row>
    <row r="15" spans="2:18" x14ac:dyDescent="0.25">
      <c r="B15" t="s">
        <v>43</v>
      </c>
      <c r="C15" t="s">
        <v>44</v>
      </c>
      <c r="P15" s="3" t="s">
        <v>96</v>
      </c>
    </row>
    <row r="16" spans="2:18" x14ac:dyDescent="0.25">
      <c r="B16" t="s">
        <v>40</v>
      </c>
      <c r="C16" t="s">
        <v>45</v>
      </c>
    </row>
    <row r="17" spans="2:18" x14ac:dyDescent="0.25">
      <c r="P17" t="s">
        <v>81</v>
      </c>
    </row>
    <row r="18" spans="2:18" x14ac:dyDescent="0.25">
      <c r="B18" s="5" t="s">
        <v>46</v>
      </c>
      <c r="C18" s="5"/>
      <c r="D18" s="5"/>
      <c r="P18" t="s">
        <v>82</v>
      </c>
    </row>
    <row r="19" spans="2:18" x14ac:dyDescent="0.25">
      <c r="P19" t="s">
        <v>83</v>
      </c>
      <c r="Q19">
        <f>0.05+0.25*0.15</f>
        <v>8.7499999999999994E-2</v>
      </c>
      <c r="R19" t="s">
        <v>84</v>
      </c>
    </row>
    <row r="20" spans="2:18" x14ac:dyDescent="0.25">
      <c r="B20" t="s">
        <v>47</v>
      </c>
      <c r="D20" t="s">
        <v>51</v>
      </c>
    </row>
    <row r="21" spans="2:18" x14ac:dyDescent="0.25">
      <c r="P21" t="s">
        <v>85</v>
      </c>
      <c r="Q21">
        <v>2400</v>
      </c>
      <c r="R21" t="s">
        <v>87</v>
      </c>
    </row>
    <row r="22" spans="2:18" x14ac:dyDescent="0.25">
      <c r="B22" t="s">
        <v>48</v>
      </c>
      <c r="C22">
        <v>1.4</v>
      </c>
      <c r="D22" t="s">
        <v>28</v>
      </c>
      <c r="E22">
        <v>1.4</v>
      </c>
      <c r="F22" t="s">
        <v>30</v>
      </c>
      <c r="G22">
        <v>1.7</v>
      </c>
      <c r="H22" t="s">
        <v>31</v>
      </c>
      <c r="I22">
        <v>1.7</v>
      </c>
      <c r="J22" t="s">
        <v>33</v>
      </c>
      <c r="P22" t="s">
        <v>86</v>
      </c>
    </row>
    <row r="23" spans="2:18" x14ac:dyDescent="0.25">
      <c r="B23" t="s">
        <v>49</v>
      </c>
      <c r="C23">
        <v>1.4</v>
      </c>
      <c r="D23" t="s">
        <v>28</v>
      </c>
      <c r="E23">
        <v>1.4</v>
      </c>
      <c r="F23" t="s">
        <v>30</v>
      </c>
      <c r="G23">
        <v>1.7</v>
      </c>
      <c r="H23" t="s">
        <v>35</v>
      </c>
      <c r="I23">
        <v>1.7</v>
      </c>
      <c r="J23" t="s">
        <v>33</v>
      </c>
    </row>
    <row r="24" spans="2:18" x14ac:dyDescent="0.25">
      <c r="B24" t="s">
        <v>50</v>
      </c>
      <c r="C24">
        <v>1.4</v>
      </c>
      <c r="D24" t="s">
        <v>28</v>
      </c>
      <c r="E24">
        <v>1.4</v>
      </c>
      <c r="F24" t="s">
        <v>30</v>
      </c>
      <c r="G24">
        <v>1.7</v>
      </c>
      <c r="H24" t="s">
        <v>36</v>
      </c>
      <c r="I24">
        <v>1.7</v>
      </c>
      <c r="J24" t="s">
        <v>33</v>
      </c>
      <c r="P24" t="s">
        <v>88</v>
      </c>
    </row>
    <row r="25" spans="2:18" x14ac:dyDescent="0.25">
      <c r="Q25">
        <f>Q21*Q19</f>
        <v>210</v>
      </c>
      <c r="R25" t="s">
        <v>74</v>
      </c>
    </row>
    <row r="26" spans="2:18" x14ac:dyDescent="0.25">
      <c r="B26" t="s">
        <v>47</v>
      </c>
      <c r="D26" t="s">
        <v>105</v>
      </c>
    </row>
    <row r="27" spans="2:18" x14ac:dyDescent="0.25">
      <c r="P27" t="s">
        <v>89</v>
      </c>
    </row>
    <row r="28" spans="2:18" x14ac:dyDescent="0.25">
      <c r="B28" t="s">
        <v>52</v>
      </c>
      <c r="C28">
        <v>1.25</v>
      </c>
      <c r="D28" t="s">
        <v>28</v>
      </c>
      <c r="E28">
        <v>1.25</v>
      </c>
      <c r="F28" t="s">
        <v>30</v>
      </c>
      <c r="G28">
        <v>1.25</v>
      </c>
      <c r="H28" t="s">
        <v>31</v>
      </c>
      <c r="I28">
        <v>1.25</v>
      </c>
      <c r="J28" t="s">
        <v>33</v>
      </c>
      <c r="K28" s="1">
        <v>1</v>
      </c>
      <c r="L28" t="s">
        <v>53</v>
      </c>
      <c r="P28" t="s">
        <v>90</v>
      </c>
      <c r="Q28">
        <v>300</v>
      </c>
      <c r="R28" t="s">
        <v>74</v>
      </c>
    </row>
    <row r="29" spans="2:18" x14ac:dyDescent="0.25">
      <c r="B29" t="s">
        <v>54</v>
      </c>
      <c r="C29">
        <v>1.25</v>
      </c>
      <c r="D29" t="s">
        <v>28</v>
      </c>
      <c r="E29">
        <v>1.25</v>
      </c>
      <c r="F29" t="s">
        <v>30</v>
      </c>
      <c r="G29">
        <v>1.25</v>
      </c>
      <c r="H29" t="s">
        <v>31</v>
      </c>
      <c r="I29">
        <v>1.25</v>
      </c>
      <c r="J29" t="s">
        <v>33</v>
      </c>
      <c r="K29" s="1">
        <v>-1</v>
      </c>
      <c r="L29" t="s">
        <v>53</v>
      </c>
      <c r="P29" t="s">
        <v>91</v>
      </c>
      <c r="Q29">
        <f>Q25</f>
        <v>210</v>
      </c>
      <c r="R29" t="s">
        <v>74</v>
      </c>
    </row>
    <row r="30" spans="2:18" x14ac:dyDescent="0.25">
      <c r="B30" t="s">
        <v>55</v>
      </c>
      <c r="C30">
        <v>1.25</v>
      </c>
      <c r="D30" t="s">
        <v>28</v>
      </c>
      <c r="E30">
        <v>1.25</v>
      </c>
      <c r="F30" t="s">
        <v>30</v>
      </c>
      <c r="G30">
        <v>1.25</v>
      </c>
      <c r="H30" t="s">
        <v>31</v>
      </c>
      <c r="I30">
        <v>1.25</v>
      </c>
      <c r="J30" t="s">
        <v>33</v>
      </c>
      <c r="K30" s="1">
        <v>1</v>
      </c>
      <c r="L30" t="s">
        <v>43</v>
      </c>
      <c r="P30" t="s">
        <v>92</v>
      </c>
      <c r="Q30" s="4">
        <f>Q28-Q29</f>
        <v>90</v>
      </c>
      <c r="R30" s="4" t="s">
        <v>74</v>
      </c>
    </row>
    <row r="31" spans="2:18" x14ac:dyDescent="0.25">
      <c r="B31" t="s">
        <v>56</v>
      </c>
      <c r="C31">
        <v>1.25</v>
      </c>
      <c r="D31" t="s">
        <v>28</v>
      </c>
      <c r="E31">
        <v>1.25</v>
      </c>
      <c r="F31" t="s">
        <v>30</v>
      </c>
      <c r="G31">
        <v>1.25</v>
      </c>
      <c r="H31" t="s">
        <v>31</v>
      </c>
      <c r="I31">
        <v>1.25</v>
      </c>
      <c r="J31" t="s">
        <v>33</v>
      </c>
      <c r="K31" s="1">
        <v>-1</v>
      </c>
      <c r="L31" t="s">
        <v>43</v>
      </c>
    </row>
    <row r="32" spans="2:18" x14ac:dyDescent="0.25">
      <c r="B32" t="s">
        <v>57</v>
      </c>
      <c r="C32">
        <v>1.25</v>
      </c>
      <c r="D32" t="s">
        <v>28</v>
      </c>
      <c r="E32">
        <v>1.25</v>
      </c>
      <c r="F32" t="s">
        <v>30</v>
      </c>
      <c r="G32">
        <v>1.25</v>
      </c>
      <c r="H32" t="s">
        <v>35</v>
      </c>
      <c r="I32">
        <v>1.25</v>
      </c>
      <c r="J32" t="s">
        <v>33</v>
      </c>
      <c r="K32" s="1">
        <v>1</v>
      </c>
      <c r="L32" t="s">
        <v>53</v>
      </c>
      <c r="P32" s="3" t="s">
        <v>93</v>
      </c>
      <c r="Q32" s="4">
        <v>50</v>
      </c>
      <c r="R32" s="4" t="s">
        <v>94</v>
      </c>
    </row>
    <row r="33" spans="2:18" x14ac:dyDescent="0.25">
      <c r="B33" t="s">
        <v>58</v>
      </c>
      <c r="C33">
        <v>1.25</v>
      </c>
      <c r="D33" t="s">
        <v>28</v>
      </c>
      <c r="E33">
        <v>1.25</v>
      </c>
      <c r="F33" t="s">
        <v>30</v>
      </c>
      <c r="G33">
        <v>1.25</v>
      </c>
      <c r="H33" t="s">
        <v>35</v>
      </c>
      <c r="I33">
        <v>1.25</v>
      </c>
      <c r="J33" t="s">
        <v>33</v>
      </c>
      <c r="K33" s="1">
        <v>-1</v>
      </c>
      <c r="L33" t="s">
        <v>53</v>
      </c>
    </row>
    <row r="34" spans="2:18" x14ac:dyDescent="0.25">
      <c r="B34" t="s">
        <v>59</v>
      </c>
      <c r="C34">
        <v>1.25</v>
      </c>
      <c r="D34" t="s">
        <v>28</v>
      </c>
      <c r="E34">
        <v>1.25</v>
      </c>
      <c r="F34" t="s">
        <v>30</v>
      </c>
      <c r="G34">
        <v>1.25</v>
      </c>
      <c r="H34" t="s">
        <v>35</v>
      </c>
      <c r="I34">
        <v>1.25</v>
      </c>
      <c r="J34" t="s">
        <v>33</v>
      </c>
      <c r="K34" s="1">
        <v>1</v>
      </c>
      <c r="L34" t="s">
        <v>43</v>
      </c>
      <c r="P34" s="3" t="s">
        <v>95</v>
      </c>
    </row>
    <row r="35" spans="2:18" x14ac:dyDescent="0.25">
      <c r="B35" t="s">
        <v>60</v>
      </c>
      <c r="C35">
        <v>1.25</v>
      </c>
      <c r="D35" t="s">
        <v>28</v>
      </c>
      <c r="E35">
        <v>1.25</v>
      </c>
      <c r="F35" t="s">
        <v>30</v>
      </c>
      <c r="G35">
        <v>1.25</v>
      </c>
      <c r="H35" t="s">
        <v>35</v>
      </c>
      <c r="I35">
        <v>1.25</v>
      </c>
      <c r="J35" t="s">
        <v>33</v>
      </c>
      <c r="K35" s="1">
        <v>-1</v>
      </c>
      <c r="L35" t="s">
        <v>43</v>
      </c>
    </row>
    <row r="36" spans="2:18" x14ac:dyDescent="0.25">
      <c r="B36" t="s">
        <v>61</v>
      </c>
      <c r="C36">
        <v>1.25</v>
      </c>
      <c r="D36" t="s">
        <v>28</v>
      </c>
      <c r="E36">
        <v>1.25</v>
      </c>
      <c r="F36" t="s">
        <v>30</v>
      </c>
      <c r="G36">
        <v>1.25</v>
      </c>
      <c r="H36" t="s">
        <v>36</v>
      </c>
      <c r="I36">
        <v>1.25</v>
      </c>
      <c r="J36" t="s">
        <v>33</v>
      </c>
      <c r="K36" s="1">
        <v>1</v>
      </c>
      <c r="L36" t="s">
        <v>53</v>
      </c>
      <c r="P36" s="4" t="s">
        <v>101</v>
      </c>
    </row>
    <row r="37" spans="2:18" x14ac:dyDescent="0.25">
      <c r="B37" t="s">
        <v>62</v>
      </c>
      <c r="C37">
        <v>1.25</v>
      </c>
      <c r="D37" t="s">
        <v>28</v>
      </c>
      <c r="E37">
        <v>1.25</v>
      </c>
      <c r="F37" t="s">
        <v>30</v>
      </c>
      <c r="G37">
        <v>1.25</v>
      </c>
      <c r="H37" t="s">
        <v>36</v>
      </c>
      <c r="I37">
        <v>1.25</v>
      </c>
      <c r="J37" t="s">
        <v>33</v>
      </c>
      <c r="K37" s="1">
        <v>-1</v>
      </c>
      <c r="L37" t="s">
        <v>53</v>
      </c>
    </row>
    <row r="38" spans="2:18" x14ac:dyDescent="0.25">
      <c r="B38" t="s">
        <v>63</v>
      </c>
      <c r="C38">
        <v>1.25</v>
      </c>
      <c r="D38" t="s">
        <v>28</v>
      </c>
      <c r="E38">
        <v>1.25</v>
      </c>
      <c r="F38" t="s">
        <v>30</v>
      </c>
      <c r="G38">
        <v>1.25</v>
      </c>
      <c r="H38" t="s">
        <v>36</v>
      </c>
      <c r="I38">
        <v>1.25</v>
      </c>
      <c r="J38" t="s">
        <v>33</v>
      </c>
      <c r="K38" s="1">
        <v>1</v>
      </c>
      <c r="L38" t="s">
        <v>43</v>
      </c>
      <c r="P38" t="s">
        <v>85</v>
      </c>
      <c r="Q38">
        <v>1800</v>
      </c>
      <c r="R38" t="s">
        <v>87</v>
      </c>
    </row>
    <row r="39" spans="2:18" x14ac:dyDescent="0.25">
      <c r="B39" t="s">
        <v>64</v>
      </c>
      <c r="C39">
        <v>1.25</v>
      </c>
      <c r="D39" t="s">
        <v>28</v>
      </c>
      <c r="E39">
        <v>1.25</v>
      </c>
      <c r="F39" t="s">
        <v>30</v>
      </c>
      <c r="G39">
        <v>1.25</v>
      </c>
      <c r="H39" t="s">
        <v>36</v>
      </c>
      <c r="I39">
        <v>1.25</v>
      </c>
      <c r="J39" t="s">
        <v>33</v>
      </c>
      <c r="K39" s="1">
        <v>-1</v>
      </c>
      <c r="L39" t="s">
        <v>43</v>
      </c>
      <c r="P39" t="s">
        <v>98</v>
      </c>
      <c r="Q39" s="1">
        <v>1.2</v>
      </c>
      <c r="R39" t="s">
        <v>25</v>
      </c>
    </row>
    <row r="40" spans="2:18" x14ac:dyDescent="0.25">
      <c r="P40" t="s">
        <v>99</v>
      </c>
      <c r="Q40" s="1">
        <v>0.24</v>
      </c>
      <c r="R40" t="s">
        <v>25</v>
      </c>
    </row>
    <row r="41" spans="2:18" x14ac:dyDescent="0.25">
      <c r="B41" t="s">
        <v>65</v>
      </c>
      <c r="D41" t="s">
        <v>106</v>
      </c>
      <c r="P41" t="s">
        <v>100</v>
      </c>
      <c r="Q41" s="1">
        <f>Q38*Q39*Q40</f>
        <v>518.4</v>
      </c>
      <c r="R41" t="s">
        <v>94</v>
      </c>
    </row>
    <row r="42" spans="2:18" x14ac:dyDescent="0.25">
      <c r="P42" t="s">
        <v>100</v>
      </c>
      <c r="Q42" s="7">
        <v>520</v>
      </c>
      <c r="R42" s="4" t="s">
        <v>94</v>
      </c>
    </row>
    <row r="43" spans="2:18" x14ac:dyDescent="0.25">
      <c r="B43" t="s">
        <v>66</v>
      </c>
      <c r="C43">
        <v>0.9</v>
      </c>
      <c r="D43" t="s">
        <v>28</v>
      </c>
      <c r="E43">
        <v>0.9</v>
      </c>
      <c r="F43" t="s">
        <v>30</v>
      </c>
      <c r="G43" s="1">
        <v>1</v>
      </c>
      <c r="H43" t="s">
        <v>53</v>
      </c>
    </row>
    <row r="44" spans="2:18" x14ac:dyDescent="0.25">
      <c r="B44" t="s">
        <v>67</v>
      </c>
      <c r="C44">
        <v>0.9</v>
      </c>
      <c r="D44" t="s">
        <v>28</v>
      </c>
      <c r="E44">
        <v>0.9</v>
      </c>
      <c r="F44" t="s">
        <v>30</v>
      </c>
      <c r="G44" s="1">
        <v>-1</v>
      </c>
      <c r="H44" t="s">
        <v>53</v>
      </c>
      <c r="P44" s="4" t="s">
        <v>102</v>
      </c>
    </row>
    <row r="45" spans="2:18" x14ac:dyDescent="0.25">
      <c r="B45" t="s">
        <v>68</v>
      </c>
      <c r="C45">
        <v>0.9</v>
      </c>
      <c r="D45" t="s">
        <v>28</v>
      </c>
      <c r="E45">
        <v>0.9</v>
      </c>
      <c r="F45" t="s">
        <v>30</v>
      </c>
      <c r="G45" s="1">
        <v>1</v>
      </c>
      <c r="H45" t="s">
        <v>43</v>
      </c>
    </row>
    <row r="46" spans="2:18" x14ac:dyDescent="0.25">
      <c r="B46" t="s">
        <v>69</v>
      </c>
      <c r="C46">
        <v>0.9</v>
      </c>
      <c r="D46" t="s">
        <v>28</v>
      </c>
      <c r="E46">
        <v>0.9</v>
      </c>
      <c r="F46" t="s">
        <v>30</v>
      </c>
      <c r="G46" s="1">
        <v>-1</v>
      </c>
      <c r="H46" t="s">
        <v>43</v>
      </c>
      <c r="P46" t="s">
        <v>103</v>
      </c>
    </row>
    <row r="47" spans="2:18" x14ac:dyDescent="0.25">
      <c r="P47" t="s">
        <v>85</v>
      </c>
      <c r="Q47">
        <v>1800</v>
      </c>
      <c r="R47" t="s">
        <v>87</v>
      </c>
    </row>
    <row r="48" spans="2:18" x14ac:dyDescent="0.25">
      <c r="B48" t="s">
        <v>70</v>
      </c>
      <c r="C48" t="s">
        <v>71</v>
      </c>
      <c r="P48" t="s">
        <v>98</v>
      </c>
      <c r="Q48" s="1">
        <v>2.67</v>
      </c>
      <c r="R48" t="s">
        <v>25</v>
      </c>
    </row>
    <row r="49" spans="16:18" x14ac:dyDescent="0.25">
      <c r="P49" t="s">
        <v>99</v>
      </c>
      <c r="Q49" s="1">
        <v>0.24</v>
      </c>
      <c r="R49" t="s">
        <v>25</v>
      </c>
    </row>
    <row r="50" spans="16:18" x14ac:dyDescent="0.25">
      <c r="P50" t="s">
        <v>100</v>
      </c>
      <c r="Q50" s="1">
        <f>Q47*Q48*Q49</f>
        <v>1153.44</v>
      </c>
      <c r="R50" t="s">
        <v>94</v>
      </c>
    </row>
    <row r="51" spans="16:18" x14ac:dyDescent="0.25">
      <c r="P51" t="s">
        <v>100</v>
      </c>
      <c r="Q51" s="7">
        <v>1155</v>
      </c>
      <c r="R51" s="4" t="s">
        <v>94</v>
      </c>
    </row>
    <row r="53" spans="16:18" x14ac:dyDescent="0.25">
      <c r="P53" t="s">
        <v>104</v>
      </c>
    </row>
    <row r="54" spans="16:18" x14ac:dyDescent="0.25">
      <c r="P54" t="s">
        <v>85</v>
      </c>
      <c r="Q54">
        <v>1800</v>
      </c>
      <c r="R54" t="s">
        <v>87</v>
      </c>
    </row>
    <row r="55" spans="16:18" x14ac:dyDescent="0.25">
      <c r="P55" t="s">
        <v>98</v>
      </c>
      <c r="Q55" s="1">
        <v>4</v>
      </c>
      <c r="R55" t="s">
        <v>25</v>
      </c>
    </row>
    <row r="56" spans="16:18" x14ac:dyDescent="0.25">
      <c r="P56" t="s">
        <v>99</v>
      </c>
      <c r="Q56" s="1">
        <v>0.24</v>
      </c>
      <c r="R56" t="s">
        <v>25</v>
      </c>
    </row>
    <row r="57" spans="16:18" x14ac:dyDescent="0.25">
      <c r="P57" t="s">
        <v>100</v>
      </c>
      <c r="Q57" s="1">
        <f>Q54*Q55*Q56</f>
        <v>1728</v>
      </c>
      <c r="R57" t="s">
        <v>94</v>
      </c>
    </row>
    <row r="58" spans="16:18" x14ac:dyDescent="0.25">
      <c r="P58" t="s">
        <v>100</v>
      </c>
      <c r="Q58" s="7">
        <v>1730</v>
      </c>
      <c r="R58" s="4" t="s">
        <v>94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ED58-A92C-4A74-959C-D7CD92745080}">
  <dimension ref="B2:P358"/>
  <sheetViews>
    <sheetView workbookViewId="0">
      <selection activeCell="H281" sqref="H281"/>
    </sheetView>
  </sheetViews>
  <sheetFormatPr baseColWidth="10" defaultRowHeight="15" x14ac:dyDescent="0.25"/>
  <cols>
    <col min="6" max="6" width="13.140625" customWidth="1"/>
    <col min="7" max="7" width="14" customWidth="1"/>
  </cols>
  <sheetData>
    <row r="2" spans="2:8" x14ac:dyDescent="0.25">
      <c r="B2" s="11" t="s">
        <v>107</v>
      </c>
      <c r="C2" s="3"/>
      <c r="D2" s="3"/>
      <c r="E2" s="3"/>
      <c r="F2" s="3"/>
      <c r="G2" s="3"/>
      <c r="H2" s="3"/>
    </row>
    <row r="9" spans="2:8" x14ac:dyDescent="0.25">
      <c r="B9" s="49" t="s">
        <v>108</v>
      </c>
      <c r="C9" s="49" t="s">
        <v>109</v>
      </c>
      <c r="D9" s="49" t="s">
        <v>110</v>
      </c>
      <c r="E9" s="8" t="s">
        <v>111</v>
      </c>
      <c r="F9" s="8" t="s">
        <v>113</v>
      </c>
    </row>
    <row r="10" spans="2:8" x14ac:dyDescent="0.25">
      <c r="B10" s="49"/>
      <c r="C10" s="49"/>
      <c r="D10" s="49"/>
      <c r="E10" s="8" t="s">
        <v>112</v>
      </c>
      <c r="F10" s="8" t="s">
        <v>112</v>
      </c>
    </row>
    <row r="11" spans="2:8" x14ac:dyDescent="0.25">
      <c r="B11" s="9" t="s">
        <v>114</v>
      </c>
      <c r="C11" s="9" t="s">
        <v>115</v>
      </c>
      <c r="D11" s="9" t="s">
        <v>116</v>
      </c>
      <c r="E11" s="9">
        <v>100</v>
      </c>
      <c r="F11" s="9">
        <v>100</v>
      </c>
      <c r="G11" s="10" t="str">
        <f>IF(F11&gt;90, "CUMPLE","ERROR")</f>
        <v>CUMPLE</v>
      </c>
    </row>
    <row r="12" spans="2:8" x14ac:dyDescent="0.25">
      <c r="B12" s="9" t="s">
        <v>114</v>
      </c>
      <c r="C12" s="9" t="s">
        <v>115</v>
      </c>
      <c r="D12" s="9" t="s">
        <v>117</v>
      </c>
      <c r="E12" s="9">
        <v>99.73</v>
      </c>
      <c r="F12" s="9">
        <v>95.18</v>
      </c>
      <c r="G12" s="10" t="str">
        <f>IF(F12&gt;90, "CUMPLE","ERROR")</f>
        <v>CUMPLE</v>
      </c>
    </row>
    <row r="13" spans="2:8" x14ac:dyDescent="0.25">
      <c r="B13" s="9" t="s">
        <v>114</v>
      </c>
      <c r="C13" s="9" t="s">
        <v>115</v>
      </c>
      <c r="D13" s="9" t="s">
        <v>118</v>
      </c>
      <c r="E13" s="9">
        <v>0</v>
      </c>
      <c r="F13" s="9">
        <v>0</v>
      </c>
    </row>
    <row r="16" spans="2:8" x14ac:dyDescent="0.25">
      <c r="B16" s="11" t="s">
        <v>119</v>
      </c>
      <c r="C16" s="3"/>
      <c r="D16" s="3"/>
      <c r="E16" s="3"/>
      <c r="F16" s="3"/>
      <c r="G16" s="3"/>
      <c r="H16" s="3"/>
    </row>
    <row r="48" spans="2:2" x14ac:dyDescent="0.25">
      <c r="B48" s="4" t="s">
        <v>120</v>
      </c>
    </row>
    <row r="50" spans="2:8" x14ac:dyDescent="0.25">
      <c r="B50" s="8" t="s">
        <v>121</v>
      </c>
      <c r="C50" s="8" t="s">
        <v>122</v>
      </c>
      <c r="D50" s="8" t="s">
        <v>123</v>
      </c>
      <c r="E50" s="8" t="s">
        <v>124</v>
      </c>
      <c r="F50" s="8" t="s">
        <v>125</v>
      </c>
      <c r="G50" s="8" t="s">
        <v>126</v>
      </c>
    </row>
    <row r="51" spans="2:8" x14ac:dyDescent="0.25">
      <c r="B51" s="9" t="s">
        <v>127</v>
      </c>
      <c r="C51" s="9" t="s">
        <v>128</v>
      </c>
      <c r="D51" s="9" t="s">
        <v>129</v>
      </c>
      <c r="E51" s="9" t="s">
        <v>130</v>
      </c>
      <c r="F51" s="9" t="s">
        <v>6</v>
      </c>
      <c r="G51" s="9">
        <v>2.1280000000000001E-3</v>
      </c>
      <c r="H51" s="10" t="str">
        <f>IF(G51&lt;0.007,"CUMPLE","ERROR")</f>
        <v>CUMPLE</v>
      </c>
    </row>
    <row r="52" spans="2:8" x14ac:dyDescent="0.25">
      <c r="B52" s="9" t="s">
        <v>131</v>
      </c>
      <c r="C52" s="9" t="s">
        <v>128</v>
      </c>
      <c r="D52" s="9" t="s">
        <v>129</v>
      </c>
      <c r="E52" s="9" t="s">
        <v>130</v>
      </c>
      <c r="F52" s="9" t="s">
        <v>6</v>
      </c>
      <c r="G52" s="9">
        <v>4.7460000000000002E-3</v>
      </c>
      <c r="H52" s="10" t="str">
        <f t="shared" ref="H52:H53" si="0">IF(G52&lt;0.007,"CUMPLE","ERROR")</f>
        <v>CUMPLE</v>
      </c>
    </row>
    <row r="53" spans="2:8" x14ac:dyDescent="0.25">
      <c r="B53" s="9" t="s">
        <v>132</v>
      </c>
      <c r="C53" s="9" t="s">
        <v>128</v>
      </c>
      <c r="D53" s="9" t="s">
        <v>129</v>
      </c>
      <c r="E53" s="9" t="s">
        <v>130</v>
      </c>
      <c r="F53" s="9" t="s">
        <v>6</v>
      </c>
      <c r="G53" s="9">
        <v>3.558E-3</v>
      </c>
      <c r="H53" s="10" t="str">
        <f t="shared" si="0"/>
        <v>CUMPLE</v>
      </c>
    </row>
    <row r="55" spans="2:8" x14ac:dyDescent="0.25">
      <c r="B55" s="4" t="s">
        <v>133</v>
      </c>
    </row>
    <row r="57" spans="2:8" x14ac:dyDescent="0.25">
      <c r="B57" s="8" t="s">
        <v>121</v>
      </c>
      <c r="C57" s="8" t="s">
        <v>122</v>
      </c>
      <c r="D57" s="8" t="s">
        <v>123</v>
      </c>
      <c r="E57" s="8" t="s">
        <v>124</v>
      </c>
      <c r="F57" s="8" t="s">
        <v>125</v>
      </c>
      <c r="G57" s="8" t="s">
        <v>126</v>
      </c>
    </row>
    <row r="58" spans="2:8" x14ac:dyDescent="0.25">
      <c r="B58" s="9" t="s">
        <v>127</v>
      </c>
      <c r="C58" s="9" t="s">
        <v>134</v>
      </c>
      <c r="D58" s="9" t="s">
        <v>129</v>
      </c>
      <c r="E58" s="9" t="s">
        <v>130</v>
      </c>
      <c r="F58" s="9" t="s">
        <v>7</v>
      </c>
      <c r="G58" s="9">
        <v>8.3000000000000001E-4</v>
      </c>
      <c r="H58" s="10" t="str">
        <f>IF(G58&lt;0.007,"CUMPLE","ERROR")</f>
        <v>CUMPLE</v>
      </c>
    </row>
    <row r="59" spans="2:8" x14ac:dyDescent="0.25">
      <c r="B59" s="9" t="s">
        <v>131</v>
      </c>
      <c r="C59" s="9" t="s">
        <v>134</v>
      </c>
      <c r="D59" s="9" t="s">
        <v>129</v>
      </c>
      <c r="E59" s="9" t="s">
        <v>130</v>
      </c>
      <c r="F59" s="9" t="s">
        <v>7</v>
      </c>
      <c r="G59" s="9">
        <v>2.4870000000000001E-3</v>
      </c>
      <c r="H59" s="10" t="str">
        <f t="shared" ref="H59:H60" si="1">IF(G59&lt;0.007,"CUMPLE","ERROR")</f>
        <v>CUMPLE</v>
      </c>
    </row>
    <row r="60" spans="2:8" x14ac:dyDescent="0.25">
      <c r="B60" s="9" t="s">
        <v>132</v>
      </c>
      <c r="C60" s="9" t="s">
        <v>134</v>
      </c>
      <c r="D60" s="9" t="s">
        <v>129</v>
      </c>
      <c r="E60" s="9" t="s">
        <v>130</v>
      </c>
      <c r="F60" s="9" t="s">
        <v>7</v>
      </c>
      <c r="G60" s="9">
        <v>2.0249999999999999E-3</v>
      </c>
      <c r="H60" s="10" t="str">
        <f t="shared" si="1"/>
        <v>CUMPLE</v>
      </c>
    </row>
    <row r="63" spans="2:8" x14ac:dyDescent="0.25">
      <c r="B63" s="11" t="s">
        <v>198</v>
      </c>
      <c r="C63" s="3"/>
      <c r="D63" s="3"/>
      <c r="E63" s="3"/>
      <c r="F63" s="3"/>
      <c r="G63" s="3"/>
      <c r="H63" s="3"/>
    </row>
    <row r="65" spans="2:16" x14ac:dyDescent="0.25">
      <c r="B65" s="24" t="s">
        <v>135</v>
      </c>
      <c r="C65" s="25"/>
      <c r="D65" s="25"/>
      <c r="E65" s="25"/>
      <c r="F65" s="25"/>
      <c r="G65" s="26" t="s">
        <v>19</v>
      </c>
      <c r="H65" s="27">
        <v>1</v>
      </c>
    </row>
    <row r="78" spans="2:16" ht="30" x14ac:dyDescent="0.25">
      <c r="B78" s="48" t="s">
        <v>136</v>
      </c>
      <c r="C78" s="48" t="s">
        <v>137</v>
      </c>
      <c r="D78" s="48" t="s">
        <v>138</v>
      </c>
      <c r="E78" s="48" t="s">
        <v>139</v>
      </c>
      <c r="F78" s="48" t="s">
        <v>140</v>
      </c>
      <c r="G78" s="48" t="s">
        <v>141</v>
      </c>
      <c r="H78" s="48" t="s">
        <v>142</v>
      </c>
      <c r="I78" s="48" t="s">
        <v>143</v>
      </c>
      <c r="J78" s="48" t="s">
        <v>144</v>
      </c>
      <c r="K78" s="48" t="s">
        <v>145</v>
      </c>
      <c r="L78" s="48" t="s">
        <v>146</v>
      </c>
      <c r="M78" s="48" t="s">
        <v>13</v>
      </c>
      <c r="N78" s="48" t="s">
        <v>147</v>
      </c>
      <c r="O78" s="12" t="s">
        <v>148</v>
      </c>
      <c r="P78" s="12" t="s">
        <v>150</v>
      </c>
    </row>
    <row r="79" spans="2:16" x14ac:dyDescent="0.25"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12" t="s">
        <v>149</v>
      </c>
      <c r="P79" s="12" t="s">
        <v>149</v>
      </c>
    </row>
    <row r="80" spans="2:16" x14ac:dyDescent="0.25">
      <c r="B80" s="14" t="s">
        <v>39</v>
      </c>
      <c r="C80" s="14" t="s">
        <v>151</v>
      </c>
      <c r="D80" s="14" t="s">
        <v>151</v>
      </c>
      <c r="E80" s="14" t="s">
        <v>152</v>
      </c>
      <c r="F80" s="14" t="s">
        <v>151</v>
      </c>
      <c r="G80" s="14" t="s">
        <v>151</v>
      </c>
      <c r="H80" s="14" t="s">
        <v>151</v>
      </c>
      <c r="I80" s="14" t="s">
        <v>151</v>
      </c>
      <c r="J80" s="14">
        <v>0.05</v>
      </c>
      <c r="K80" s="14" t="s">
        <v>127</v>
      </c>
      <c r="L80" s="14" t="s">
        <v>153</v>
      </c>
      <c r="M80" s="14">
        <v>0.30940000000000001</v>
      </c>
      <c r="N80" s="14">
        <v>1</v>
      </c>
      <c r="O80" s="14">
        <v>719.57767999999999</v>
      </c>
      <c r="P80" s="14">
        <v>222.63730000000001</v>
      </c>
    </row>
    <row r="81" spans="2:16" x14ac:dyDescent="0.25">
      <c r="B81" s="14" t="s">
        <v>40</v>
      </c>
      <c r="C81" s="14" t="s">
        <v>151</v>
      </c>
      <c r="D81" s="14" t="s">
        <v>151</v>
      </c>
      <c r="E81" s="14" t="s">
        <v>151</v>
      </c>
      <c r="F81" s="14" t="s">
        <v>151</v>
      </c>
      <c r="G81" s="14" t="s">
        <v>151</v>
      </c>
      <c r="H81" s="14" t="s">
        <v>152</v>
      </c>
      <c r="I81" s="14" t="s">
        <v>151</v>
      </c>
      <c r="J81" s="14">
        <v>0.05</v>
      </c>
      <c r="K81" s="14" t="s">
        <v>127</v>
      </c>
      <c r="L81" s="14" t="s">
        <v>153</v>
      </c>
      <c r="M81" s="14">
        <v>0.30940000000000001</v>
      </c>
      <c r="N81" s="14">
        <v>1</v>
      </c>
      <c r="O81" s="14">
        <v>719.57767999999999</v>
      </c>
      <c r="P81" s="14">
        <v>222.63730000000001</v>
      </c>
    </row>
    <row r="83" spans="2:16" x14ac:dyDescent="0.25">
      <c r="B83" s="4" t="s">
        <v>120</v>
      </c>
    </row>
    <row r="85" spans="2:16" ht="15" customHeight="1" x14ac:dyDescent="0.25">
      <c r="B85" s="48" t="s">
        <v>121</v>
      </c>
      <c r="C85" s="48" t="s">
        <v>122</v>
      </c>
      <c r="D85" s="48" t="s">
        <v>123</v>
      </c>
      <c r="E85" s="48" t="s">
        <v>154</v>
      </c>
      <c r="F85" s="12" t="s">
        <v>155</v>
      </c>
      <c r="G85" s="12" t="s">
        <v>156</v>
      </c>
    </row>
    <row r="86" spans="2:16" x14ac:dyDescent="0.25">
      <c r="B86" s="48"/>
      <c r="C86" s="48"/>
      <c r="D86" s="48"/>
      <c r="E86" s="48"/>
      <c r="F86" s="12" t="s">
        <v>149</v>
      </c>
      <c r="G86" s="12" t="s">
        <v>149</v>
      </c>
    </row>
    <row r="87" spans="2:16" x14ac:dyDescent="0.25">
      <c r="B87" s="14" t="s">
        <v>127</v>
      </c>
      <c r="C87" s="14" t="s">
        <v>39</v>
      </c>
      <c r="D87" s="14" t="s">
        <v>157</v>
      </c>
      <c r="E87" s="14" t="s">
        <v>158</v>
      </c>
      <c r="F87" s="14">
        <v>0</v>
      </c>
      <c r="G87" s="14">
        <v>86.089699999999993</v>
      </c>
    </row>
    <row r="88" spans="2:16" x14ac:dyDescent="0.25">
      <c r="B88" s="14" t="s">
        <v>131</v>
      </c>
      <c r="C88" s="14" t="s">
        <v>39</v>
      </c>
      <c r="D88" s="14" t="s">
        <v>157</v>
      </c>
      <c r="E88" s="14" t="s">
        <v>158</v>
      </c>
      <c r="F88" s="14">
        <v>0</v>
      </c>
      <c r="G88" s="14">
        <v>178.6182</v>
      </c>
    </row>
    <row r="89" spans="2:16" x14ac:dyDescent="0.25">
      <c r="B89" s="14" t="s">
        <v>132</v>
      </c>
      <c r="C89" s="14" t="s">
        <v>39</v>
      </c>
      <c r="D89" s="14" t="s">
        <v>157</v>
      </c>
      <c r="E89" s="14" t="s">
        <v>158</v>
      </c>
      <c r="F89" s="14">
        <v>0</v>
      </c>
      <c r="G89" s="14">
        <v>222.63730000000001</v>
      </c>
    </row>
    <row r="91" spans="2:16" ht="15" customHeight="1" x14ac:dyDescent="0.25">
      <c r="B91" s="48" t="s">
        <v>121</v>
      </c>
      <c r="C91" s="48" t="s">
        <v>159</v>
      </c>
      <c r="D91" s="48" t="s">
        <v>122</v>
      </c>
      <c r="E91" s="48" t="s">
        <v>123</v>
      </c>
      <c r="F91" s="12" t="s">
        <v>162</v>
      </c>
      <c r="G91" s="12" t="s">
        <v>163</v>
      </c>
    </row>
    <row r="92" spans="2:16" x14ac:dyDescent="0.25">
      <c r="B92" s="48"/>
      <c r="C92" s="48"/>
      <c r="D92" s="48"/>
      <c r="E92" s="48"/>
      <c r="F92" s="12" t="s">
        <v>25</v>
      </c>
      <c r="G92" s="12" t="s">
        <v>25</v>
      </c>
    </row>
    <row r="93" spans="2:16" x14ac:dyDescent="0.25">
      <c r="B93" s="14" t="s">
        <v>131</v>
      </c>
      <c r="C93" s="14" t="s">
        <v>160</v>
      </c>
      <c r="D93" s="14" t="s">
        <v>39</v>
      </c>
      <c r="E93" s="14" t="s">
        <v>157</v>
      </c>
      <c r="F93" s="14">
        <v>7.2020000000000001E-3</v>
      </c>
      <c r="G93" s="14">
        <f>F93-F94</f>
        <v>3.7660000000000003E-3</v>
      </c>
    </row>
    <row r="94" spans="2:16" x14ac:dyDescent="0.25">
      <c r="B94" s="14" t="s">
        <v>132</v>
      </c>
      <c r="C94" s="14" t="s">
        <v>161</v>
      </c>
      <c r="D94" s="14" t="s">
        <v>39</v>
      </c>
      <c r="E94" s="14" t="s">
        <v>157</v>
      </c>
      <c r="F94" s="14">
        <v>3.4359999999999998E-3</v>
      </c>
      <c r="G94" s="14">
        <f>F94</f>
        <v>3.4359999999999998E-3</v>
      </c>
    </row>
    <row r="96" spans="2:16" x14ac:dyDescent="0.25">
      <c r="B96" s="48" t="s">
        <v>121</v>
      </c>
      <c r="C96" s="15" t="s">
        <v>164</v>
      </c>
      <c r="D96" s="47" t="s">
        <v>166</v>
      </c>
      <c r="E96" s="47"/>
    </row>
    <row r="97" spans="2:7" x14ac:dyDescent="0.25">
      <c r="B97" s="48"/>
      <c r="C97" s="16" t="s">
        <v>165</v>
      </c>
      <c r="D97" s="50">
        <v>0.7</v>
      </c>
      <c r="E97" s="47"/>
    </row>
    <row r="98" spans="2:7" x14ac:dyDescent="0.25">
      <c r="B98" s="14" t="s">
        <v>131</v>
      </c>
      <c r="C98" s="17">
        <f>G88/G93</f>
        <v>47429.155602761552</v>
      </c>
      <c r="D98" s="17">
        <f>C98*0.7</f>
        <v>33200.408921933085</v>
      </c>
      <c r="E98" s="17"/>
    </row>
    <row r="99" spans="2:7" x14ac:dyDescent="0.25">
      <c r="B99" s="14" t="s">
        <v>132</v>
      </c>
      <c r="C99" s="17">
        <f>G89/G94</f>
        <v>64795.488940628646</v>
      </c>
      <c r="D99" s="17"/>
      <c r="E99" s="20" t="str">
        <f>IF(C99&lt;D98,"IRREGULAR","REGULAR")</f>
        <v>REGULAR</v>
      </c>
    </row>
    <row r="102" spans="2:7" x14ac:dyDescent="0.25">
      <c r="B102" s="4" t="s">
        <v>133</v>
      </c>
    </row>
    <row r="104" spans="2:7" ht="15" customHeight="1" x14ac:dyDescent="0.25">
      <c r="B104" s="48" t="s">
        <v>121</v>
      </c>
      <c r="C104" s="48" t="s">
        <v>122</v>
      </c>
      <c r="D104" s="48" t="s">
        <v>123</v>
      </c>
      <c r="E104" s="48" t="s">
        <v>154</v>
      </c>
      <c r="F104" s="12" t="s">
        <v>155</v>
      </c>
      <c r="G104" s="12" t="s">
        <v>167</v>
      </c>
    </row>
    <row r="105" spans="2:7" x14ac:dyDescent="0.25">
      <c r="B105" s="48"/>
      <c r="C105" s="48"/>
      <c r="D105" s="48"/>
      <c r="E105" s="48"/>
      <c r="F105" s="12" t="s">
        <v>149</v>
      </c>
      <c r="G105" s="12" t="s">
        <v>149</v>
      </c>
    </row>
    <row r="106" spans="2:7" x14ac:dyDescent="0.25">
      <c r="B106" s="14" t="s">
        <v>127</v>
      </c>
      <c r="C106" s="14" t="s">
        <v>40</v>
      </c>
      <c r="D106" s="14" t="s">
        <v>157</v>
      </c>
      <c r="E106" s="14" t="s">
        <v>158</v>
      </c>
      <c r="F106" s="14">
        <v>0</v>
      </c>
      <c r="G106" s="14">
        <v>86.089699999999993</v>
      </c>
    </row>
    <row r="107" spans="2:7" x14ac:dyDescent="0.25">
      <c r="B107" s="14" t="s">
        <v>131</v>
      </c>
      <c r="C107" s="14" t="s">
        <v>40</v>
      </c>
      <c r="D107" s="14" t="s">
        <v>157</v>
      </c>
      <c r="E107" s="14" t="s">
        <v>158</v>
      </c>
      <c r="F107" s="14">
        <v>0</v>
      </c>
      <c r="G107" s="14">
        <v>178.6182</v>
      </c>
    </row>
    <row r="108" spans="2:7" x14ac:dyDescent="0.25">
      <c r="B108" s="14" t="s">
        <v>132</v>
      </c>
      <c r="C108" s="14" t="s">
        <v>40</v>
      </c>
      <c r="D108" s="14" t="s">
        <v>157</v>
      </c>
      <c r="E108" s="14" t="s">
        <v>158</v>
      </c>
      <c r="F108" s="14">
        <v>0</v>
      </c>
      <c r="G108" s="14">
        <v>222.63730000000001</v>
      </c>
    </row>
    <row r="110" spans="2:7" ht="15" customHeight="1" x14ac:dyDescent="0.25">
      <c r="B110" s="48" t="s">
        <v>121</v>
      </c>
      <c r="C110" s="48" t="s">
        <v>159</v>
      </c>
      <c r="D110" s="48" t="s">
        <v>122</v>
      </c>
      <c r="E110" s="48" t="s">
        <v>123</v>
      </c>
      <c r="F110" s="12" t="s">
        <v>168</v>
      </c>
      <c r="G110" s="12" t="s">
        <v>169</v>
      </c>
    </row>
    <row r="111" spans="2:7" x14ac:dyDescent="0.25">
      <c r="B111" s="48"/>
      <c r="C111" s="48"/>
      <c r="D111" s="48"/>
      <c r="E111" s="48"/>
      <c r="F111" s="12" t="s">
        <v>25</v>
      </c>
      <c r="G111" s="12" t="s">
        <v>25</v>
      </c>
    </row>
    <row r="112" spans="2:7" x14ac:dyDescent="0.25">
      <c r="B112" s="14" t="s">
        <v>131</v>
      </c>
      <c r="C112" s="14" t="s">
        <v>160</v>
      </c>
      <c r="D112" s="14" t="s">
        <v>40</v>
      </c>
      <c r="E112" s="14" t="s">
        <v>157</v>
      </c>
      <c r="F112" s="14">
        <v>1.632E-3</v>
      </c>
      <c r="G112" s="14">
        <f>F112-F113</f>
        <v>8.4499999999999994E-4</v>
      </c>
    </row>
    <row r="113" spans="2:7" x14ac:dyDescent="0.25">
      <c r="B113" s="14" t="s">
        <v>132</v>
      </c>
      <c r="C113" s="14" t="s">
        <v>161</v>
      </c>
      <c r="D113" s="14" t="s">
        <v>40</v>
      </c>
      <c r="E113" s="14" t="s">
        <v>157</v>
      </c>
      <c r="F113" s="14">
        <v>7.8700000000000005E-4</v>
      </c>
      <c r="G113" s="14">
        <f>F113</f>
        <v>7.8700000000000005E-4</v>
      </c>
    </row>
    <row r="115" spans="2:7" x14ac:dyDescent="0.25">
      <c r="B115" s="48" t="s">
        <v>121</v>
      </c>
      <c r="C115" s="15" t="s">
        <v>164</v>
      </c>
      <c r="D115" s="47" t="s">
        <v>166</v>
      </c>
      <c r="E115" s="47"/>
    </row>
    <row r="116" spans="2:7" x14ac:dyDescent="0.25">
      <c r="B116" s="48"/>
      <c r="C116" s="16" t="s">
        <v>165</v>
      </c>
      <c r="D116" s="50">
        <v>0.7</v>
      </c>
      <c r="E116" s="47"/>
    </row>
    <row r="117" spans="2:7" x14ac:dyDescent="0.25">
      <c r="B117" s="14" t="s">
        <v>131</v>
      </c>
      <c r="C117" s="17">
        <f>G107/G112</f>
        <v>211382.4852071006</v>
      </c>
      <c r="D117" s="17">
        <f>C117*0.7</f>
        <v>147967.73964497042</v>
      </c>
      <c r="E117" s="17"/>
    </row>
    <row r="118" spans="2:7" x14ac:dyDescent="0.25">
      <c r="B118" s="14" t="s">
        <v>132</v>
      </c>
      <c r="C118" s="17">
        <f>G108/G113</f>
        <v>282893.64675984753</v>
      </c>
      <c r="D118" s="17"/>
      <c r="E118" s="20" t="str">
        <f>IF(C118&lt;D117,"IRREGULAR","REGULAR")</f>
        <v>REGULAR</v>
      </c>
    </row>
    <row r="127" spans="2:7" x14ac:dyDescent="0.25">
      <c r="B127" s="4" t="s">
        <v>120</v>
      </c>
    </row>
    <row r="129" spans="2:9" x14ac:dyDescent="0.25">
      <c r="B129" s="48" t="s">
        <v>121</v>
      </c>
      <c r="C129" s="48" t="s">
        <v>122</v>
      </c>
      <c r="D129" s="48" t="s">
        <v>123</v>
      </c>
      <c r="E129" s="48" t="s">
        <v>154</v>
      </c>
      <c r="F129" s="12" t="s">
        <v>155</v>
      </c>
      <c r="G129" s="12" t="s">
        <v>156</v>
      </c>
      <c r="H129" s="47" t="s">
        <v>166</v>
      </c>
      <c r="I129" s="47"/>
    </row>
    <row r="130" spans="2:9" x14ac:dyDescent="0.25">
      <c r="B130" s="48"/>
      <c r="C130" s="48"/>
      <c r="D130" s="48"/>
      <c r="E130" s="48"/>
      <c r="F130" s="12" t="s">
        <v>149</v>
      </c>
      <c r="G130" s="12" t="s">
        <v>149</v>
      </c>
      <c r="H130" s="50">
        <v>0.8</v>
      </c>
      <c r="I130" s="47"/>
    </row>
    <row r="131" spans="2:9" x14ac:dyDescent="0.25">
      <c r="B131" s="14" t="s">
        <v>127</v>
      </c>
      <c r="C131" s="14" t="s">
        <v>39</v>
      </c>
      <c r="D131" s="14" t="s">
        <v>157</v>
      </c>
      <c r="E131" s="14" t="s">
        <v>158</v>
      </c>
      <c r="F131" s="14">
        <v>0</v>
      </c>
      <c r="G131" s="14">
        <v>86.089699999999993</v>
      </c>
      <c r="H131" s="17">
        <f>G131*0.8</f>
        <v>68.871759999999995</v>
      </c>
      <c r="I131" s="17"/>
    </row>
    <row r="132" spans="2:9" x14ac:dyDescent="0.25">
      <c r="B132" s="14" t="s">
        <v>131</v>
      </c>
      <c r="C132" s="14" t="s">
        <v>39</v>
      </c>
      <c r="D132" s="14" t="s">
        <v>157</v>
      </c>
      <c r="E132" s="14" t="s">
        <v>158</v>
      </c>
      <c r="F132" s="14">
        <v>0</v>
      </c>
      <c r="G132" s="14">
        <v>178.6182</v>
      </c>
      <c r="H132" s="17">
        <f>G132*0.8</f>
        <v>142.89456000000001</v>
      </c>
      <c r="I132" s="20" t="str">
        <f>IF(G132&lt;H131,"IRREGULAR","REGULAR")</f>
        <v>REGULAR</v>
      </c>
    </row>
    <row r="133" spans="2:9" x14ac:dyDescent="0.25">
      <c r="B133" s="14" t="s">
        <v>132</v>
      </c>
      <c r="C133" s="14" t="s">
        <v>39</v>
      </c>
      <c r="D133" s="14" t="s">
        <v>157</v>
      </c>
      <c r="E133" s="14" t="s">
        <v>158</v>
      </c>
      <c r="F133" s="14">
        <v>0</v>
      </c>
      <c r="G133" s="14">
        <v>222.63730000000001</v>
      </c>
      <c r="H133" s="17"/>
      <c r="I133" s="20" t="str">
        <f>IF(G133&lt;H132,"IRREGULAR","REGULAR")</f>
        <v>REGULAR</v>
      </c>
    </row>
    <row r="135" spans="2:9" x14ac:dyDescent="0.25">
      <c r="B135" s="4" t="s">
        <v>133</v>
      </c>
    </row>
    <row r="137" spans="2:9" x14ac:dyDescent="0.25">
      <c r="B137" s="48" t="s">
        <v>121</v>
      </c>
      <c r="C137" s="48" t="s">
        <v>122</v>
      </c>
      <c r="D137" s="48" t="s">
        <v>123</v>
      </c>
      <c r="E137" s="48" t="s">
        <v>154</v>
      </c>
      <c r="F137" s="12" t="s">
        <v>155</v>
      </c>
      <c r="G137" s="12" t="s">
        <v>167</v>
      </c>
      <c r="H137" s="47" t="s">
        <v>166</v>
      </c>
      <c r="I137" s="47"/>
    </row>
    <row r="138" spans="2:9" x14ac:dyDescent="0.25">
      <c r="B138" s="48"/>
      <c r="C138" s="48"/>
      <c r="D138" s="48"/>
      <c r="E138" s="48"/>
      <c r="F138" s="12" t="s">
        <v>149</v>
      </c>
      <c r="G138" s="12" t="s">
        <v>149</v>
      </c>
      <c r="H138" s="50">
        <v>0.8</v>
      </c>
      <c r="I138" s="47"/>
    </row>
    <row r="139" spans="2:9" x14ac:dyDescent="0.25">
      <c r="B139" s="14" t="s">
        <v>127</v>
      </c>
      <c r="C139" s="14" t="s">
        <v>40</v>
      </c>
      <c r="D139" s="14" t="s">
        <v>157</v>
      </c>
      <c r="E139" s="14" t="s">
        <v>158</v>
      </c>
      <c r="F139" s="14">
        <v>0</v>
      </c>
      <c r="G139" s="14">
        <v>86.089699999999993</v>
      </c>
      <c r="H139" s="17">
        <f>G139*0.8</f>
        <v>68.871759999999995</v>
      </c>
      <c r="I139" s="17"/>
    </row>
    <row r="140" spans="2:9" x14ac:dyDescent="0.25">
      <c r="B140" s="14" t="s">
        <v>131</v>
      </c>
      <c r="C140" s="14" t="s">
        <v>40</v>
      </c>
      <c r="D140" s="14" t="s">
        <v>157</v>
      </c>
      <c r="E140" s="14" t="s">
        <v>158</v>
      </c>
      <c r="F140" s="14">
        <v>0</v>
      </c>
      <c r="G140" s="14">
        <v>178.6182</v>
      </c>
      <c r="H140" s="17">
        <f>G140*0.8</f>
        <v>142.89456000000001</v>
      </c>
      <c r="I140" s="20" t="str">
        <f>IF(G140&lt;H139,"IRREGULAR","REGULAR")</f>
        <v>REGULAR</v>
      </c>
    </row>
    <row r="141" spans="2:9" x14ac:dyDescent="0.25">
      <c r="B141" s="14" t="s">
        <v>132</v>
      </c>
      <c r="C141" s="14" t="s">
        <v>40</v>
      </c>
      <c r="D141" s="14" t="s">
        <v>157</v>
      </c>
      <c r="E141" s="14" t="s">
        <v>158</v>
      </c>
      <c r="F141" s="14">
        <v>0</v>
      </c>
      <c r="G141" s="14">
        <v>222.63730000000001</v>
      </c>
      <c r="H141" s="17"/>
      <c r="I141" s="20" t="str">
        <f>IF(G141&lt;H140,"IRREGULAR","REGULAR")</f>
        <v>REGULAR</v>
      </c>
    </row>
    <row r="149" spans="2:10" x14ac:dyDescent="0.25">
      <c r="B149" s="48" t="s">
        <v>121</v>
      </c>
      <c r="C149" s="12" t="s">
        <v>116</v>
      </c>
      <c r="D149" s="12" t="s">
        <v>117</v>
      </c>
      <c r="E149" s="12" t="s">
        <v>118</v>
      </c>
      <c r="F149" s="12" t="s">
        <v>171</v>
      </c>
      <c r="G149" s="51" t="s">
        <v>166</v>
      </c>
      <c r="H149" s="51"/>
      <c r="I149" s="51"/>
      <c r="J149" s="51"/>
    </row>
    <row r="150" spans="2:10" x14ac:dyDescent="0.25">
      <c r="B150" s="48"/>
      <c r="C150" s="12" t="s">
        <v>170</v>
      </c>
      <c r="D150" s="12" t="s">
        <v>170</v>
      </c>
      <c r="E150" s="12" t="s">
        <v>170</v>
      </c>
      <c r="F150" s="12" t="s">
        <v>172</v>
      </c>
      <c r="G150" s="51">
        <v>1.5</v>
      </c>
      <c r="H150" s="51"/>
      <c r="I150" s="51"/>
      <c r="J150" s="51"/>
    </row>
    <row r="151" spans="2:10" x14ac:dyDescent="0.25">
      <c r="B151" s="14" t="s">
        <v>127</v>
      </c>
      <c r="C151" s="14">
        <v>17.179639999999999</v>
      </c>
      <c r="D151" s="14">
        <v>17.179639999999999</v>
      </c>
      <c r="E151" s="14">
        <v>0</v>
      </c>
      <c r="F151" s="22">
        <f>O80-F152-F153</f>
        <v>198.58940042400002</v>
      </c>
      <c r="G151" s="17">
        <f>F151/F152</f>
        <v>0.77587689980297581</v>
      </c>
      <c r="H151" s="23" t="str">
        <f>IF(G151&gt;1.5,"IRREGULAR","REGULAR")</f>
        <v>REGULAR</v>
      </c>
      <c r="I151" s="17"/>
      <c r="J151" s="17"/>
    </row>
    <row r="152" spans="2:10" x14ac:dyDescent="0.25">
      <c r="B152" s="14" t="s">
        <v>131</v>
      </c>
      <c r="C152" s="14">
        <v>30.167090000000002</v>
      </c>
      <c r="D152" s="14">
        <v>30.167090000000002</v>
      </c>
      <c r="E152" s="14">
        <v>0</v>
      </c>
      <c r="F152" s="22">
        <f>PESO!D43</f>
        <v>255.9547790048</v>
      </c>
      <c r="G152" s="17">
        <f>F152/F153</f>
        <v>0.96574500375675709</v>
      </c>
      <c r="H152" s="23" t="str">
        <f>IF(G152&gt;1.5,"IRREGULAR","REGULAR")</f>
        <v>REGULAR</v>
      </c>
      <c r="I152" s="17">
        <f>F152/F151</f>
        <v>1.288864251859976</v>
      </c>
      <c r="J152" s="23" t="str">
        <f>IF(I152&gt;1.5,"IRREGULAR","REGULAR")</f>
        <v>REGULAR</v>
      </c>
    </row>
    <row r="153" spans="2:10" x14ac:dyDescent="0.25">
      <c r="B153" s="14" t="s">
        <v>132</v>
      </c>
      <c r="C153" s="14">
        <v>26.029769999999999</v>
      </c>
      <c r="D153" s="14">
        <v>26.029769999999999</v>
      </c>
      <c r="E153" s="14">
        <v>0</v>
      </c>
      <c r="F153" s="22">
        <f>PESO!D2</f>
        <v>265.03350057119997</v>
      </c>
      <c r="G153" s="17"/>
      <c r="H153" s="17"/>
      <c r="I153" s="17">
        <f>F153/F152</f>
        <v>1.035470021703442</v>
      </c>
      <c r="J153" s="23" t="str">
        <f>IF(I153&gt;1.5,"IRREGULAR","REGULAR")</f>
        <v>REGULAR</v>
      </c>
    </row>
    <row r="154" spans="2:10" x14ac:dyDescent="0.25">
      <c r="B154" s="14" t="s">
        <v>153</v>
      </c>
      <c r="C154" s="14">
        <v>3.5382899999999999</v>
      </c>
      <c r="D154" s="14">
        <v>3.5382899999999999</v>
      </c>
      <c r="E154" s="14">
        <v>0</v>
      </c>
      <c r="F154" s="17"/>
      <c r="G154" s="17"/>
      <c r="H154" s="17"/>
      <c r="I154" s="17"/>
      <c r="J154" s="17"/>
    </row>
    <row r="163" spans="2:12" x14ac:dyDescent="0.25">
      <c r="B163" s="4"/>
    </row>
    <row r="164" spans="2:12" x14ac:dyDescent="0.25">
      <c r="B164" s="48" t="s">
        <v>121</v>
      </c>
      <c r="C164" s="52" t="s">
        <v>190</v>
      </c>
      <c r="D164" s="53"/>
      <c r="E164" s="52" t="s">
        <v>166</v>
      </c>
      <c r="F164" s="54"/>
      <c r="G164" s="54"/>
      <c r="H164" s="54"/>
      <c r="I164" s="54"/>
      <c r="J164" s="54"/>
      <c r="K164" s="54"/>
      <c r="L164" s="53"/>
    </row>
    <row r="165" spans="2:12" x14ac:dyDescent="0.25">
      <c r="B165" s="48"/>
      <c r="C165" s="18" t="s">
        <v>6</v>
      </c>
      <c r="D165" s="18" t="s">
        <v>7</v>
      </c>
      <c r="E165" s="52" t="s">
        <v>120</v>
      </c>
      <c r="F165" s="54"/>
      <c r="G165" s="54"/>
      <c r="H165" s="53"/>
      <c r="I165" s="52" t="s">
        <v>133</v>
      </c>
      <c r="J165" s="54"/>
      <c r="K165" s="54"/>
      <c r="L165" s="53"/>
    </row>
    <row r="166" spans="2:12" x14ac:dyDescent="0.25">
      <c r="B166" s="14" t="s">
        <v>127</v>
      </c>
      <c r="C166" s="19">
        <v>23.4</v>
      </c>
      <c r="D166" s="19">
        <f>7.65+2.22</f>
        <v>9.870000000000001</v>
      </c>
      <c r="E166" s="22">
        <f>C166/C167</f>
        <v>1</v>
      </c>
      <c r="F166" s="20" t="str">
        <f>IF(E166&gt;1.3,"IRREGULAR","REGULAR")</f>
        <v>REGULAR</v>
      </c>
      <c r="G166" s="17"/>
      <c r="H166" s="17"/>
      <c r="I166" s="22">
        <f>D166/D167</f>
        <v>1</v>
      </c>
      <c r="J166" s="20" t="str">
        <f>IF(I166&gt;1.3,"IRREGULAR","REGULAR")</f>
        <v>REGULAR</v>
      </c>
      <c r="K166" s="17"/>
      <c r="L166" s="17"/>
    </row>
    <row r="167" spans="2:12" x14ac:dyDescent="0.25">
      <c r="B167" s="14" t="s">
        <v>131</v>
      </c>
      <c r="C167" s="19">
        <v>23.4</v>
      </c>
      <c r="D167" s="19">
        <f>7.65+2.22</f>
        <v>9.870000000000001</v>
      </c>
      <c r="E167" s="22">
        <f>C167/C168</f>
        <v>1</v>
      </c>
      <c r="F167" s="20" t="str">
        <f>IF(E167&gt;1.3,"IRREGULAR","REGULAR")</f>
        <v>REGULAR</v>
      </c>
      <c r="G167" s="22">
        <f>C167/C166</f>
        <v>1</v>
      </c>
      <c r="H167" s="20" t="str">
        <f>IF(G167&gt;1.3,"IRREGULAR","REGULAR")</f>
        <v>REGULAR</v>
      </c>
      <c r="I167" s="22">
        <f>D167/D168</f>
        <v>1</v>
      </c>
      <c r="J167" s="20" t="str">
        <f>IF(I167&gt;1.3,"IRREGULAR","REGULAR")</f>
        <v>REGULAR</v>
      </c>
      <c r="K167" s="22">
        <f>D167/D166</f>
        <v>1</v>
      </c>
      <c r="L167" s="20" t="str">
        <f>IF(K167&gt;1.3,"IRREGULAR","REGULAR")</f>
        <v>REGULAR</v>
      </c>
    </row>
    <row r="168" spans="2:12" x14ac:dyDescent="0.25">
      <c r="B168" s="14" t="s">
        <v>132</v>
      </c>
      <c r="C168" s="19">
        <v>23.4</v>
      </c>
      <c r="D168" s="19">
        <f>7.65+2.22</f>
        <v>9.870000000000001</v>
      </c>
      <c r="E168" s="17"/>
      <c r="F168" s="17"/>
      <c r="G168" s="22">
        <f>C168/C167</f>
        <v>1</v>
      </c>
      <c r="H168" s="20" t="str">
        <f>IF(G168&gt;1.3,"IRREGULAR","REGULAR")</f>
        <v>REGULAR</v>
      </c>
      <c r="I168" s="17"/>
      <c r="J168" s="17"/>
      <c r="K168" s="22">
        <f>D168/D167</f>
        <v>1</v>
      </c>
      <c r="L168" s="20" t="str">
        <f>IF(K168&gt;1.3,"IRREGULAR","REGULAR")</f>
        <v>REGULAR</v>
      </c>
    </row>
    <row r="179" spans="2:8" x14ac:dyDescent="0.25">
      <c r="B179" s="24" t="s">
        <v>191</v>
      </c>
      <c r="C179" s="25"/>
      <c r="D179" s="25"/>
      <c r="E179" s="25"/>
      <c r="F179" s="25"/>
      <c r="G179" s="26" t="s">
        <v>20</v>
      </c>
      <c r="H179" s="27">
        <v>1</v>
      </c>
    </row>
    <row r="193" spans="2:8" x14ac:dyDescent="0.25">
      <c r="B193" s="4" t="s">
        <v>120</v>
      </c>
    </row>
    <row r="195" spans="2:8" x14ac:dyDescent="0.25">
      <c r="B195" s="12" t="s">
        <v>121</v>
      </c>
      <c r="C195" s="12" t="s">
        <v>192</v>
      </c>
      <c r="D195" s="18" t="s">
        <v>163</v>
      </c>
      <c r="E195" s="28" t="s">
        <v>193</v>
      </c>
      <c r="F195" s="28" t="s">
        <v>194</v>
      </c>
      <c r="G195" s="18" t="s">
        <v>166</v>
      </c>
    </row>
    <row r="196" spans="2:8" x14ac:dyDescent="0.25">
      <c r="B196" s="14" t="s">
        <v>132</v>
      </c>
      <c r="C196" s="13">
        <v>3.3270000000000001E-3</v>
      </c>
      <c r="D196" s="17">
        <f>C196*408</f>
        <v>1.357416</v>
      </c>
      <c r="E196" s="55">
        <f>MAX(D196:D199)</f>
        <v>1.4516640000000001</v>
      </c>
      <c r="F196" s="55">
        <f>AVERAGE(D196:D199)</f>
        <v>1.4045399999999999</v>
      </c>
      <c r="G196" s="55">
        <f>E196/F196</f>
        <v>1.0335511982570806</v>
      </c>
      <c r="H196" s="10" t="str">
        <f>IF(G196&gt;1.3,"IRREGULAR","REGULAR")</f>
        <v>REGULAR</v>
      </c>
    </row>
    <row r="197" spans="2:8" x14ac:dyDescent="0.25">
      <c r="B197" s="14" t="s">
        <v>132</v>
      </c>
      <c r="C197" s="13">
        <v>3.558E-3</v>
      </c>
      <c r="D197" s="17">
        <f t="shared" ref="D197:D199" si="2">C197*408</f>
        <v>1.4516640000000001</v>
      </c>
      <c r="E197" s="56"/>
      <c r="F197" s="56"/>
      <c r="G197" s="56"/>
    </row>
    <row r="198" spans="2:8" x14ac:dyDescent="0.25">
      <c r="B198" s="14" t="s">
        <v>132</v>
      </c>
      <c r="C198" s="13">
        <v>3.558E-3</v>
      </c>
      <c r="D198" s="17">
        <f t="shared" si="2"/>
        <v>1.4516640000000001</v>
      </c>
      <c r="E198" s="56"/>
      <c r="F198" s="56"/>
      <c r="G198" s="56"/>
    </row>
    <row r="199" spans="2:8" x14ac:dyDescent="0.25">
      <c r="B199" s="14" t="s">
        <v>132</v>
      </c>
      <c r="C199" s="13">
        <v>3.3270000000000001E-3</v>
      </c>
      <c r="D199" s="17">
        <f t="shared" si="2"/>
        <v>1.357416</v>
      </c>
      <c r="E199" s="57"/>
      <c r="F199" s="57"/>
      <c r="G199" s="57"/>
    </row>
    <row r="200" spans="2:8" x14ac:dyDescent="0.25">
      <c r="B200" s="14" t="s">
        <v>131</v>
      </c>
      <c r="C200" s="13">
        <v>4.411E-3</v>
      </c>
      <c r="D200" s="17">
        <f>C200*332</f>
        <v>1.4644520000000001</v>
      </c>
      <c r="E200" s="58">
        <f>MAX(D200:D205)</f>
        <v>1.575672</v>
      </c>
      <c r="F200" s="55">
        <f>AVERAGE(D200:D205)</f>
        <v>1.5044026666666666</v>
      </c>
      <c r="G200" s="55">
        <f>E200/F200</f>
        <v>1.047373841400618</v>
      </c>
      <c r="H200" s="10" t="str">
        <f>IF(G200&gt;1.3,"IRREGULAR","REGULAR")</f>
        <v>REGULAR</v>
      </c>
    </row>
    <row r="201" spans="2:8" x14ac:dyDescent="0.25">
      <c r="B201" s="14" t="s">
        <v>131</v>
      </c>
      <c r="C201" s="13">
        <v>4.7460000000000002E-3</v>
      </c>
      <c r="D201" s="17">
        <f t="shared" ref="D201:D205" si="3">C201*332</f>
        <v>1.575672</v>
      </c>
      <c r="E201" s="58"/>
      <c r="F201" s="56"/>
      <c r="G201" s="56"/>
    </row>
    <row r="202" spans="2:8" x14ac:dyDescent="0.25">
      <c r="B202" s="14" t="s">
        <v>131</v>
      </c>
      <c r="C202" s="13">
        <v>4.7460000000000002E-3</v>
      </c>
      <c r="D202" s="17">
        <f t="shared" si="3"/>
        <v>1.575672</v>
      </c>
      <c r="E202" s="58"/>
      <c r="F202" s="56"/>
      <c r="G202" s="56"/>
    </row>
    <row r="203" spans="2:8" x14ac:dyDescent="0.25">
      <c r="B203" s="14" t="s">
        <v>131</v>
      </c>
      <c r="C203" s="13">
        <v>4.411E-3</v>
      </c>
      <c r="D203" s="17">
        <f t="shared" si="3"/>
        <v>1.4644520000000001</v>
      </c>
      <c r="E203" s="58"/>
      <c r="F203" s="56"/>
      <c r="G203" s="56"/>
    </row>
    <row r="204" spans="2:8" x14ac:dyDescent="0.25">
      <c r="B204" s="14" t="s">
        <v>131</v>
      </c>
      <c r="C204" s="13">
        <v>4.437E-3</v>
      </c>
      <c r="D204" s="17">
        <f t="shared" si="3"/>
        <v>1.4730840000000001</v>
      </c>
      <c r="E204" s="58"/>
      <c r="F204" s="56"/>
      <c r="G204" s="56"/>
    </row>
    <row r="205" spans="2:8" x14ac:dyDescent="0.25">
      <c r="B205" s="14" t="s">
        <v>131</v>
      </c>
      <c r="C205" s="13">
        <v>4.437E-3</v>
      </c>
      <c r="D205" s="17">
        <f t="shared" si="3"/>
        <v>1.4730840000000001</v>
      </c>
      <c r="E205" s="58"/>
      <c r="F205" s="57"/>
      <c r="G205" s="57"/>
    </row>
    <row r="206" spans="2:8" x14ac:dyDescent="0.25">
      <c r="B206" s="14" t="s">
        <v>127</v>
      </c>
      <c r="C206" s="13">
        <v>2.1280000000000001E-3</v>
      </c>
      <c r="D206" s="17">
        <f>C206*469</f>
        <v>0.99803200000000003</v>
      </c>
      <c r="E206" s="29">
        <f>MAX(D206)</f>
        <v>0.99803200000000003</v>
      </c>
      <c r="F206" s="29">
        <f>AVERAGE(E206)</f>
        <v>0.99803200000000003</v>
      </c>
      <c r="G206" s="29">
        <f>E206/F206</f>
        <v>1</v>
      </c>
      <c r="H206" s="10" t="str">
        <f>IF(G206&gt;1.3,"IRREGULAR","REGULAR")</f>
        <v>REGULAR</v>
      </c>
    </row>
    <row r="208" spans="2:8" x14ac:dyDescent="0.25">
      <c r="B208" s="4" t="s">
        <v>133</v>
      </c>
    </row>
    <row r="210" spans="2:8" x14ac:dyDescent="0.25">
      <c r="B210" s="12" t="s">
        <v>121</v>
      </c>
      <c r="C210" s="12" t="s">
        <v>195</v>
      </c>
      <c r="D210" s="18" t="s">
        <v>169</v>
      </c>
      <c r="E210" s="28" t="s">
        <v>196</v>
      </c>
      <c r="F210" s="28" t="s">
        <v>197</v>
      </c>
      <c r="G210" s="18" t="s">
        <v>166</v>
      </c>
    </row>
    <row r="211" spans="2:8" x14ac:dyDescent="0.25">
      <c r="B211" s="14" t="s">
        <v>132</v>
      </c>
      <c r="C211" s="13">
        <v>2.0249999999999999E-3</v>
      </c>
      <c r="D211" s="17">
        <f>C211*408</f>
        <v>0.82619999999999993</v>
      </c>
      <c r="E211" s="55">
        <f>MAX(D211:D214)</f>
        <v>0.82619999999999993</v>
      </c>
      <c r="F211" s="55">
        <f>AVERAGE(D211:D214)</f>
        <v>0.816612</v>
      </c>
      <c r="G211" s="55">
        <f>E211/F211</f>
        <v>1.0117411941044216</v>
      </c>
      <c r="H211" s="10" t="str">
        <f>IF(G211&gt;1.3,"IRREGULAR","REGULAR")</f>
        <v>REGULAR</v>
      </c>
    </row>
    <row r="212" spans="2:8" x14ac:dyDescent="0.25">
      <c r="B212" s="14" t="s">
        <v>132</v>
      </c>
      <c r="C212" s="13">
        <v>1.9780000000000002E-3</v>
      </c>
      <c r="D212" s="17">
        <f t="shared" ref="D212:D214" si="4">C212*408</f>
        <v>0.80702400000000007</v>
      </c>
      <c r="E212" s="56"/>
      <c r="F212" s="56"/>
      <c r="G212" s="56"/>
    </row>
    <row r="213" spans="2:8" x14ac:dyDescent="0.25">
      <c r="B213" s="14" t="s">
        <v>132</v>
      </c>
      <c r="C213" s="13">
        <v>2.0249999999999999E-3</v>
      </c>
      <c r="D213" s="17">
        <f t="shared" si="4"/>
        <v>0.82619999999999993</v>
      </c>
      <c r="E213" s="56"/>
      <c r="F213" s="56"/>
      <c r="G213" s="56"/>
    </row>
    <row r="214" spans="2:8" x14ac:dyDescent="0.25">
      <c r="B214" s="14" t="s">
        <v>132</v>
      </c>
      <c r="C214" s="13">
        <v>1.9780000000000002E-3</v>
      </c>
      <c r="D214" s="17">
        <f t="shared" si="4"/>
        <v>0.80702400000000007</v>
      </c>
      <c r="E214" s="57"/>
      <c r="F214" s="57"/>
      <c r="G214" s="57"/>
    </row>
    <row r="215" spans="2:8" x14ac:dyDescent="0.25">
      <c r="B215" s="14" t="s">
        <v>131</v>
      </c>
      <c r="C215" s="13">
        <v>2.3509999999999998E-3</v>
      </c>
      <c r="D215" s="17">
        <f>C215*332</f>
        <v>0.78053199999999989</v>
      </c>
      <c r="E215" s="58">
        <f>MAX(D215:D220)</f>
        <v>0.82568399999999997</v>
      </c>
      <c r="F215" s="55">
        <f>AVERAGE(D215:D220)</f>
        <v>0.80310799999999993</v>
      </c>
      <c r="G215" s="55">
        <f>E215/F215</f>
        <v>1.0281107895824722</v>
      </c>
      <c r="H215" s="10" t="str">
        <f>IF(G215&gt;1.3,"IRREGULAR","REGULAR")</f>
        <v>REGULAR</v>
      </c>
    </row>
    <row r="216" spans="2:8" x14ac:dyDescent="0.25">
      <c r="B216" s="14" t="s">
        <v>131</v>
      </c>
      <c r="C216" s="13">
        <v>2.4870000000000001E-3</v>
      </c>
      <c r="D216" s="17">
        <f t="shared" ref="D216:D220" si="5">C216*332</f>
        <v>0.82568399999999997</v>
      </c>
      <c r="E216" s="58"/>
      <c r="F216" s="56"/>
      <c r="G216" s="56"/>
    </row>
    <row r="217" spans="2:8" x14ac:dyDescent="0.25">
      <c r="B217" s="14" t="s">
        <v>131</v>
      </c>
      <c r="C217" s="13">
        <v>2.3509999999999998E-3</v>
      </c>
      <c r="D217" s="17">
        <f t="shared" si="5"/>
        <v>0.78053199999999989</v>
      </c>
      <c r="E217" s="58"/>
      <c r="F217" s="56"/>
      <c r="G217" s="56"/>
    </row>
    <row r="218" spans="2:8" x14ac:dyDescent="0.25">
      <c r="B218" s="14" t="s">
        <v>131</v>
      </c>
      <c r="C218" s="13">
        <v>2.4870000000000001E-3</v>
      </c>
      <c r="D218" s="17">
        <f t="shared" si="5"/>
        <v>0.82568399999999997</v>
      </c>
      <c r="E218" s="58"/>
      <c r="F218" s="56"/>
      <c r="G218" s="56"/>
    </row>
    <row r="219" spans="2:8" x14ac:dyDescent="0.25">
      <c r="B219" s="14" t="s">
        <v>131</v>
      </c>
      <c r="C219" s="13">
        <v>2.3509999999999998E-3</v>
      </c>
      <c r="D219" s="17">
        <f t="shared" si="5"/>
        <v>0.78053199999999989</v>
      </c>
      <c r="E219" s="58"/>
      <c r="F219" s="56"/>
      <c r="G219" s="56"/>
    </row>
    <row r="220" spans="2:8" x14ac:dyDescent="0.25">
      <c r="B220" s="14" t="s">
        <v>131</v>
      </c>
      <c r="C220" s="13">
        <v>2.4870000000000001E-3</v>
      </c>
      <c r="D220" s="17">
        <f t="shared" si="5"/>
        <v>0.82568399999999997</v>
      </c>
      <c r="E220" s="58"/>
      <c r="F220" s="57"/>
      <c r="G220" s="57"/>
    </row>
    <row r="221" spans="2:8" x14ac:dyDescent="0.25">
      <c r="B221" s="14" t="s">
        <v>127</v>
      </c>
      <c r="C221" s="13">
        <v>1.4220000000000001E-3</v>
      </c>
      <c r="D221" s="17">
        <f>C221*469</f>
        <v>0.66691800000000001</v>
      </c>
      <c r="E221" s="29">
        <f>MAX(D221)</f>
        <v>0.66691800000000001</v>
      </c>
      <c r="F221" s="29">
        <f>AVERAGE(E221)</f>
        <v>0.66691800000000001</v>
      </c>
      <c r="G221" s="29">
        <f>E221/F221</f>
        <v>1</v>
      </c>
      <c r="H221" s="10" t="str">
        <f>IF(G221&gt;1.3,"IRREGULAR","REGULAR")</f>
        <v>REGULAR</v>
      </c>
    </row>
    <row r="250" spans="2:8" x14ac:dyDescent="0.25">
      <c r="B250" s="11" t="s">
        <v>199</v>
      </c>
      <c r="C250" s="3"/>
      <c r="D250" s="3"/>
      <c r="E250" s="3"/>
      <c r="F250" s="3"/>
      <c r="G250" s="3"/>
      <c r="H250" s="3"/>
    </row>
    <row r="261" spans="2:12" x14ac:dyDescent="0.25">
      <c r="B261" s="4" t="s">
        <v>120</v>
      </c>
      <c r="J261" s="30"/>
    </row>
    <row r="262" spans="2:12" x14ac:dyDescent="0.25">
      <c r="C262" t="s">
        <v>200</v>
      </c>
      <c r="D262" s="30">
        <v>222.63730000000001</v>
      </c>
      <c r="E262" t="s">
        <v>172</v>
      </c>
      <c r="J262" s="30"/>
    </row>
    <row r="263" spans="2:12" x14ac:dyDescent="0.25">
      <c r="C263" t="s">
        <v>201</v>
      </c>
      <c r="D263" s="30">
        <v>194.0274</v>
      </c>
      <c r="E263" t="s">
        <v>172</v>
      </c>
    </row>
    <row r="264" spans="2:12" x14ac:dyDescent="0.25">
      <c r="L264" s="10"/>
    </row>
    <row r="265" spans="2:12" x14ac:dyDescent="0.25">
      <c r="C265" t="s">
        <v>202</v>
      </c>
      <c r="D265">
        <f>0.8*D262</f>
        <v>178.10984000000002</v>
      </c>
      <c r="E265" t="s">
        <v>172</v>
      </c>
      <c r="F265" s="10" t="str">
        <f>IF(D263&gt;D265,"CUMPLE","ERROR")</f>
        <v>CUMPLE</v>
      </c>
      <c r="J265" s="32"/>
    </row>
    <row r="266" spans="2:12" x14ac:dyDescent="0.25">
      <c r="L266" s="10"/>
    </row>
    <row r="267" spans="2:12" x14ac:dyDescent="0.25">
      <c r="B267" s="4" t="s">
        <v>133</v>
      </c>
    </row>
    <row r="268" spans="2:12" x14ac:dyDescent="0.25">
      <c r="C268" t="s">
        <v>203</v>
      </c>
      <c r="D268" s="30">
        <v>222.63730000000001</v>
      </c>
      <c r="E268" t="s">
        <v>172</v>
      </c>
    </row>
    <row r="269" spans="2:12" x14ac:dyDescent="0.25">
      <c r="C269" t="s">
        <v>204</v>
      </c>
      <c r="D269" s="30">
        <v>180.09370000000001</v>
      </c>
      <c r="E269" t="s">
        <v>172</v>
      </c>
    </row>
    <row r="271" spans="2:12" x14ac:dyDescent="0.25">
      <c r="C271" t="s">
        <v>205</v>
      </c>
      <c r="D271">
        <f>0.8*D268</f>
        <v>178.10984000000002</v>
      </c>
      <c r="E271" t="s">
        <v>172</v>
      </c>
      <c r="F271" s="10" t="str">
        <f>IF(D269&gt;D271,"CUMPLE","ERROR")</f>
        <v>CUMPLE</v>
      </c>
    </row>
    <row r="274" spans="2:8" x14ac:dyDescent="0.25">
      <c r="B274" s="11" t="s">
        <v>206</v>
      </c>
      <c r="C274" s="3"/>
      <c r="D274" s="3"/>
      <c r="E274" s="3"/>
      <c r="F274" s="3"/>
      <c r="G274" s="3"/>
      <c r="H274" s="3"/>
    </row>
    <row r="297" spans="2:8" x14ac:dyDescent="0.25">
      <c r="B297" s="4" t="s">
        <v>120</v>
      </c>
    </row>
    <row r="299" spans="2:8" x14ac:dyDescent="0.25">
      <c r="C299" t="s">
        <v>207</v>
      </c>
      <c r="D299">
        <f>D263</f>
        <v>194.0274</v>
      </c>
      <c r="E299" t="s">
        <v>172</v>
      </c>
    </row>
    <row r="300" spans="2:8" x14ac:dyDescent="0.25">
      <c r="C300" t="s">
        <v>208</v>
      </c>
      <c r="D300">
        <f>H322</f>
        <v>180.88379999999998</v>
      </c>
      <c r="E300" t="s">
        <v>172</v>
      </c>
    </row>
    <row r="301" spans="2:8" x14ac:dyDescent="0.25">
      <c r="C301" t="s">
        <v>112</v>
      </c>
      <c r="D301" s="34">
        <f>D300/D299</f>
        <v>0.93225905207202686</v>
      </c>
      <c r="E301" s="31" t="s">
        <v>214</v>
      </c>
    </row>
    <row r="303" spans="2:8" ht="15" customHeight="1" x14ac:dyDescent="0.25">
      <c r="B303" s="48" t="s">
        <v>121</v>
      </c>
      <c r="C303" s="48" t="s">
        <v>209</v>
      </c>
      <c r="D303" s="48" t="s">
        <v>210</v>
      </c>
      <c r="E303" s="48" t="s">
        <v>122</v>
      </c>
      <c r="F303" s="48" t="s">
        <v>123</v>
      </c>
      <c r="G303" s="48" t="s">
        <v>124</v>
      </c>
      <c r="H303" s="12" t="s">
        <v>211</v>
      </c>
    </row>
    <row r="304" spans="2:8" x14ac:dyDescent="0.25">
      <c r="B304" s="48"/>
      <c r="C304" s="48"/>
      <c r="D304" s="48"/>
      <c r="E304" s="48"/>
      <c r="F304" s="48"/>
      <c r="G304" s="48"/>
      <c r="H304" s="12" t="s">
        <v>149</v>
      </c>
    </row>
    <row r="305" spans="2:8" x14ac:dyDescent="0.25">
      <c r="B305" s="14" t="s">
        <v>153</v>
      </c>
      <c r="C305" s="14">
        <v>4</v>
      </c>
      <c r="D305" s="14">
        <v>13</v>
      </c>
      <c r="E305" s="14" t="s">
        <v>53</v>
      </c>
      <c r="F305" s="14" t="s">
        <v>212</v>
      </c>
      <c r="G305" s="14" t="s">
        <v>130</v>
      </c>
      <c r="H305" s="14">
        <v>18.058199999999999</v>
      </c>
    </row>
    <row r="306" spans="2:8" x14ac:dyDescent="0.25">
      <c r="B306" s="14" t="s">
        <v>153</v>
      </c>
      <c r="C306" s="14">
        <v>5</v>
      </c>
      <c r="D306" s="14">
        <v>17</v>
      </c>
      <c r="E306" s="14" t="s">
        <v>53</v>
      </c>
      <c r="F306" s="14" t="s">
        <v>212</v>
      </c>
      <c r="G306" s="14" t="s">
        <v>130</v>
      </c>
      <c r="H306" s="14">
        <v>18.285799999999998</v>
      </c>
    </row>
    <row r="307" spans="2:8" x14ac:dyDescent="0.25">
      <c r="B307" s="14" t="s">
        <v>153</v>
      </c>
      <c r="C307" s="14">
        <v>6</v>
      </c>
      <c r="D307" s="14">
        <v>21</v>
      </c>
      <c r="E307" s="14" t="s">
        <v>53</v>
      </c>
      <c r="F307" s="14" t="s">
        <v>212</v>
      </c>
      <c r="G307" s="14" t="s">
        <v>130</v>
      </c>
      <c r="H307" s="14">
        <v>18.376200000000001</v>
      </c>
    </row>
    <row r="308" spans="2:8" x14ac:dyDescent="0.25">
      <c r="B308" s="14" t="s">
        <v>153</v>
      </c>
      <c r="C308" s="14">
        <v>7</v>
      </c>
      <c r="D308" s="14">
        <v>25</v>
      </c>
      <c r="E308" s="14" t="s">
        <v>53</v>
      </c>
      <c r="F308" s="14" t="s">
        <v>212</v>
      </c>
      <c r="G308" s="14" t="s">
        <v>130</v>
      </c>
      <c r="H308" s="14">
        <v>18.0288</v>
      </c>
    </row>
    <row r="309" spans="2:8" x14ac:dyDescent="0.25">
      <c r="B309" s="14" t="s">
        <v>153</v>
      </c>
      <c r="C309" s="14">
        <v>8</v>
      </c>
      <c r="D309" s="14">
        <v>29</v>
      </c>
      <c r="E309" s="14" t="s">
        <v>53</v>
      </c>
      <c r="F309" s="14" t="s">
        <v>212</v>
      </c>
      <c r="G309" s="14" t="s">
        <v>130</v>
      </c>
      <c r="H309" s="14">
        <v>17.218</v>
      </c>
    </row>
    <row r="310" spans="2:8" x14ac:dyDescent="0.25">
      <c r="B310" s="14" t="s">
        <v>153</v>
      </c>
      <c r="C310" s="14">
        <v>9</v>
      </c>
      <c r="D310" s="14">
        <v>33</v>
      </c>
      <c r="E310" s="14" t="s">
        <v>53</v>
      </c>
      <c r="F310" s="14" t="s">
        <v>212</v>
      </c>
      <c r="G310" s="14" t="s">
        <v>130</v>
      </c>
      <c r="H310" s="14">
        <v>17.4298</v>
      </c>
    </row>
    <row r="311" spans="2:8" x14ac:dyDescent="0.25">
      <c r="B311" s="14" t="s">
        <v>153</v>
      </c>
      <c r="C311" s="14">
        <v>11</v>
      </c>
      <c r="D311" s="14">
        <v>41</v>
      </c>
      <c r="E311" s="14" t="s">
        <v>53</v>
      </c>
      <c r="F311" s="14" t="s">
        <v>212</v>
      </c>
      <c r="G311" s="14" t="s">
        <v>130</v>
      </c>
      <c r="H311" s="14">
        <v>17.245899999999999</v>
      </c>
    </row>
    <row r="312" spans="2:8" x14ac:dyDescent="0.25">
      <c r="B312" s="14" t="s">
        <v>153</v>
      </c>
      <c r="C312" s="14">
        <v>12</v>
      </c>
      <c r="D312" s="14">
        <v>49</v>
      </c>
      <c r="E312" s="14" t="s">
        <v>53</v>
      </c>
      <c r="F312" s="14" t="s">
        <v>212</v>
      </c>
      <c r="G312" s="14" t="s">
        <v>130</v>
      </c>
      <c r="H312" s="14">
        <v>17.6967</v>
      </c>
    </row>
    <row r="313" spans="2:8" x14ac:dyDescent="0.25">
      <c r="B313" s="14" t="s">
        <v>153</v>
      </c>
      <c r="C313" s="14">
        <v>13</v>
      </c>
      <c r="D313" s="14">
        <v>53</v>
      </c>
      <c r="E313" s="14" t="s">
        <v>53</v>
      </c>
      <c r="F313" s="14" t="s">
        <v>212</v>
      </c>
      <c r="G313" s="14" t="s">
        <v>130</v>
      </c>
      <c r="H313" s="14">
        <v>16.7807</v>
      </c>
    </row>
    <row r="314" spans="2:8" x14ac:dyDescent="0.25">
      <c r="B314" s="14" t="s">
        <v>153</v>
      </c>
      <c r="C314" s="14">
        <v>15</v>
      </c>
      <c r="D314" s="14">
        <v>61</v>
      </c>
      <c r="E314" s="14" t="s">
        <v>53</v>
      </c>
      <c r="F314" s="14" t="s">
        <v>212</v>
      </c>
      <c r="G314" s="14" t="s">
        <v>130</v>
      </c>
      <c r="H314" s="14">
        <v>17.5578</v>
      </c>
    </row>
    <row r="315" spans="2:8" x14ac:dyDescent="0.25">
      <c r="B315" s="14" t="s">
        <v>153</v>
      </c>
      <c r="C315" s="14">
        <v>49</v>
      </c>
      <c r="D315" s="14">
        <v>144</v>
      </c>
      <c r="E315" s="14" t="s">
        <v>53</v>
      </c>
      <c r="F315" s="14" t="s">
        <v>212</v>
      </c>
      <c r="G315" s="14" t="s">
        <v>130</v>
      </c>
      <c r="H315" s="14">
        <v>0.49930000000000002</v>
      </c>
    </row>
    <row r="316" spans="2:8" x14ac:dyDescent="0.25">
      <c r="B316" s="14" t="s">
        <v>153</v>
      </c>
      <c r="C316" s="14">
        <v>77</v>
      </c>
      <c r="D316" s="14">
        <v>85</v>
      </c>
      <c r="E316" s="14" t="s">
        <v>53</v>
      </c>
      <c r="F316" s="14" t="s">
        <v>212</v>
      </c>
      <c r="G316" s="14" t="s">
        <v>130</v>
      </c>
      <c r="H316" s="14">
        <v>0.81420000000000003</v>
      </c>
    </row>
    <row r="317" spans="2:8" x14ac:dyDescent="0.25">
      <c r="B317" s="14" t="s">
        <v>153</v>
      </c>
      <c r="C317" s="14">
        <v>89</v>
      </c>
      <c r="D317" s="14">
        <v>134</v>
      </c>
      <c r="E317" s="14" t="s">
        <v>53</v>
      </c>
      <c r="F317" s="14" t="s">
        <v>212</v>
      </c>
      <c r="G317" s="14" t="s">
        <v>130</v>
      </c>
      <c r="H317" s="14">
        <v>0.51900000000000002</v>
      </c>
    </row>
    <row r="318" spans="2:8" x14ac:dyDescent="0.25">
      <c r="B318" s="14" t="s">
        <v>153</v>
      </c>
      <c r="C318" s="14">
        <v>93</v>
      </c>
      <c r="D318" s="14">
        <v>139</v>
      </c>
      <c r="E318" s="14" t="s">
        <v>53</v>
      </c>
      <c r="F318" s="14" t="s">
        <v>212</v>
      </c>
      <c r="G318" s="14" t="s">
        <v>130</v>
      </c>
      <c r="H318" s="14">
        <v>0.50170000000000003</v>
      </c>
    </row>
    <row r="319" spans="2:8" x14ac:dyDescent="0.25">
      <c r="B319" s="14" t="s">
        <v>153</v>
      </c>
      <c r="C319" s="14">
        <v>100</v>
      </c>
      <c r="D319" s="14">
        <v>149</v>
      </c>
      <c r="E319" s="14" t="s">
        <v>53</v>
      </c>
      <c r="F319" s="14" t="s">
        <v>212</v>
      </c>
      <c r="G319" s="14" t="s">
        <v>130</v>
      </c>
      <c r="H319" s="14">
        <v>0.50870000000000004</v>
      </c>
    </row>
    <row r="320" spans="2:8" x14ac:dyDescent="0.25">
      <c r="B320" s="14" t="s">
        <v>153</v>
      </c>
      <c r="C320" s="14">
        <v>104</v>
      </c>
      <c r="D320" s="14">
        <v>154</v>
      </c>
      <c r="E320" s="14" t="s">
        <v>53</v>
      </c>
      <c r="F320" s="14" t="s">
        <v>212</v>
      </c>
      <c r="G320" s="14" t="s">
        <v>130</v>
      </c>
      <c r="H320" s="14">
        <v>0.52990000000000004</v>
      </c>
    </row>
    <row r="321" spans="2:10" x14ac:dyDescent="0.25">
      <c r="B321" s="14" t="s">
        <v>153</v>
      </c>
      <c r="C321" s="14">
        <v>108</v>
      </c>
      <c r="D321" s="14">
        <v>159</v>
      </c>
      <c r="E321" s="14" t="s">
        <v>53</v>
      </c>
      <c r="F321" s="14" t="s">
        <v>212</v>
      </c>
      <c r="G321" s="14" t="s">
        <v>130</v>
      </c>
      <c r="H321" s="14">
        <v>0.83309999999999995</v>
      </c>
    </row>
    <row r="322" spans="2:10" x14ac:dyDescent="0.25">
      <c r="B322" s="47" t="s">
        <v>213</v>
      </c>
      <c r="C322" s="47"/>
      <c r="D322" s="47"/>
      <c r="E322" s="47"/>
      <c r="F322" s="47"/>
      <c r="G322" s="47"/>
      <c r="H322" s="18">
        <f>SUM(H305:H321)</f>
        <v>180.88379999999998</v>
      </c>
    </row>
    <row r="325" spans="2:10" x14ac:dyDescent="0.25">
      <c r="B325" s="4" t="s">
        <v>133</v>
      </c>
    </row>
    <row r="327" spans="2:10" x14ac:dyDescent="0.25">
      <c r="C327" t="s">
        <v>207</v>
      </c>
      <c r="D327">
        <f>J358</f>
        <v>197.76820000000004</v>
      </c>
      <c r="E327" t="s">
        <v>172</v>
      </c>
    </row>
    <row r="328" spans="2:10" x14ac:dyDescent="0.25">
      <c r="C328" t="s">
        <v>208</v>
      </c>
      <c r="D328">
        <f>H350</f>
        <v>182.4787</v>
      </c>
      <c r="E328" t="s">
        <v>172</v>
      </c>
    </row>
    <row r="329" spans="2:10" x14ac:dyDescent="0.25">
      <c r="C329" t="s">
        <v>112</v>
      </c>
      <c r="D329" s="34">
        <f>D328/D327</f>
        <v>0.92268979542717167</v>
      </c>
      <c r="E329" s="31" t="s">
        <v>214</v>
      </c>
    </row>
    <row r="331" spans="2:10" ht="15" customHeight="1" x14ac:dyDescent="0.25">
      <c r="B331" s="48" t="s">
        <v>121</v>
      </c>
      <c r="C331" s="48" t="s">
        <v>209</v>
      </c>
      <c r="D331" s="48" t="s">
        <v>210</v>
      </c>
      <c r="E331" s="48" t="s">
        <v>122</v>
      </c>
      <c r="F331" s="48" t="s">
        <v>123</v>
      </c>
      <c r="G331" s="48" t="s">
        <v>124</v>
      </c>
      <c r="H331" s="12" t="s">
        <v>215</v>
      </c>
      <c r="J331" s="12" t="s">
        <v>215</v>
      </c>
    </row>
    <row r="332" spans="2:10" x14ac:dyDescent="0.25">
      <c r="B332" s="48"/>
      <c r="C332" s="48"/>
      <c r="D332" s="48"/>
      <c r="E332" s="48"/>
      <c r="F332" s="48"/>
      <c r="G332" s="48"/>
      <c r="H332" s="12" t="s">
        <v>149</v>
      </c>
      <c r="J332" s="12" t="s">
        <v>149</v>
      </c>
    </row>
    <row r="333" spans="2:10" x14ac:dyDescent="0.25">
      <c r="B333" s="14" t="s">
        <v>153</v>
      </c>
      <c r="C333" s="14">
        <v>4</v>
      </c>
      <c r="D333" s="14">
        <v>13</v>
      </c>
      <c r="E333" s="14" t="s">
        <v>43</v>
      </c>
      <c r="F333" s="14" t="s">
        <v>212</v>
      </c>
      <c r="G333" s="14" t="s">
        <v>130</v>
      </c>
      <c r="H333" s="14">
        <v>1.2866</v>
      </c>
      <c r="J333" s="14">
        <v>1.4781</v>
      </c>
    </row>
    <row r="334" spans="2:10" x14ac:dyDescent="0.25">
      <c r="B334" s="14" t="s">
        <v>153</v>
      </c>
      <c r="C334" s="14">
        <v>5</v>
      </c>
      <c r="D334" s="14">
        <v>17</v>
      </c>
      <c r="E334" s="14" t="s">
        <v>43</v>
      </c>
      <c r="F334" s="14" t="s">
        <v>212</v>
      </c>
      <c r="G334" s="14" t="s">
        <v>130</v>
      </c>
      <c r="H334" s="14">
        <v>0.90049999999999997</v>
      </c>
      <c r="J334" s="14">
        <v>1.5770999999999999</v>
      </c>
    </row>
    <row r="335" spans="2:10" x14ac:dyDescent="0.25">
      <c r="B335" s="14" t="s">
        <v>153</v>
      </c>
      <c r="C335" s="14">
        <v>6</v>
      </c>
      <c r="D335" s="14">
        <v>21</v>
      </c>
      <c r="E335" s="14" t="s">
        <v>43</v>
      </c>
      <c r="F335" s="14" t="s">
        <v>212</v>
      </c>
      <c r="G335" s="14" t="s">
        <v>130</v>
      </c>
      <c r="H335" s="14">
        <v>0.8538</v>
      </c>
      <c r="J335" s="14">
        <v>1.6552</v>
      </c>
    </row>
    <row r="336" spans="2:10" x14ac:dyDescent="0.25">
      <c r="B336" s="14" t="s">
        <v>153</v>
      </c>
      <c r="C336" s="14">
        <v>7</v>
      </c>
      <c r="D336" s="14">
        <v>25</v>
      </c>
      <c r="E336" s="14" t="s">
        <v>43</v>
      </c>
      <c r="F336" s="14" t="s">
        <v>212</v>
      </c>
      <c r="G336" s="14" t="s">
        <v>130</v>
      </c>
      <c r="H336" s="14">
        <v>1.2199</v>
      </c>
      <c r="J336" s="14">
        <v>1.2866</v>
      </c>
    </row>
    <row r="337" spans="2:10" x14ac:dyDescent="0.25">
      <c r="B337" s="14" t="s">
        <v>153</v>
      </c>
      <c r="C337" s="14">
        <v>8</v>
      </c>
      <c r="D337" s="14">
        <v>29</v>
      </c>
      <c r="E337" s="14" t="s">
        <v>43</v>
      </c>
      <c r="F337" s="14" t="s">
        <v>212</v>
      </c>
      <c r="G337" s="14" t="s">
        <v>130</v>
      </c>
      <c r="H337" s="14">
        <v>1.2683</v>
      </c>
      <c r="J337" s="14">
        <v>0.90049999999999997</v>
      </c>
    </row>
    <row r="338" spans="2:10" x14ac:dyDescent="0.25">
      <c r="B338" s="14" t="s">
        <v>153</v>
      </c>
      <c r="C338" s="14">
        <v>9</v>
      </c>
      <c r="D338" s="14">
        <v>33</v>
      </c>
      <c r="E338" s="14" t="s">
        <v>43</v>
      </c>
      <c r="F338" s="14" t="s">
        <v>212</v>
      </c>
      <c r="G338" s="14" t="s">
        <v>130</v>
      </c>
      <c r="H338" s="14">
        <v>0.91039999999999999</v>
      </c>
      <c r="J338" s="14">
        <v>0.8538</v>
      </c>
    </row>
    <row r="339" spans="2:10" x14ac:dyDescent="0.25">
      <c r="B339" s="14" t="s">
        <v>153</v>
      </c>
      <c r="C339" s="14">
        <v>11</v>
      </c>
      <c r="D339" s="14">
        <v>41</v>
      </c>
      <c r="E339" s="14" t="s">
        <v>43</v>
      </c>
      <c r="F339" s="14" t="s">
        <v>212</v>
      </c>
      <c r="G339" s="14" t="s">
        <v>130</v>
      </c>
      <c r="H339" s="14">
        <v>1.1706000000000001</v>
      </c>
      <c r="J339" s="14">
        <v>1.2199</v>
      </c>
    </row>
    <row r="340" spans="2:10" x14ac:dyDescent="0.25">
      <c r="B340" s="14" t="s">
        <v>153</v>
      </c>
      <c r="C340" s="14">
        <v>12</v>
      </c>
      <c r="D340" s="14">
        <v>49</v>
      </c>
      <c r="E340" s="14" t="s">
        <v>43</v>
      </c>
      <c r="F340" s="14" t="s">
        <v>212</v>
      </c>
      <c r="G340" s="14" t="s">
        <v>130</v>
      </c>
      <c r="H340" s="14">
        <v>17.032699999999998</v>
      </c>
      <c r="J340" s="14">
        <v>1.2683</v>
      </c>
    </row>
    <row r="341" spans="2:10" x14ac:dyDescent="0.25">
      <c r="B341" s="14" t="s">
        <v>153</v>
      </c>
      <c r="C341" s="14">
        <v>13</v>
      </c>
      <c r="D341" s="14">
        <v>53</v>
      </c>
      <c r="E341" s="14" t="s">
        <v>43</v>
      </c>
      <c r="F341" s="14" t="s">
        <v>212</v>
      </c>
      <c r="G341" s="14" t="s">
        <v>130</v>
      </c>
      <c r="H341" s="14">
        <v>17.038699999999999</v>
      </c>
      <c r="J341" s="14">
        <v>0.91039999999999999</v>
      </c>
    </row>
    <row r="342" spans="2:10" x14ac:dyDescent="0.25">
      <c r="B342" s="14" t="s">
        <v>153</v>
      </c>
      <c r="C342" s="14">
        <v>15</v>
      </c>
      <c r="D342" s="14">
        <v>61</v>
      </c>
      <c r="E342" s="14" t="s">
        <v>43</v>
      </c>
      <c r="F342" s="14" t="s">
        <v>212</v>
      </c>
      <c r="G342" s="14" t="s">
        <v>130</v>
      </c>
      <c r="H342" s="14">
        <v>0.86880000000000002</v>
      </c>
      <c r="J342" s="14">
        <v>1.1706000000000001</v>
      </c>
    </row>
    <row r="343" spans="2:10" x14ac:dyDescent="0.25">
      <c r="B343" s="14" t="s">
        <v>153</v>
      </c>
      <c r="C343" s="14">
        <v>49</v>
      </c>
      <c r="D343" s="14">
        <v>144</v>
      </c>
      <c r="E343" s="14" t="s">
        <v>43</v>
      </c>
      <c r="F343" s="14" t="s">
        <v>212</v>
      </c>
      <c r="G343" s="14" t="s">
        <v>130</v>
      </c>
      <c r="H343" s="14">
        <v>20.2834</v>
      </c>
      <c r="J343" s="14">
        <v>17.032699999999998</v>
      </c>
    </row>
    <row r="344" spans="2:10" x14ac:dyDescent="0.25">
      <c r="B344" s="14" t="s">
        <v>153</v>
      </c>
      <c r="C344" s="14">
        <v>77</v>
      </c>
      <c r="D344" s="14">
        <v>85</v>
      </c>
      <c r="E344" s="14" t="s">
        <v>43</v>
      </c>
      <c r="F344" s="14" t="s">
        <v>212</v>
      </c>
      <c r="G344" s="14" t="s">
        <v>130</v>
      </c>
      <c r="H344" s="14">
        <v>19.492899999999999</v>
      </c>
      <c r="J344" s="14">
        <v>17.038699999999999</v>
      </c>
    </row>
    <row r="345" spans="2:10" x14ac:dyDescent="0.25">
      <c r="B345" s="14" t="s">
        <v>153</v>
      </c>
      <c r="C345" s="14">
        <v>89</v>
      </c>
      <c r="D345" s="14">
        <v>134</v>
      </c>
      <c r="E345" s="14" t="s">
        <v>43</v>
      </c>
      <c r="F345" s="14" t="s">
        <v>212</v>
      </c>
      <c r="G345" s="14" t="s">
        <v>130</v>
      </c>
      <c r="H345" s="14">
        <v>20.155100000000001</v>
      </c>
      <c r="J345" s="14">
        <v>6.2781000000000002</v>
      </c>
    </row>
    <row r="346" spans="2:10" x14ac:dyDescent="0.25">
      <c r="B346" s="14" t="s">
        <v>153</v>
      </c>
      <c r="C346" s="14">
        <v>93</v>
      </c>
      <c r="D346" s="14">
        <v>139</v>
      </c>
      <c r="E346" s="14" t="s">
        <v>43</v>
      </c>
      <c r="F346" s="14" t="s">
        <v>212</v>
      </c>
      <c r="G346" s="14" t="s">
        <v>130</v>
      </c>
      <c r="H346" s="14">
        <v>20.194800000000001</v>
      </c>
      <c r="J346" s="14">
        <v>0.86880000000000002</v>
      </c>
    </row>
    <row r="347" spans="2:10" x14ac:dyDescent="0.25">
      <c r="B347" s="14" t="s">
        <v>153</v>
      </c>
      <c r="C347" s="14">
        <v>100</v>
      </c>
      <c r="D347" s="14">
        <v>149</v>
      </c>
      <c r="E347" s="14" t="s">
        <v>43</v>
      </c>
      <c r="F347" s="14" t="s">
        <v>212</v>
      </c>
      <c r="G347" s="14" t="s">
        <v>130</v>
      </c>
      <c r="H347" s="14">
        <v>20.175799999999999</v>
      </c>
      <c r="J347" s="14">
        <v>1.0841000000000001</v>
      </c>
    </row>
    <row r="348" spans="2:10" x14ac:dyDescent="0.25">
      <c r="B348" s="14" t="s">
        <v>153</v>
      </c>
      <c r="C348" s="14">
        <v>104</v>
      </c>
      <c r="D348" s="14">
        <v>154</v>
      </c>
      <c r="E348" s="14" t="s">
        <v>43</v>
      </c>
      <c r="F348" s="14" t="s">
        <v>212</v>
      </c>
      <c r="G348" s="14" t="s">
        <v>130</v>
      </c>
      <c r="H348" s="14">
        <v>20.146799999999999</v>
      </c>
      <c r="J348" s="14">
        <v>1.0581</v>
      </c>
    </row>
    <row r="349" spans="2:10" x14ac:dyDescent="0.25">
      <c r="B349" s="14" t="s">
        <v>153</v>
      </c>
      <c r="C349" s="14">
        <v>108</v>
      </c>
      <c r="D349" s="14">
        <v>159</v>
      </c>
      <c r="E349" s="14" t="s">
        <v>43</v>
      </c>
      <c r="F349" s="14" t="s">
        <v>212</v>
      </c>
      <c r="G349" s="14" t="s">
        <v>130</v>
      </c>
      <c r="H349" s="14">
        <v>19.479600000000001</v>
      </c>
      <c r="J349" s="14">
        <v>1.0684</v>
      </c>
    </row>
    <row r="350" spans="2:10" x14ac:dyDescent="0.25">
      <c r="B350" s="47" t="s">
        <v>213</v>
      </c>
      <c r="C350" s="47"/>
      <c r="D350" s="47"/>
      <c r="E350" s="47"/>
      <c r="F350" s="47"/>
      <c r="G350" s="47"/>
      <c r="H350" s="18">
        <f>SUM(H333:H349)</f>
        <v>182.4787</v>
      </c>
      <c r="J350" s="14">
        <v>1.0904</v>
      </c>
    </row>
    <row r="351" spans="2:10" x14ac:dyDescent="0.25">
      <c r="J351" s="14">
        <v>20.2834</v>
      </c>
    </row>
    <row r="352" spans="2:10" x14ac:dyDescent="0.25">
      <c r="J352" s="14">
        <v>19.492899999999999</v>
      </c>
    </row>
    <row r="353" spans="10:10" x14ac:dyDescent="0.25">
      <c r="J353" s="14">
        <v>20.155100000000001</v>
      </c>
    </row>
    <row r="354" spans="10:10" x14ac:dyDescent="0.25">
      <c r="J354" s="14">
        <v>20.194800000000001</v>
      </c>
    </row>
    <row r="355" spans="10:10" x14ac:dyDescent="0.25">
      <c r="J355" s="14">
        <v>20.175799999999999</v>
      </c>
    </row>
    <row r="356" spans="10:10" x14ac:dyDescent="0.25">
      <c r="J356" s="14">
        <v>20.146799999999999</v>
      </c>
    </row>
    <row r="357" spans="10:10" x14ac:dyDescent="0.25">
      <c r="J357" s="14">
        <v>19.479600000000001</v>
      </c>
    </row>
    <row r="358" spans="10:10" x14ac:dyDescent="0.25">
      <c r="J358" s="18">
        <f>SUM(J333:J357)</f>
        <v>197.76820000000004</v>
      </c>
    </row>
  </sheetData>
  <mergeCells count="84">
    <mergeCell ref="E211:E214"/>
    <mergeCell ref="F211:F214"/>
    <mergeCell ref="G211:G214"/>
    <mergeCell ref="E215:E220"/>
    <mergeCell ref="F215:F220"/>
    <mergeCell ref="G215:G220"/>
    <mergeCell ref="E196:E199"/>
    <mergeCell ref="F196:F199"/>
    <mergeCell ref="G196:G199"/>
    <mergeCell ref="E200:E205"/>
    <mergeCell ref="F200:F205"/>
    <mergeCell ref="G200:G205"/>
    <mergeCell ref="B149:B150"/>
    <mergeCell ref="G149:J149"/>
    <mergeCell ref="G150:J150"/>
    <mergeCell ref="B164:B165"/>
    <mergeCell ref="C164:D164"/>
    <mergeCell ref="E164:L164"/>
    <mergeCell ref="E165:H165"/>
    <mergeCell ref="I165:L165"/>
    <mergeCell ref="H129:I129"/>
    <mergeCell ref="H130:I130"/>
    <mergeCell ref="B137:B138"/>
    <mergeCell ref="C137:C138"/>
    <mergeCell ref="D137:D138"/>
    <mergeCell ref="E137:E138"/>
    <mergeCell ref="H137:I137"/>
    <mergeCell ref="H138:I138"/>
    <mergeCell ref="B115:B116"/>
    <mergeCell ref="D115:E115"/>
    <mergeCell ref="D116:E116"/>
    <mergeCell ref="B129:B130"/>
    <mergeCell ref="C129:C130"/>
    <mergeCell ref="D129:D130"/>
    <mergeCell ref="E129:E130"/>
    <mergeCell ref="B110:B111"/>
    <mergeCell ref="C110:C111"/>
    <mergeCell ref="D110:D111"/>
    <mergeCell ref="E110:E111"/>
    <mergeCell ref="B104:B105"/>
    <mergeCell ref="C104:C105"/>
    <mergeCell ref="D104:D105"/>
    <mergeCell ref="E104:E105"/>
    <mergeCell ref="B91:B92"/>
    <mergeCell ref="C91:C92"/>
    <mergeCell ref="D91:D92"/>
    <mergeCell ref="E91:E92"/>
    <mergeCell ref="B96:B97"/>
    <mergeCell ref="D96:E96"/>
    <mergeCell ref="D97:E97"/>
    <mergeCell ref="K78:K79"/>
    <mergeCell ref="L78:L79"/>
    <mergeCell ref="M78:M79"/>
    <mergeCell ref="N78:N79"/>
    <mergeCell ref="B85:B86"/>
    <mergeCell ref="C85:C86"/>
    <mergeCell ref="D85:D86"/>
    <mergeCell ref="E85:E86"/>
    <mergeCell ref="E78:E79"/>
    <mergeCell ref="F78:F79"/>
    <mergeCell ref="G78:G79"/>
    <mergeCell ref="H78:H79"/>
    <mergeCell ref="I78:I79"/>
    <mergeCell ref="J78:J79"/>
    <mergeCell ref="B9:B10"/>
    <mergeCell ref="C9:C10"/>
    <mergeCell ref="D9:D10"/>
    <mergeCell ref="B78:B79"/>
    <mergeCell ref="C78:C79"/>
    <mergeCell ref="D78:D79"/>
    <mergeCell ref="B350:G350"/>
    <mergeCell ref="G303:G304"/>
    <mergeCell ref="B322:G322"/>
    <mergeCell ref="B331:B332"/>
    <mergeCell ref="C331:C332"/>
    <mergeCell ref="D331:D332"/>
    <mergeCell ref="E331:E332"/>
    <mergeCell ref="F331:F332"/>
    <mergeCell ref="G331:G332"/>
    <mergeCell ref="B303:B304"/>
    <mergeCell ref="C303:C304"/>
    <mergeCell ref="D303:D304"/>
    <mergeCell ref="E303:E304"/>
    <mergeCell ref="F303:F304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A1A6-F6F3-44CA-97BA-B2EC77F6FF28}">
  <dimension ref="B2:I83"/>
  <sheetViews>
    <sheetView workbookViewId="0">
      <selection activeCell="F46" sqref="F46"/>
    </sheetView>
  </sheetViews>
  <sheetFormatPr baseColWidth="10" defaultRowHeight="15" x14ac:dyDescent="0.25"/>
  <cols>
    <col min="3" max="3" width="20.85546875" customWidth="1"/>
  </cols>
  <sheetData>
    <row r="2" spans="2:9" x14ac:dyDescent="0.25">
      <c r="B2" s="4" t="s">
        <v>173</v>
      </c>
      <c r="D2" s="21">
        <f>(H9+H17+H19+H21+H24+H28+H37)+0.5*H41</f>
        <v>265.03350057119997</v>
      </c>
      <c r="E2" s="4" t="s">
        <v>178</v>
      </c>
    </row>
    <row r="4" spans="2:9" x14ac:dyDescent="0.25">
      <c r="B4" s="3" t="s">
        <v>28</v>
      </c>
    </row>
    <row r="5" spans="2:9" x14ac:dyDescent="0.25">
      <c r="C5" t="s">
        <v>174</v>
      </c>
      <c r="D5">
        <v>3</v>
      </c>
      <c r="E5">
        <v>0.2417</v>
      </c>
      <c r="F5">
        <v>4.08</v>
      </c>
      <c r="G5">
        <v>2.4028</v>
      </c>
      <c r="H5" s="1">
        <f>D5*E5*F5*G5</f>
        <v>7.1084627423999995</v>
      </c>
    </row>
    <row r="6" spans="2:9" x14ac:dyDescent="0.25">
      <c r="C6" t="s">
        <v>175</v>
      </c>
      <c r="D6">
        <v>4</v>
      </c>
      <c r="E6">
        <v>0.108</v>
      </c>
      <c r="F6">
        <v>4.08</v>
      </c>
      <c r="G6">
        <v>2.4028</v>
      </c>
      <c r="H6" s="1">
        <f t="shared" ref="H6:H8" si="0">D6*E6*F6*G6</f>
        <v>4.2350791679999995</v>
      </c>
    </row>
    <row r="7" spans="2:9" x14ac:dyDescent="0.25">
      <c r="C7" t="s">
        <v>176</v>
      </c>
      <c r="D7">
        <v>8</v>
      </c>
      <c r="E7">
        <v>0.38150000000000001</v>
      </c>
      <c r="F7">
        <v>4.08</v>
      </c>
      <c r="G7">
        <v>2.4028</v>
      </c>
      <c r="H7" s="1">
        <f t="shared" si="0"/>
        <v>29.920050048000004</v>
      </c>
    </row>
    <row r="8" spans="2:9" x14ac:dyDescent="0.25">
      <c r="C8" t="s">
        <v>177</v>
      </c>
      <c r="D8">
        <v>1</v>
      </c>
      <c r="E8">
        <v>0.37369999999999998</v>
      </c>
      <c r="F8">
        <v>4.08</v>
      </c>
      <c r="G8">
        <v>2.4028</v>
      </c>
      <c r="H8" s="1">
        <f t="shared" si="0"/>
        <v>3.6635395487999998</v>
      </c>
    </row>
    <row r="9" spans="2:9" x14ac:dyDescent="0.25">
      <c r="H9" s="21">
        <f>SUM(H5:H8)</f>
        <v>44.927131507200002</v>
      </c>
      <c r="I9" s="4" t="s">
        <v>178</v>
      </c>
    </row>
    <row r="11" spans="2:9" x14ac:dyDescent="0.25">
      <c r="C11" t="s">
        <v>179</v>
      </c>
      <c r="D11">
        <v>12</v>
      </c>
      <c r="E11">
        <f>0.25*0.5</f>
        <v>0.125</v>
      </c>
      <c r="F11">
        <v>3.9</v>
      </c>
      <c r="G11">
        <v>2.4028</v>
      </c>
      <c r="H11" s="1">
        <f t="shared" ref="H11" si="1">D11*E11*F11*G11</f>
        <v>14.056379999999999</v>
      </c>
    </row>
    <row r="12" spans="2:9" x14ac:dyDescent="0.25">
      <c r="C12" t="s">
        <v>180</v>
      </c>
      <c r="D12">
        <v>6</v>
      </c>
      <c r="E12">
        <f>0.13*0.5</f>
        <v>6.5000000000000002E-2</v>
      </c>
      <c r="F12">
        <v>3.9</v>
      </c>
      <c r="G12">
        <v>2.4028</v>
      </c>
      <c r="H12" s="1">
        <f t="shared" ref="H12" si="2">D12*E12*F12*G12</f>
        <v>3.6546588</v>
      </c>
    </row>
    <row r="13" spans="2:9" x14ac:dyDescent="0.25">
      <c r="C13" t="s">
        <v>181</v>
      </c>
      <c r="D13">
        <v>3</v>
      </c>
      <c r="E13">
        <f>0.24*0.5</f>
        <v>0.12</v>
      </c>
      <c r="F13">
        <v>7.65</v>
      </c>
      <c r="G13">
        <v>2.4028</v>
      </c>
      <c r="H13" s="1">
        <f t="shared" ref="H13" si="3">D13*E13*F13*G13</f>
        <v>6.6173112000000005</v>
      </c>
    </row>
    <row r="14" spans="2:9" x14ac:dyDescent="0.25">
      <c r="D14">
        <v>2</v>
      </c>
      <c r="E14">
        <f>0.24*0.5</f>
        <v>0.12</v>
      </c>
      <c r="F14">
        <v>2.2200000000000002</v>
      </c>
      <c r="G14">
        <v>2.4028</v>
      </c>
      <c r="H14" s="1">
        <f t="shared" ref="H14:H15" si="4">D14*E14*F14*G14</f>
        <v>1.2802118400000002</v>
      </c>
    </row>
    <row r="15" spans="2:9" x14ac:dyDescent="0.25">
      <c r="C15" t="s">
        <v>182</v>
      </c>
      <c r="D15">
        <v>4</v>
      </c>
      <c r="E15">
        <f>0.27*0.65</f>
        <v>0.17550000000000002</v>
      </c>
      <c r="F15">
        <v>7.65</v>
      </c>
      <c r="G15">
        <v>2.4028</v>
      </c>
      <c r="H15" s="1">
        <f t="shared" si="4"/>
        <v>12.903756840000003</v>
      </c>
    </row>
    <row r="16" spans="2:9" x14ac:dyDescent="0.25">
      <c r="C16" t="s">
        <v>183</v>
      </c>
      <c r="D16">
        <v>4</v>
      </c>
      <c r="E16">
        <f>0.27*0.5</f>
        <v>0.13500000000000001</v>
      </c>
      <c r="F16">
        <v>2.2200000000000002</v>
      </c>
      <c r="G16">
        <v>2.4028</v>
      </c>
      <c r="H16" s="1">
        <f t="shared" ref="H16" si="5">D16*E16*F16*G16</f>
        <v>2.8804766400000004</v>
      </c>
    </row>
    <row r="17" spans="2:9" x14ac:dyDescent="0.25">
      <c r="H17" s="21">
        <f>SUM(H11:H16)</f>
        <v>41.392795319999998</v>
      </c>
      <c r="I17" s="4" t="s">
        <v>178</v>
      </c>
    </row>
    <row r="19" spans="2:9" x14ac:dyDescent="0.25">
      <c r="C19" t="s">
        <v>184</v>
      </c>
      <c r="D19">
        <v>1</v>
      </c>
      <c r="E19">
        <f>23.4*(7.65+2.22)</f>
        <v>230.958</v>
      </c>
      <c r="G19">
        <v>0.3</v>
      </c>
      <c r="H19" s="21">
        <f>D19*E19*G19</f>
        <v>69.287399999999991</v>
      </c>
      <c r="I19" s="4" t="s">
        <v>178</v>
      </c>
    </row>
    <row r="21" spans="2:9" x14ac:dyDescent="0.25">
      <c r="C21" t="s">
        <v>185</v>
      </c>
      <c r="D21">
        <v>1</v>
      </c>
      <c r="E21">
        <v>2.431</v>
      </c>
      <c r="F21">
        <v>4.08</v>
      </c>
      <c r="G21">
        <v>2.4028</v>
      </c>
      <c r="H21" s="21">
        <f>D21*E21*F21*G21</f>
        <v>23.832123744</v>
      </c>
      <c r="I21" s="4" t="s">
        <v>178</v>
      </c>
    </row>
    <row r="23" spans="2:9" x14ac:dyDescent="0.25">
      <c r="B23" s="3" t="s">
        <v>30</v>
      </c>
    </row>
    <row r="24" spans="2:9" x14ac:dyDescent="0.25">
      <c r="C24" t="s">
        <v>186</v>
      </c>
      <c r="D24">
        <v>1</v>
      </c>
      <c r="E24">
        <f>23.4*(7.65+2.22)</f>
        <v>230.958</v>
      </c>
      <c r="G24">
        <v>0.1</v>
      </c>
      <c r="H24" s="21">
        <f>D24*E24*G24</f>
        <v>23.095800000000001</v>
      </c>
      <c r="I24" s="4" t="s">
        <v>178</v>
      </c>
    </row>
    <row r="26" spans="2:9" x14ac:dyDescent="0.25">
      <c r="C26" t="s">
        <v>187</v>
      </c>
      <c r="D26">
        <v>2</v>
      </c>
      <c r="E26">
        <v>2.2200000000000002</v>
      </c>
      <c r="G26">
        <v>0.05</v>
      </c>
      <c r="H26" s="1">
        <f>D26*E26*G26</f>
        <v>0.22200000000000003</v>
      </c>
    </row>
    <row r="27" spans="2:9" x14ac:dyDescent="0.25">
      <c r="D27">
        <v>6</v>
      </c>
      <c r="E27">
        <v>3.9</v>
      </c>
      <c r="G27">
        <v>0.05</v>
      </c>
      <c r="H27" s="1">
        <f>D27*E27*G27</f>
        <v>1.17</v>
      </c>
    </row>
    <row r="28" spans="2:9" x14ac:dyDescent="0.25">
      <c r="H28" s="21">
        <f>SUM(H26:H27)</f>
        <v>1.3919999999999999</v>
      </c>
      <c r="I28" s="4" t="s">
        <v>178</v>
      </c>
    </row>
    <row r="30" spans="2:9" x14ac:dyDescent="0.25">
      <c r="C30" t="s">
        <v>188</v>
      </c>
      <c r="D30">
        <v>2</v>
      </c>
      <c r="E30">
        <f>2.76-0.23</f>
        <v>2.5299999999999998</v>
      </c>
      <c r="G30">
        <v>1.155</v>
      </c>
      <c r="H30" s="1">
        <f t="shared" ref="H30:H36" si="6">D30*E30*G30</f>
        <v>5.8442999999999996</v>
      </c>
    </row>
    <row r="31" spans="2:9" x14ac:dyDescent="0.25">
      <c r="D31">
        <v>2</v>
      </c>
      <c r="E31">
        <f>1.25-0.23</f>
        <v>1.02</v>
      </c>
      <c r="G31">
        <v>1.155</v>
      </c>
      <c r="H31" s="1">
        <f t="shared" si="6"/>
        <v>2.3562000000000003</v>
      </c>
    </row>
    <row r="32" spans="2:9" x14ac:dyDescent="0.25">
      <c r="D32">
        <v>1</v>
      </c>
      <c r="E32">
        <f>2.86-0.33</f>
        <v>2.5299999999999998</v>
      </c>
      <c r="G32">
        <v>1.155</v>
      </c>
      <c r="H32" s="1">
        <f t="shared" si="6"/>
        <v>2.9221499999999998</v>
      </c>
    </row>
    <row r="33" spans="2:9" x14ac:dyDescent="0.25">
      <c r="D33">
        <v>1</v>
      </c>
      <c r="E33">
        <f>2.86-0.73</f>
        <v>2.13</v>
      </c>
      <c r="G33">
        <v>1.155</v>
      </c>
      <c r="H33" s="1">
        <f t="shared" si="6"/>
        <v>2.4601500000000001</v>
      </c>
    </row>
    <row r="34" spans="2:9" x14ac:dyDescent="0.25">
      <c r="D34">
        <v>6</v>
      </c>
      <c r="E34">
        <f>3.24-0.66</f>
        <v>2.58</v>
      </c>
      <c r="G34">
        <v>0.52</v>
      </c>
      <c r="H34" s="1">
        <f t="shared" si="6"/>
        <v>8.0495999999999999</v>
      </c>
    </row>
    <row r="35" spans="2:9" x14ac:dyDescent="0.25">
      <c r="D35">
        <v>3</v>
      </c>
      <c r="E35">
        <f>2.24-0.66</f>
        <v>1.58</v>
      </c>
      <c r="G35">
        <v>0.52</v>
      </c>
      <c r="H35" s="1">
        <f t="shared" si="6"/>
        <v>2.4648000000000003</v>
      </c>
    </row>
    <row r="36" spans="2:9" x14ac:dyDescent="0.25">
      <c r="D36">
        <v>3</v>
      </c>
      <c r="E36">
        <f>3.24-0.52</f>
        <v>2.72</v>
      </c>
      <c r="G36">
        <v>0.52</v>
      </c>
      <c r="H36" s="1">
        <f t="shared" si="6"/>
        <v>4.2431999999999999</v>
      </c>
    </row>
    <row r="37" spans="2:9" x14ac:dyDescent="0.25">
      <c r="H37" s="21">
        <f>SUM(H30:H36)</f>
        <v>28.340400000000002</v>
      </c>
      <c r="I37" s="4" t="s">
        <v>178</v>
      </c>
    </row>
    <row r="39" spans="2:9" x14ac:dyDescent="0.25">
      <c r="B39" s="3" t="s">
        <v>31</v>
      </c>
      <c r="D39">
        <v>6</v>
      </c>
      <c r="E39">
        <f>3.9*7.65</f>
        <v>29.835000000000001</v>
      </c>
      <c r="G39">
        <v>0.25</v>
      </c>
      <c r="H39" s="1">
        <f>D39*E39*G39</f>
        <v>44.752499999999998</v>
      </c>
    </row>
    <row r="40" spans="2:9" x14ac:dyDescent="0.25">
      <c r="D40">
        <v>6</v>
      </c>
      <c r="E40">
        <f>3.9*2.22</f>
        <v>8.6580000000000013</v>
      </c>
      <c r="G40">
        <v>0.4</v>
      </c>
      <c r="H40" s="1">
        <f>D40*E40*G40</f>
        <v>20.779200000000003</v>
      </c>
    </row>
    <row r="41" spans="2:9" x14ac:dyDescent="0.25">
      <c r="H41" s="21">
        <f>SUM(H39:H40)</f>
        <v>65.531700000000001</v>
      </c>
      <c r="I41" s="4" t="s">
        <v>178</v>
      </c>
    </row>
    <row r="43" spans="2:9" x14ac:dyDescent="0.25">
      <c r="B43" s="4" t="s">
        <v>189</v>
      </c>
      <c r="D43" s="21">
        <f>(H50+H58+H60+H62+H65+H69+H78)+0.5*H83</f>
        <v>255.9547790048</v>
      </c>
      <c r="E43" s="4" t="s">
        <v>178</v>
      </c>
    </row>
    <row r="45" spans="2:9" x14ac:dyDescent="0.25">
      <c r="B45" s="3" t="s">
        <v>28</v>
      </c>
    </row>
    <row r="46" spans="2:9" x14ac:dyDescent="0.25">
      <c r="C46" t="s">
        <v>174</v>
      </c>
      <c r="D46">
        <v>3</v>
      </c>
      <c r="E46">
        <v>0.2417</v>
      </c>
      <c r="F46">
        <v>3.32</v>
      </c>
      <c r="G46">
        <v>2.4028</v>
      </c>
      <c r="H46" s="1">
        <f>D46*E46*F46*G46</f>
        <v>5.7843373295999996</v>
      </c>
    </row>
    <row r="47" spans="2:9" x14ac:dyDescent="0.25">
      <c r="C47" t="s">
        <v>175</v>
      </c>
      <c r="D47">
        <v>4</v>
      </c>
      <c r="E47">
        <v>0.108</v>
      </c>
      <c r="F47">
        <v>3.32</v>
      </c>
      <c r="G47">
        <v>2.4028</v>
      </c>
      <c r="H47" s="1">
        <f t="shared" ref="H47:H49" si="7">D47*E47*F47*G47</f>
        <v>3.446191872</v>
      </c>
    </row>
    <row r="48" spans="2:9" x14ac:dyDescent="0.25">
      <c r="C48" t="s">
        <v>176</v>
      </c>
      <c r="D48">
        <v>8</v>
      </c>
      <c r="E48">
        <v>0.38150000000000001</v>
      </c>
      <c r="F48">
        <v>3.32</v>
      </c>
      <c r="G48">
        <v>2.4028</v>
      </c>
      <c r="H48" s="1">
        <f t="shared" si="7"/>
        <v>24.346707392000003</v>
      </c>
    </row>
    <row r="49" spans="2:9" x14ac:dyDescent="0.25">
      <c r="C49" t="s">
        <v>177</v>
      </c>
      <c r="D49">
        <v>1</v>
      </c>
      <c r="E49">
        <v>0.37369999999999998</v>
      </c>
      <c r="F49">
        <v>3.32</v>
      </c>
      <c r="G49">
        <v>2.4028</v>
      </c>
      <c r="H49" s="1">
        <f t="shared" si="7"/>
        <v>2.9811155152</v>
      </c>
    </row>
    <row r="50" spans="2:9" x14ac:dyDescent="0.25">
      <c r="H50" s="21">
        <f>SUM(H46:H49)</f>
        <v>36.558352108800008</v>
      </c>
      <c r="I50" s="4" t="s">
        <v>178</v>
      </c>
    </row>
    <row r="52" spans="2:9" x14ac:dyDescent="0.25">
      <c r="C52" t="s">
        <v>179</v>
      </c>
      <c r="D52">
        <v>12</v>
      </c>
      <c r="E52">
        <f>0.25*0.5</f>
        <v>0.125</v>
      </c>
      <c r="F52">
        <v>3.9</v>
      </c>
      <c r="G52">
        <v>2.4028</v>
      </c>
      <c r="H52" s="1">
        <f t="shared" ref="H52:H57" si="8">D52*E52*F52*G52</f>
        <v>14.056379999999999</v>
      </c>
    </row>
    <row r="53" spans="2:9" x14ac:dyDescent="0.25">
      <c r="C53" t="s">
        <v>180</v>
      </c>
      <c r="D53">
        <v>6</v>
      </c>
      <c r="E53">
        <f>0.13*0.5</f>
        <v>6.5000000000000002E-2</v>
      </c>
      <c r="F53">
        <v>3.9</v>
      </c>
      <c r="G53">
        <v>2.4028</v>
      </c>
      <c r="H53" s="1">
        <f t="shared" si="8"/>
        <v>3.6546588</v>
      </c>
    </row>
    <row r="54" spans="2:9" x14ac:dyDescent="0.25">
      <c r="C54" t="s">
        <v>181</v>
      </c>
      <c r="D54">
        <v>3</v>
      </c>
      <c r="E54">
        <f>0.24*0.5</f>
        <v>0.12</v>
      </c>
      <c r="F54">
        <v>7.65</v>
      </c>
      <c r="G54">
        <v>2.4028</v>
      </c>
      <c r="H54" s="1">
        <f t="shared" si="8"/>
        <v>6.6173112000000005</v>
      </c>
    </row>
    <row r="55" spans="2:9" x14ac:dyDescent="0.25">
      <c r="D55">
        <v>2</v>
      </c>
      <c r="E55">
        <f>0.24*0.5</f>
        <v>0.12</v>
      </c>
      <c r="F55">
        <v>2.2200000000000002</v>
      </c>
      <c r="G55">
        <v>2.4028</v>
      </c>
      <c r="H55" s="1">
        <f t="shared" si="8"/>
        <v>1.2802118400000002</v>
      </c>
    </row>
    <row r="56" spans="2:9" x14ac:dyDescent="0.25">
      <c r="C56" t="s">
        <v>182</v>
      </c>
      <c r="D56">
        <v>4</v>
      </c>
      <c r="E56">
        <f>0.27*0.65</f>
        <v>0.17550000000000002</v>
      </c>
      <c r="F56">
        <v>7.65</v>
      </c>
      <c r="G56">
        <v>2.4028</v>
      </c>
      <c r="H56" s="1">
        <f t="shared" si="8"/>
        <v>12.903756840000003</v>
      </c>
    </row>
    <row r="57" spans="2:9" x14ac:dyDescent="0.25">
      <c r="C57" t="s">
        <v>183</v>
      </c>
      <c r="D57">
        <v>4</v>
      </c>
      <c r="E57">
        <f>0.27*0.5</f>
        <v>0.13500000000000001</v>
      </c>
      <c r="F57">
        <v>2.2200000000000002</v>
      </c>
      <c r="G57">
        <v>2.4028</v>
      </c>
      <c r="H57" s="1">
        <f t="shared" si="8"/>
        <v>2.8804766400000004</v>
      </c>
    </row>
    <row r="58" spans="2:9" x14ac:dyDescent="0.25">
      <c r="H58" s="21">
        <f>SUM(H52:H57)</f>
        <v>41.392795319999998</v>
      </c>
      <c r="I58" s="4" t="s">
        <v>178</v>
      </c>
    </row>
    <row r="60" spans="2:9" x14ac:dyDescent="0.25">
      <c r="C60" t="s">
        <v>184</v>
      </c>
      <c r="D60">
        <v>1</v>
      </c>
      <c r="E60">
        <f>23.4*(7.65+2.22)</f>
        <v>230.958</v>
      </c>
      <c r="G60">
        <v>0.3</v>
      </c>
      <c r="H60" s="21">
        <f>D60*E60*G60</f>
        <v>69.287399999999991</v>
      </c>
      <c r="I60" s="4" t="s">
        <v>178</v>
      </c>
    </row>
    <row r="62" spans="2:9" x14ac:dyDescent="0.25">
      <c r="C62" t="s">
        <v>185</v>
      </c>
      <c r="D62">
        <v>1</v>
      </c>
      <c r="E62">
        <v>2.431</v>
      </c>
      <c r="F62">
        <v>3.32</v>
      </c>
      <c r="G62">
        <v>2.4028</v>
      </c>
      <c r="H62" s="21">
        <f>D62*E62*F62*G62</f>
        <v>19.392806575999998</v>
      </c>
      <c r="I62" s="4" t="s">
        <v>178</v>
      </c>
    </row>
    <row r="64" spans="2:9" x14ac:dyDescent="0.25">
      <c r="B64" s="3" t="s">
        <v>30</v>
      </c>
    </row>
    <row r="65" spans="2:9" x14ac:dyDescent="0.25">
      <c r="C65" t="s">
        <v>186</v>
      </c>
      <c r="D65">
        <v>1</v>
      </c>
      <c r="E65">
        <f>23.4*(7.65+2.22)</f>
        <v>230.958</v>
      </c>
      <c r="G65">
        <v>0.1</v>
      </c>
      <c r="H65" s="21">
        <f>D65*E65*G65</f>
        <v>23.095800000000001</v>
      </c>
      <c r="I65" s="4" t="s">
        <v>178</v>
      </c>
    </row>
    <row r="67" spans="2:9" x14ac:dyDescent="0.25">
      <c r="C67" t="s">
        <v>187</v>
      </c>
      <c r="D67">
        <v>2</v>
      </c>
      <c r="E67">
        <v>2.2200000000000002</v>
      </c>
      <c r="G67">
        <v>0.05</v>
      </c>
      <c r="H67" s="1">
        <f>D67*E67*G67</f>
        <v>0.22200000000000003</v>
      </c>
    </row>
    <row r="68" spans="2:9" x14ac:dyDescent="0.25">
      <c r="D68">
        <v>6</v>
      </c>
      <c r="E68">
        <v>3.9</v>
      </c>
      <c r="G68">
        <v>0.05</v>
      </c>
      <c r="H68" s="1">
        <f>D68*E68*G68</f>
        <v>1.17</v>
      </c>
    </row>
    <row r="69" spans="2:9" x14ac:dyDescent="0.25">
      <c r="H69" s="21">
        <f>SUM(H67:H68)</f>
        <v>1.3919999999999999</v>
      </c>
      <c r="I69" s="4" t="s">
        <v>178</v>
      </c>
    </row>
    <row r="71" spans="2:9" x14ac:dyDescent="0.25">
      <c r="C71" t="s">
        <v>188</v>
      </c>
      <c r="D71">
        <v>2</v>
      </c>
      <c r="E71">
        <f>2.76-0.23</f>
        <v>2.5299999999999998</v>
      </c>
      <c r="G71">
        <v>1.155</v>
      </c>
      <c r="H71" s="1">
        <f t="shared" ref="H71:H77" si="9">D71*E71*G71</f>
        <v>5.8442999999999996</v>
      </c>
    </row>
    <row r="72" spans="2:9" x14ac:dyDescent="0.25">
      <c r="D72">
        <v>2</v>
      </c>
      <c r="E72">
        <f>1.25-0.23</f>
        <v>1.02</v>
      </c>
      <c r="G72">
        <v>1.155</v>
      </c>
      <c r="H72" s="1">
        <f t="shared" si="9"/>
        <v>2.3562000000000003</v>
      </c>
    </row>
    <row r="73" spans="2:9" x14ac:dyDescent="0.25">
      <c r="D73">
        <v>1</v>
      </c>
      <c r="E73">
        <f>2.86-0.33</f>
        <v>2.5299999999999998</v>
      </c>
      <c r="G73">
        <v>1.155</v>
      </c>
      <c r="H73" s="1">
        <f t="shared" si="9"/>
        <v>2.9221499999999998</v>
      </c>
    </row>
    <row r="74" spans="2:9" x14ac:dyDescent="0.25">
      <c r="D74">
        <v>1</v>
      </c>
      <c r="E74">
        <f>2.86-0.73</f>
        <v>2.13</v>
      </c>
      <c r="G74">
        <v>1.155</v>
      </c>
      <c r="H74" s="1">
        <f t="shared" si="9"/>
        <v>2.4601500000000001</v>
      </c>
    </row>
    <row r="75" spans="2:9" x14ac:dyDescent="0.25">
      <c r="D75">
        <v>6</v>
      </c>
      <c r="E75">
        <f>3.24-0.66</f>
        <v>2.58</v>
      </c>
      <c r="G75">
        <v>0.52</v>
      </c>
      <c r="H75" s="1">
        <f t="shared" si="9"/>
        <v>8.0495999999999999</v>
      </c>
    </row>
    <row r="76" spans="2:9" x14ac:dyDescent="0.25">
      <c r="D76">
        <v>3</v>
      </c>
      <c r="E76">
        <f>2.24-0.66</f>
        <v>1.58</v>
      </c>
      <c r="G76">
        <v>0.52</v>
      </c>
      <c r="H76" s="1">
        <f t="shared" si="9"/>
        <v>2.4648000000000003</v>
      </c>
    </row>
    <row r="77" spans="2:9" x14ac:dyDescent="0.25">
      <c r="D77">
        <v>3</v>
      </c>
      <c r="E77">
        <f>3.24-0.52</f>
        <v>2.72</v>
      </c>
      <c r="G77">
        <v>0.52</v>
      </c>
      <c r="H77" s="1">
        <f t="shared" si="9"/>
        <v>4.2431999999999999</v>
      </c>
    </row>
    <row r="78" spans="2:9" x14ac:dyDescent="0.25">
      <c r="H78" s="21">
        <f>SUM(H71:H77)</f>
        <v>28.340400000000002</v>
      </c>
      <c r="I78" s="4" t="s">
        <v>178</v>
      </c>
    </row>
    <row r="80" spans="2:9" x14ac:dyDescent="0.25">
      <c r="B80" s="3" t="s">
        <v>31</v>
      </c>
      <c r="D80">
        <v>5</v>
      </c>
      <c r="E80">
        <f>3.9*7.65</f>
        <v>29.835000000000001</v>
      </c>
      <c r="G80">
        <v>0.25</v>
      </c>
      <c r="H80" s="1">
        <f>D80*E80*G80</f>
        <v>37.293750000000003</v>
      </c>
    </row>
    <row r="81" spans="4:9" x14ac:dyDescent="0.25">
      <c r="D81">
        <v>6</v>
      </c>
      <c r="E81">
        <f>3.9*2.22</f>
        <v>8.6580000000000013</v>
      </c>
      <c r="G81">
        <v>0.4</v>
      </c>
      <c r="H81" s="1">
        <f>D81*E81*G81</f>
        <v>20.779200000000003</v>
      </c>
    </row>
    <row r="82" spans="4:9" x14ac:dyDescent="0.25">
      <c r="D82">
        <v>1</v>
      </c>
      <c r="E82">
        <f>3.9*7.65</f>
        <v>29.835000000000001</v>
      </c>
      <c r="G82">
        <v>0.5</v>
      </c>
      <c r="H82" s="1">
        <f>D82*E82*G82</f>
        <v>14.9175</v>
      </c>
    </row>
    <row r="83" spans="4:9" x14ac:dyDescent="0.25">
      <c r="H83" s="21">
        <f>SUM(H80:H82)</f>
        <v>72.99045000000001</v>
      </c>
      <c r="I83" s="4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0B0A-1095-41EC-B298-C34B160EA161}">
  <dimension ref="B2:W104"/>
  <sheetViews>
    <sheetView workbookViewId="0">
      <selection activeCell="B13" sqref="B13"/>
    </sheetView>
  </sheetViews>
  <sheetFormatPr baseColWidth="10" defaultRowHeight="15" x14ac:dyDescent="0.25"/>
  <cols>
    <col min="3" max="3" width="12" bestFit="1" customWidth="1"/>
    <col min="9" max="9" width="15.140625" customWidth="1"/>
  </cols>
  <sheetData>
    <row r="2" spans="2:11" x14ac:dyDescent="0.25">
      <c r="B2" s="41" t="s">
        <v>216</v>
      </c>
      <c r="C2" s="42"/>
      <c r="D2" s="42"/>
    </row>
    <row r="4" spans="2:11" x14ac:dyDescent="0.25">
      <c r="B4" s="11" t="s">
        <v>217</v>
      </c>
      <c r="C4" s="3"/>
      <c r="D4" s="3"/>
      <c r="E4" s="3"/>
    </row>
    <row r="6" spans="2:11" x14ac:dyDescent="0.25">
      <c r="B6" t="s">
        <v>218</v>
      </c>
      <c r="C6">
        <v>17.32</v>
      </c>
      <c r="D6" t="s">
        <v>219</v>
      </c>
    </row>
    <row r="7" spans="2:11" x14ac:dyDescent="0.25">
      <c r="B7" t="s">
        <v>220</v>
      </c>
      <c r="C7">
        <v>210</v>
      </c>
      <c r="D7" t="s">
        <v>237</v>
      </c>
    </row>
    <row r="8" spans="2:11" x14ac:dyDescent="0.25">
      <c r="B8" t="s">
        <v>225</v>
      </c>
      <c r="C8">
        <v>4200</v>
      </c>
      <c r="D8" t="s">
        <v>237</v>
      </c>
      <c r="F8" s="19" t="s">
        <v>227</v>
      </c>
      <c r="G8" s="19" t="s">
        <v>228</v>
      </c>
      <c r="H8" s="36" t="s">
        <v>229</v>
      </c>
    </row>
    <row r="9" spans="2:11" x14ac:dyDescent="0.25">
      <c r="B9" t="s">
        <v>221</v>
      </c>
      <c r="C9">
        <v>65</v>
      </c>
      <c r="D9" t="s">
        <v>223</v>
      </c>
      <c r="F9" s="19" t="s">
        <v>230</v>
      </c>
      <c r="G9" s="37">
        <v>0.71</v>
      </c>
      <c r="H9" s="38">
        <v>0.95</v>
      </c>
    </row>
    <row r="10" spans="2:11" x14ac:dyDescent="0.25">
      <c r="B10" t="s">
        <v>222</v>
      </c>
      <c r="C10">
        <v>27</v>
      </c>
      <c r="D10" t="s">
        <v>223</v>
      </c>
      <c r="F10" s="19" t="s">
        <v>231</v>
      </c>
      <c r="G10" s="37">
        <v>1.29</v>
      </c>
      <c r="H10" s="38">
        <v>1.27</v>
      </c>
    </row>
    <row r="11" spans="2:11" x14ac:dyDescent="0.25">
      <c r="B11" t="s">
        <v>224</v>
      </c>
      <c r="C11">
        <v>4</v>
      </c>
      <c r="D11" t="s">
        <v>223</v>
      </c>
      <c r="F11" s="19" t="s">
        <v>232</v>
      </c>
      <c r="G11" s="37">
        <v>1.98</v>
      </c>
      <c r="H11" s="38">
        <v>1.59</v>
      </c>
    </row>
    <row r="12" spans="2:11" x14ac:dyDescent="0.25">
      <c r="B12" t="s">
        <v>226</v>
      </c>
      <c r="C12" s="1">
        <f>C9-C11-H9-(H12/2)</f>
        <v>59.094999999999999</v>
      </c>
      <c r="D12" t="s">
        <v>223</v>
      </c>
      <c r="F12" s="19" t="s">
        <v>233</v>
      </c>
      <c r="G12" s="37">
        <v>2.85</v>
      </c>
      <c r="H12" s="38">
        <v>1.91</v>
      </c>
    </row>
    <row r="13" spans="2:11" x14ac:dyDescent="0.25">
      <c r="B13" s="35" t="s">
        <v>229</v>
      </c>
      <c r="C13" s="1">
        <v>0.9</v>
      </c>
      <c r="F13" s="19" t="s">
        <v>234</v>
      </c>
      <c r="G13" s="37">
        <v>5.07</v>
      </c>
      <c r="H13" s="38">
        <v>2.54</v>
      </c>
    </row>
    <row r="14" spans="2:11" x14ac:dyDescent="0.25">
      <c r="B14" s="35" t="s">
        <v>235</v>
      </c>
      <c r="C14" s="1">
        <f>C12/5</f>
        <v>11.818999999999999</v>
      </c>
      <c r="D14" t="s">
        <v>223</v>
      </c>
    </row>
    <row r="15" spans="2:11" x14ac:dyDescent="0.25">
      <c r="B15" s="35" t="s">
        <v>236</v>
      </c>
      <c r="C15" s="1">
        <f>(C6*10^5)/(C13*C8*(C12-(C14/2)))</f>
        <v>8.6151499600653967</v>
      </c>
      <c r="D15" t="s">
        <v>238</v>
      </c>
      <c r="E15" s="1">
        <f>(C6*10^5)/(C13*C8*(C12-(C16/2)))</f>
        <v>8.2795765872060052</v>
      </c>
      <c r="F15" s="1">
        <f>(C6*10^5)/(C13*C8*(C12-(E16/2)))</f>
        <v>8.2577583823761032</v>
      </c>
      <c r="G15" s="39">
        <f>(C6*10^5)/(C13*C8*(C12-(F16/2)))</f>
        <v>8.2563437937005002</v>
      </c>
      <c r="H15" s="11" t="s">
        <v>238</v>
      </c>
      <c r="I15" s="40" t="s">
        <v>239</v>
      </c>
      <c r="J15" t="s">
        <v>244</v>
      </c>
    </row>
    <row r="16" spans="2:11" x14ac:dyDescent="0.25">
      <c r="B16" s="35" t="s">
        <v>235</v>
      </c>
      <c r="C16" s="1">
        <f>(C15*C8)/(0.85*C7*C10)</f>
        <v>7.5077559564840062</v>
      </c>
      <c r="D16" t="s">
        <v>223</v>
      </c>
      <c r="E16" s="1">
        <f>(E15*C8)/(0.85*C7*C10)</f>
        <v>7.2153172873254947</v>
      </c>
      <c r="F16" s="1">
        <f>(F15*C8)/(0.85*C7*C10)</f>
        <v>7.1963036011992179</v>
      </c>
      <c r="G16" s="21">
        <f>(F15*C8)/(0.85*C7*C10)</f>
        <v>7.1963036011992179</v>
      </c>
      <c r="I16" s="33">
        <f>3*G12+0*G11</f>
        <v>8.5500000000000007</v>
      </c>
      <c r="J16" s="1">
        <f>(C10-2*C11-2*H9-3*H12)/2</f>
        <v>5.6850000000000005</v>
      </c>
      <c r="K16" t="s">
        <v>223</v>
      </c>
    </row>
    <row r="17" spans="2:20" x14ac:dyDescent="0.25">
      <c r="J17" s="43" t="str">
        <f>IF(J16&gt;2.54,"OK","ERROR")</f>
        <v>OK</v>
      </c>
    </row>
    <row r="18" spans="2:20" x14ac:dyDescent="0.25">
      <c r="B18" t="s">
        <v>240</v>
      </c>
      <c r="C18" s="2">
        <f>0.7*SQRT(C7)/C8</f>
        <v>2.4152294576982396E-3</v>
      </c>
      <c r="E18" t="s">
        <v>242</v>
      </c>
      <c r="F18" s="1">
        <f>C18*C10*C12</f>
        <v>3.8536555896722917</v>
      </c>
      <c r="G18" t="s">
        <v>238</v>
      </c>
      <c r="L18" t="s">
        <v>247</v>
      </c>
      <c r="M18" t="s">
        <v>245</v>
      </c>
      <c r="S18" t="s">
        <v>248</v>
      </c>
    </row>
    <row r="19" spans="2:20" x14ac:dyDescent="0.25">
      <c r="B19" t="s">
        <v>241</v>
      </c>
      <c r="C19">
        <v>1.6299999999999999E-2</v>
      </c>
      <c r="E19" t="s">
        <v>243</v>
      </c>
      <c r="F19" s="1">
        <f>C19*C10*C12</f>
        <v>26.007709499999997</v>
      </c>
      <c r="G19" t="s">
        <v>238</v>
      </c>
      <c r="N19" t="s">
        <v>249</v>
      </c>
      <c r="T19" s="33" t="s">
        <v>261</v>
      </c>
    </row>
    <row r="21" spans="2:20" x14ac:dyDescent="0.25">
      <c r="B21" t="s">
        <v>236</v>
      </c>
      <c r="C21" s="1">
        <f>2*G12+0*G11</f>
        <v>5.7</v>
      </c>
      <c r="D21" t="s">
        <v>238</v>
      </c>
      <c r="E21" s="44" t="s">
        <v>245</v>
      </c>
    </row>
    <row r="22" spans="2:20" x14ac:dyDescent="0.25">
      <c r="B22" t="s">
        <v>226</v>
      </c>
      <c r="C22" s="1">
        <f>C9-C11-H9-(H12/2)</f>
        <v>59.094999999999999</v>
      </c>
    </row>
    <row r="23" spans="2:20" x14ac:dyDescent="0.25">
      <c r="B23" t="s">
        <v>218</v>
      </c>
      <c r="C23" s="1">
        <f>(C21*C13*C8*(C22-(G16/2)))/(10^5)</f>
        <v>11.957350913042808</v>
      </c>
      <c r="D23" t="s">
        <v>219</v>
      </c>
      <c r="J23" t="s">
        <v>257</v>
      </c>
      <c r="M23" t="s">
        <v>254</v>
      </c>
      <c r="R23" s="33" t="s">
        <v>254</v>
      </c>
    </row>
    <row r="25" spans="2:20" x14ac:dyDescent="0.25">
      <c r="B25" t="s">
        <v>236</v>
      </c>
      <c r="C25" s="1">
        <f>2*G12+1*G11</f>
        <v>7.68</v>
      </c>
      <c r="D25" t="s">
        <v>238</v>
      </c>
      <c r="E25" s="44" t="s">
        <v>246</v>
      </c>
    </row>
    <row r="26" spans="2:20" x14ac:dyDescent="0.25">
      <c r="B26" t="s">
        <v>226</v>
      </c>
      <c r="C26" s="1">
        <f>C9-C11-H9-(H12/2)</f>
        <v>59.094999999999999</v>
      </c>
    </row>
    <row r="27" spans="2:20" x14ac:dyDescent="0.25">
      <c r="B27" t="s">
        <v>218</v>
      </c>
      <c r="C27" s="1">
        <f>(C25*C13*C8*(C26-(G16/2)))/(10^5)</f>
        <v>16.110957019678732</v>
      </c>
      <c r="D27" t="s">
        <v>219</v>
      </c>
      <c r="L27" s="59" t="s">
        <v>256</v>
      </c>
      <c r="M27" s="59"/>
      <c r="O27" s="33" t="s">
        <v>255</v>
      </c>
      <c r="Q27" t="s">
        <v>245</v>
      </c>
      <c r="R27" s="59" t="s">
        <v>256</v>
      </c>
      <c r="S27" s="59"/>
    </row>
    <row r="29" spans="2:20" x14ac:dyDescent="0.25">
      <c r="B29" s="4" t="s">
        <v>250</v>
      </c>
    </row>
    <row r="31" spans="2:20" x14ac:dyDescent="0.25">
      <c r="B31" t="s">
        <v>6</v>
      </c>
      <c r="C31">
        <f>2-0.33</f>
        <v>1.67</v>
      </c>
      <c r="D31" t="s">
        <v>25</v>
      </c>
      <c r="F31" t="s">
        <v>6</v>
      </c>
      <c r="G31">
        <f>7.65-0.33-5.8</f>
        <v>1.5200000000000005</v>
      </c>
      <c r="H31" t="s">
        <v>25</v>
      </c>
      <c r="J31" t="s">
        <v>6</v>
      </c>
      <c r="K31">
        <f>3.87-3.8</f>
        <v>7.0000000000000284E-2</v>
      </c>
      <c r="L31" t="s">
        <v>25</v>
      </c>
    </row>
    <row r="32" spans="2:20" x14ac:dyDescent="0.25">
      <c r="B32" t="s">
        <v>226</v>
      </c>
      <c r="C32" s="1">
        <f>(C9-C11-H9-(H12/2))/100</f>
        <v>0.59094999999999998</v>
      </c>
      <c r="D32" t="s">
        <v>25</v>
      </c>
      <c r="F32" t="s">
        <v>226</v>
      </c>
      <c r="G32" s="1">
        <f>(C9-C11-H9-(H12/2))/100</f>
        <v>0.59094999999999998</v>
      </c>
      <c r="H32" t="s">
        <v>25</v>
      </c>
      <c r="J32" t="s">
        <v>226</v>
      </c>
      <c r="K32" s="1">
        <f>(C9-C11-H9-(H11/2))/100</f>
        <v>0.59254999999999991</v>
      </c>
      <c r="L32" t="s">
        <v>25</v>
      </c>
    </row>
    <row r="33" spans="2:14" x14ac:dyDescent="0.25">
      <c r="B33" t="s">
        <v>251</v>
      </c>
      <c r="C33" s="1">
        <f>12*H12/100</f>
        <v>0.22919999999999999</v>
      </c>
      <c r="D33" t="s">
        <v>25</v>
      </c>
      <c r="F33" t="s">
        <v>251</v>
      </c>
      <c r="G33" s="1">
        <f>12*H12/100</f>
        <v>0.22919999999999999</v>
      </c>
      <c r="H33" t="s">
        <v>25</v>
      </c>
      <c r="J33" t="s">
        <v>251</v>
      </c>
      <c r="K33" s="1">
        <f>12*H11/100</f>
        <v>0.19080000000000003</v>
      </c>
      <c r="L33" t="s">
        <v>25</v>
      </c>
    </row>
    <row r="34" spans="2:14" x14ac:dyDescent="0.25">
      <c r="B34" t="s">
        <v>252</v>
      </c>
      <c r="C34" s="45">
        <f>C31+MAX(C32:C33)</f>
        <v>2.2609499999999998</v>
      </c>
      <c r="D34" s="46" t="s">
        <v>25</v>
      </c>
      <c r="F34" t="s">
        <v>252</v>
      </c>
      <c r="G34" s="1">
        <f>G31+MAX(G32:G33)</f>
        <v>2.1109500000000003</v>
      </c>
      <c r="H34" t="s">
        <v>25</v>
      </c>
      <c r="J34" t="s">
        <v>252</v>
      </c>
      <c r="K34" s="39">
        <f>K31+MAX(K32:K33)*2</f>
        <v>1.2551000000000001</v>
      </c>
      <c r="L34" s="11" t="s">
        <v>25</v>
      </c>
    </row>
    <row r="36" spans="2:14" x14ac:dyDescent="0.25">
      <c r="B36" t="s">
        <v>253</v>
      </c>
      <c r="D36" t="s">
        <v>252</v>
      </c>
      <c r="E36" s="1">
        <f>7/3</f>
        <v>2.3333333333333335</v>
      </c>
      <c r="F36" t="s">
        <v>25</v>
      </c>
      <c r="J36" t="s">
        <v>253</v>
      </c>
      <c r="L36" t="s">
        <v>252</v>
      </c>
      <c r="M36" s="1">
        <f>7/7</f>
        <v>1</v>
      </c>
      <c r="N36" t="s">
        <v>25</v>
      </c>
    </row>
    <row r="38" spans="2:14" x14ac:dyDescent="0.25">
      <c r="B38" t="s">
        <v>6</v>
      </c>
      <c r="C38" s="1">
        <f>2.22-1.85-0.125</f>
        <v>0.24500000000000011</v>
      </c>
      <c r="D38" t="s">
        <v>25</v>
      </c>
    </row>
    <row r="39" spans="2:14" x14ac:dyDescent="0.25">
      <c r="B39" t="s">
        <v>226</v>
      </c>
      <c r="C39" s="1">
        <f>(C9-C11-H9-(H12/2))/100</f>
        <v>0.59094999999999998</v>
      </c>
      <c r="D39" t="s">
        <v>25</v>
      </c>
    </row>
    <row r="40" spans="2:14" x14ac:dyDescent="0.25">
      <c r="B40" t="s">
        <v>251</v>
      </c>
      <c r="C40" s="1">
        <f>12*H12/100</f>
        <v>0.22919999999999999</v>
      </c>
      <c r="D40" t="s">
        <v>25</v>
      </c>
    </row>
    <row r="41" spans="2:14" x14ac:dyDescent="0.25">
      <c r="B41" t="s">
        <v>252</v>
      </c>
      <c r="C41" s="45">
        <f>C38+MAX(C39:C40)</f>
        <v>0.83595000000000008</v>
      </c>
      <c r="D41" s="46" t="s">
        <v>25</v>
      </c>
    </row>
    <row r="44" spans="2:14" x14ac:dyDescent="0.25">
      <c r="B44" s="4" t="s">
        <v>259</v>
      </c>
      <c r="G44" s="4" t="s">
        <v>260</v>
      </c>
    </row>
    <row r="46" spans="2:14" x14ac:dyDescent="0.25">
      <c r="B46" t="s">
        <v>258</v>
      </c>
      <c r="C46" s="1">
        <f>((C8/10*1.3*1*1)/(2.6*SQRT(C7/10)))*H12/100</f>
        <v>0.87527195773656541</v>
      </c>
      <c r="D46" t="s">
        <v>25</v>
      </c>
      <c r="G46" t="s">
        <v>261</v>
      </c>
      <c r="H46" s="1">
        <f>((0.24*1*1*C8/10)/SQRT(C7/10))*H12/100</f>
        <v>0.42013053971355141</v>
      </c>
      <c r="I46" t="s">
        <v>25</v>
      </c>
    </row>
    <row r="49" spans="7:9" x14ac:dyDescent="0.25">
      <c r="G49" s="4" t="s">
        <v>262</v>
      </c>
    </row>
    <row r="51" spans="7:9" x14ac:dyDescent="0.25">
      <c r="G51" t="s">
        <v>263</v>
      </c>
      <c r="H51" s="1">
        <f>12*H12/100</f>
        <v>0.22919999999999999</v>
      </c>
      <c r="I51" t="s">
        <v>25</v>
      </c>
    </row>
    <row r="69" spans="2:8" x14ac:dyDescent="0.25">
      <c r="B69" s="41" t="s">
        <v>264</v>
      </c>
      <c r="C69" s="41"/>
      <c r="D69" s="41"/>
    </row>
    <row r="71" spans="2:8" x14ac:dyDescent="0.25">
      <c r="B71" s="11" t="s">
        <v>217</v>
      </c>
      <c r="C71" s="3"/>
      <c r="D71" s="3"/>
      <c r="E71" s="3"/>
    </row>
    <row r="73" spans="2:8" x14ac:dyDescent="0.25">
      <c r="B73" t="s">
        <v>265</v>
      </c>
      <c r="C73">
        <v>14.95</v>
      </c>
      <c r="D73" t="s">
        <v>178</v>
      </c>
    </row>
    <row r="74" spans="2:8" x14ac:dyDescent="0.25">
      <c r="B74" s="35" t="s">
        <v>229</v>
      </c>
      <c r="C74" s="1">
        <v>0.85</v>
      </c>
    </row>
    <row r="75" spans="2:8" x14ac:dyDescent="0.25">
      <c r="B75" s="35" t="s">
        <v>83</v>
      </c>
      <c r="C75" s="1">
        <f>(0.53*SQRT(C7)*C10*C12)/1000</f>
        <v>12.254624775157888</v>
      </c>
      <c r="D75" t="s">
        <v>178</v>
      </c>
    </row>
    <row r="76" spans="2:8" x14ac:dyDescent="0.25">
      <c r="B76" s="35" t="s">
        <v>266</v>
      </c>
      <c r="C76" s="1">
        <f>3.88*C75</f>
        <v>47.547944127612602</v>
      </c>
      <c r="D76" t="s">
        <v>178</v>
      </c>
    </row>
    <row r="77" spans="2:8" x14ac:dyDescent="0.25">
      <c r="B77" s="35" t="s">
        <v>267</v>
      </c>
      <c r="C77" s="1">
        <f>C75+C76</f>
        <v>59.802568902770489</v>
      </c>
      <c r="D77" t="s">
        <v>178</v>
      </c>
    </row>
    <row r="78" spans="2:8" x14ac:dyDescent="0.25">
      <c r="B78" s="35" t="s">
        <v>268</v>
      </c>
      <c r="C78" s="1">
        <f>C74*C77</f>
        <v>50.832183567354917</v>
      </c>
      <c r="D78" t="s">
        <v>178</v>
      </c>
    </row>
    <row r="79" spans="2:8" ht="18.75" x14ac:dyDescent="0.3">
      <c r="E79" s="35" t="s">
        <v>268</v>
      </c>
      <c r="F79" s="60" t="s">
        <v>269</v>
      </c>
      <c r="G79" s="33" t="s">
        <v>265</v>
      </c>
      <c r="H79" s="10" t="str">
        <f>IF(C78&gt;C73,"Ok","EROOR")</f>
        <v>Ok</v>
      </c>
    </row>
    <row r="81" spans="2:23" x14ac:dyDescent="0.25">
      <c r="B81" s="4" t="s">
        <v>271</v>
      </c>
    </row>
    <row r="83" spans="2:23" x14ac:dyDescent="0.25">
      <c r="K83" s="47" t="s">
        <v>272</v>
      </c>
      <c r="L83" s="47"/>
      <c r="M83" s="18" t="s">
        <v>273</v>
      </c>
    </row>
    <row r="84" spans="2:23" x14ac:dyDescent="0.25">
      <c r="K84" s="51" t="s">
        <v>277</v>
      </c>
      <c r="L84" s="51"/>
      <c r="M84" s="19" t="s">
        <v>274</v>
      </c>
    </row>
    <row r="85" spans="2:23" x14ac:dyDescent="0.25">
      <c r="K85" s="61" t="s">
        <v>278</v>
      </c>
      <c r="L85" s="61"/>
      <c r="M85" s="62" t="s">
        <v>275</v>
      </c>
    </row>
    <row r="86" spans="2:23" x14ac:dyDescent="0.25">
      <c r="K86" s="51" t="s">
        <v>279</v>
      </c>
      <c r="L86" s="51"/>
      <c r="M86" s="19" t="s">
        <v>276</v>
      </c>
    </row>
    <row r="88" spans="2:23" x14ac:dyDescent="0.25">
      <c r="K88" s="4" t="s">
        <v>280</v>
      </c>
      <c r="N88" t="s">
        <v>5</v>
      </c>
      <c r="O88" s="1">
        <f>2*C9/100</f>
        <v>1.3</v>
      </c>
      <c r="P88" t="s">
        <v>25</v>
      </c>
      <c r="Q88" t="s">
        <v>287</v>
      </c>
      <c r="R88">
        <v>6.2199999999999998E-2</v>
      </c>
      <c r="T88" t="s">
        <v>288</v>
      </c>
      <c r="V88" s="1">
        <f>(G9*2)/0.0622</f>
        <v>22.829581993569132</v>
      </c>
      <c r="W88" t="s">
        <v>223</v>
      </c>
    </row>
    <row r="89" spans="2:23" x14ac:dyDescent="0.25">
      <c r="Q89" t="s">
        <v>287</v>
      </c>
      <c r="R89">
        <v>5.7200000000000001E-2</v>
      </c>
      <c r="T89" t="s">
        <v>289</v>
      </c>
      <c r="V89" s="1">
        <f>(G9*2)/0.0572</f>
        <v>24.825174825174823</v>
      </c>
      <c r="W89" t="s">
        <v>223</v>
      </c>
    </row>
    <row r="90" spans="2:23" x14ac:dyDescent="0.25">
      <c r="K90" s="4" t="s">
        <v>282</v>
      </c>
      <c r="M90" s="4">
        <v>5</v>
      </c>
      <c r="N90" s="4" t="s">
        <v>223</v>
      </c>
    </row>
    <row r="92" spans="2:23" x14ac:dyDescent="0.25">
      <c r="K92" t="s">
        <v>283</v>
      </c>
      <c r="L92" s="63">
        <v>15</v>
      </c>
      <c r="M92" s="3" t="s">
        <v>223</v>
      </c>
    </row>
    <row r="93" spans="2:23" x14ac:dyDescent="0.25">
      <c r="K93" t="s">
        <v>284</v>
      </c>
      <c r="L93" s="1">
        <f>10*H11</f>
        <v>15.9</v>
      </c>
      <c r="M93" t="s">
        <v>223</v>
      </c>
    </row>
    <row r="94" spans="2:23" x14ac:dyDescent="0.25">
      <c r="K94" t="s">
        <v>285</v>
      </c>
      <c r="L94" s="1">
        <f>24*H9</f>
        <v>22.799999999999997</v>
      </c>
      <c r="M94" t="s">
        <v>223</v>
      </c>
    </row>
    <row r="95" spans="2:23" x14ac:dyDescent="0.25">
      <c r="K95" t="s">
        <v>286</v>
      </c>
      <c r="L95" s="1">
        <v>30</v>
      </c>
      <c r="M95" t="s">
        <v>223</v>
      </c>
    </row>
    <row r="97" spans="11:23" x14ac:dyDescent="0.25">
      <c r="K97" s="4" t="s">
        <v>281</v>
      </c>
      <c r="N97" t="s">
        <v>5</v>
      </c>
      <c r="O97" s="1">
        <f>7-(2*O88)</f>
        <v>4.4000000000000004</v>
      </c>
      <c r="P97" t="s">
        <v>25</v>
      </c>
      <c r="Q97" t="s">
        <v>287</v>
      </c>
      <c r="R97">
        <v>3.4799999999999998E-2</v>
      </c>
      <c r="T97" t="s">
        <v>290</v>
      </c>
      <c r="V97" s="1">
        <f>(G9*2)/0.0348</f>
        <v>40.804597701149426</v>
      </c>
      <c r="W97" t="s">
        <v>223</v>
      </c>
    </row>
    <row r="99" spans="11:23" x14ac:dyDescent="0.25">
      <c r="K99" t="s">
        <v>291</v>
      </c>
      <c r="L99" s="63">
        <f>1/2*C12</f>
        <v>29.547499999999999</v>
      </c>
      <c r="M99" s="3" t="s">
        <v>223</v>
      </c>
    </row>
    <row r="102" spans="11:23" x14ac:dyDescent="0.25">
      <c r="K102" s="4" t="s">
        <v>292</v>
      </c>
      <c r="L102" t="s">
        <v>287</v>
      </c>
      <c r="M102">
        <v>2.86E-2</v>
      </c>
      <c r="O102" t="s">
        <v>293</v>
      </c>
      <c r="Q102" s="1">
        <f>(G9*2)/0.0286</f>
        <v>49.650349650349646</v>
      </c>
      <c r="R102" t="s">
        <v>223</v>
      </c>
    </row>
    <row r="104" spans="11:23" x14ac:dyDescent="0.25">
      <c r="K104" s="31" t="s">
        <v>294</v>
      </c>
      <c r="L104" s="31"/>
      <c r="M104" s="31"/>
      <c r="N104" s="31"/>
      <c r="O104" s="31"/>
    </row>
  </sheetData>
  <mergeCells count="6">
    <mergeCell ref="K86:L86"/>
    <mergeCell ref="L27:M27"/>
    <mergeCell ref="R27:S27"/>
    <mergeCell ref="K83:L83"/>
    <mergeCell ref="K84:L84"/>
    <mergeCell ref="K85:L8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4153-09FA-42E6-8EC3-362418A0FD05}">
  <dimension ref="B2:AB124"/>
  <sheetViews>
    <sheetView workbookViewId="0">
      <selection activeCell="O3" sqref="O3"/>
    </sheetView>
  </sheetViews>
  <sheetFormatPr baseColWidth="10" defaultRowHeight="15" x14ac:dyDescent="0.25"/>
  <cols>
    <col min="8" max="8" width="11.7109375" bestFit="1" customWidth="1"/>
  </cols>
  <sheetData>
    <row r="2" spans="2:13" x14ac:dyDescent="0.25">
      <c r="B2" s="41" t="s">
        <v>295</v>
      </c>
      <c r="C2" s="42"/>
      <c r="D2" s="41"/>
      <c r="E2" s="41"/>
      <c r="K2" s="19" t="s">
        <v>227</v>
      </c>
      <c r="L2" s="19" t="s">
        <v>228</v>
      </c>
      <c r="M2" s="36" t="s">
        <v>229</v>
      </c>
    </row>
    <row r="3" spans="2:13" x14ac:dyDescent="0.25">
      <c r="K3" s="19" t="s">
        <v>230</v>
      </c>
      <c r="L3" s="37">
        <v>0.71</v>
      </c>
      <c r="M3" s="38">
        <v>0.95</v>
      </c>
    </row>
    <row r="4" spans="2:13" x14ac:dyDescent="0.25">
      <c r="B4" s="80" t="s">
        <v>296</v>
      </c>
      <c r="C4" s="81"/>
      <c r="D4" s="81"/>
      <c r="K4" s="19" t="s">
        <v>231</v>
      </c>
      <c r="L4" s="37">
        <v>1.29</v>
      </c>
      <c r="M4" s="38">
        <v>1.27</v>
      </c>
    </row>
    <row r="5" spans="2:13" x14ac:dyDescent="0.25">
      <c r="K5" s="19" t="s">
        <v>232</v>
      </c>
      <c r="L5" s="37">
        <v>1.98</v>
      </c>
      <c r="M5" s="38">
        <v>1.59</v>
      </c>
    </row>
    <row r="6" spans="2:13" x14ac:dyDescent="0.25">
      <c r="B6" s="11" t="s">
        <v>297</v>
      </c>
      <c r="C6" s="3"/>
      <c r="D6" s="3"/>
      <c r="K6" s="19" t="s">
        <v>233</v>
      </c>
      <c r="L6" s="37">
        <v>2.85</v>
      </c>
      <c r="M6" s="38">
        <v>1.91</v>
      </c>
    </row>
    <row r="7" spans="2:13" x14ac:dyDescent="0.25">
      <c r="K7" s="19" t="s">
        <v>234</v>
      </c>
      <c r="L7" s="37">
        <v>5.07</v>
      </c>
      <c r="M7" s="38">
        <v>2.54</v>
      </c>
    </row>
    <row r="11" spans="2:13" x14ac:dyDescent="0.25">
      <c r="B11" t="s">
        <v>240</v>
      </c>
      <c r="C11">
        <v>0.01</v>
      </c>
      <c r="E11" t="s">
        <v>298</v>
      </c>
      <c r="F11">
        <f>C14*C11</f>
        <v>38.15</v>
      </c>
      <c r="G11" t="s">
        <v>238</v>
      </c>
      <c r="H11" s="40" t="s">
        <v>300</v>
      </c>
    </row>
    <row r="12" spans="2:13" x14ac:dyDescent="0.25">
      <c r="B12" t="s">
        <v>241</v>
      </c>
      <c r="C12">
        <v>0.06</v>
      </c>
      <c r="E12" t="s">
        <v>243</v>
      </c>
      <c r="F12" s="1">
        <f>C14*C12</f>
        <v>228.9</v>
      </c>
      <c r="G12" t="s">
        <v>238</v>
      </c>
    </row>
    <row r="14" spans="2:13" x14ac:dyDescent="0.25">
      <c r="B14" t="s">
        <v>299</v>
      </c>
      <c r="C14">
        <v>3815</v>
      </c>
      <c r="D14" t="s">
        <v>238</v>
      </c>
    </row>
    <row r="16" spans="2:13" ht="15.75" thickBot="1" x14ac:dyDescent="0.3"/>
    <row r="17" spans="2:28" x14ac:dyDescent="0.25">
      <c r="Q17" s="66" t="s">
        <v>173</v>
      </c>
      <c r="R17" s="67"/>
      <c r="S17" s="67"/>
      <c r="T17" s="68"/>
      <c r="U17" s="66" t="s">
        <v>189</v>
      </c>
      <c r="V17" s="67"/>
      <c r="W17" s="67"/>
      <c r="X17" s="68"/>
      <c r="Y17" s="66" t="s">
        <v>313</v>
      </c>
      <c r="Z17" s="67"/>
      <c r="AA17" s="67"/>
      <c r="AB17" s="68"/>
    </row>
    <row r="18" spans="2:28" x14ac:dyDescent="0.25">
      <c r="B18" s="4" t="s">
        <v>301</v>
      </c>
      <c r="E18" s="40" t="s">
        <v>314</v>
      </c>
      <c r="Q18" s="69" t="s">
        <v>155</v>
      </c>
      <c r="R18" s="70" t="s">
        <v>155</v>
      </c>
      <c r="S18" s="70" t="s">
        <v>310</v>
      </c>
      <c r="T18" s="71" t="s">
        <v>312</v>
      </c>
      <c r="U18" s="69" t="s">
        <v>155</v>
      </c>
      <c r="V18" s="70" t="s">
        <v>155</v>
      </c>
      <c r="W18" s="70" t="s">
        <v>310</v>
      </c>
      <c r="X18" s="71" t="s">
        <v>312</v>
      </c>
      <c r="Y18" s="69" t="s">
        <v>155</v>
      </c>
      <c r="Z18" s="70" t="s">
        <v>155</v>
      </c>
      <c r="AA18" s="70" t="s">
        <v>310</v>
      </c>
      <c r="AB18" s="71" t="s">
        <v>312</v>
      </c>
    </row>
    <row r="19" spans="2:28" x14ac:dyDescent="0.25">
      <c r="Q19" s="69" t="s">
        <v>149</v>
      </c>
      <c r="R19" s="70" t="s">
        <v>149</v>
      </c>
      <c r="S19" s="70" t="s">
        <v>311</v>
      </c>
      <c r="T19" s="71" t="s">
        <v>311</v>
      </c>
      <c r="U19" s="69" t="s">
        <v>149</v>
      </c>
      <c r="V19" s="70" t="s">
        <v>149</v>
      </c>
      <c r="W19" s="70" t="s">
        <v>311</v>
      </c>
      <c r="X19" s="71" t="s">
        <v>311</v>
      </c>
      <c r="Y19" s="69" t="s">
        <v>149</v>
      </c>
      <c r="Z19" s="70" t="s">
        <v>149</v>
      </c>
      <c r="AA19" s="70" t="s">
        <v>311</v>
      </c>
      <c r="AB19" s="71" t="s">
        <v>311</v>
      </c>
    </row>
    <row r="20" spans="2:28" x14ac:dyDescent="0.25">
      <c r="B20" t="s">
        <v>302</v>
      </c>
      <c r="Q20" s="72">
        <v>-100.1664</v>
      </c>
      <c r="R20" s="73">
        <f>-Q20</f>
        <v>100.1664</v>
      </c>
      <c r="S20" s="74">
        <v>-3.4799999999999998E-2</v>
      </c>
      <c r="T20" s="75">
        <v>1.2746999999999999</v>
      </c>
      <c r="U20" s="72">
        <v>-60.489800000000002</v>
      </c>
      <c r="V20" s="73">
        <f>-U20</f>
        <v>60.489800000000002</v>
      </c>
      <c r="W20" s="74">
        <v>-0.14369999999999999</v>
      </c>
      <c r="X20" s="75">
        <v>4.6620999999999997</v>
      </c>
      <c r="Y20" s="72">
        <v>-23.221599999999999</v>
      </c>
      <c r="Z20" s="73">
        <f>-Y20</f>
        <v>23.221599999999999</v>
      </c>
      <c r="AA20" s="74">
        <v>-0.4098</v>
      </c>
      <c r="AB20" s="75">
        <v>1.2818000000000001</v>
      </c>
    </row>
    <row r="21" spans="2:28" x14ac:dyDescent="0.25">
      <c r="B21" t="s">
        <v>303</v>
      </c>
      <c r="C21" t="s">
        <v>304</v>
      </c>
      <c r="D21" t="s">
        <v>305</v>
      </c>
      <c r="E21" t="s">
        <v>306</v>
      </c>
      <c r="F21" t="s">
        <v>304</v>
      </c>
      <c r="G21" t="s">
        <v>306</v>
      </c>
      <c r="H21" t="s">
        <v>309</v>
      </c>
      <c r="Q21" s="72">
        <v>-97.548400000000001</v>
      </c>
      <c r="R21" s="73">
        <f t="shared" ref="R21:R84" si="0">-Q21</f>
        <v>97.548400000000001</v>
      </c>
      <c r="S21" s="74">
        <v>1.2999999999999999E-2</v>
      </c>
      <c r="T21" s="75">
        <v>-0.53910000000000002</v>
      </c>
      <c r="U21" s="72">
        <v>-58.359499999999997</v>
      </c>
      <c r="V21" s="73">
        <f t="shared" ref="V21:V84" si="1">-U21</f>
        <v>58.359499999999997</v>
      </c>
      <c r="W21" s="74">
        <v>1.0699999999999999E-2</v>
      </c>
      <c r="X21" s="75">
        <v>-6.6500000000000004E-2</v>
      </c>
      <c r="Y21" s="72">
        <v>-20.866499999999998</v>
      </c>
      <c r="Z21" s="73">
        <f t="shared" ref="Z21:Z84" si="2">-Y21</f>
        <v>20.866499999999998</v>
      </c>
      <c r="AA21" s="74">
        <v>0.33760000000000001</v>
      </c>
      <c r="AB21" s="75">
        <v>2.5247000000000002</v>
      </c>
    </row>
    <row r="22" spans="2:28" x14ac:dyDescent="0.25">
      <c r="B22">
        <v>1</v>
      </c>
      <c r="C22">
        <v>692.77319999999997</v>
      </c>
      <c r="D22">
        <v>0</v>
      </c>
      <c r="E22">
        <v>-1.65</v>
      </c>
      <c r="F22">
        <f>C22*0.7</f>
        <v>484.94123999999994</v>
      </c>
      <c r="G22">
        <v>0</v>
      </c>
      <c r="H22">
        <f>-G22</f>
        <v>0</v>
      </c>
      <c r="Q22" s="72">
        <v>-94.930400000000006</v>
      </c>
      <c r="R22" s="73">
        <f t="shared" si="0"/>
        <v>94.930400000000006</v>
      </c>
      <c r="S22" s="74">
        <v>6.08E-2</v>
      </c>
      <c r="T22" s="75">
        <v>-2.3529</v>
      </c>
      <c r="U22" s="72">
        <v>-56.229199999999999</v>
      </c>
      <c r="V22" s="73">
        <f t="shared" si="1"/>
        <v>56.229199999999999</v>
      </c>
      <c r="W22" s="74">
        <v>0.1651</v>
      </c>
      <c r="X22" s="75">
        <v>-4.7950999999999997</v>
      </c>
      <c r="Y22" s="72">
        <v>-18.511399999999998</v>
      </c>
      <c r="Z22" s="73">
        <f t="shared" si="2"/>
        <v>18.511399999999998</v>
      </c>
      <c r="AA22" s="74">
        <v>1.085</v>
      </c>
      <c r="AB22" s="75">
        <v>3.7677</v>
      </c>
    </row>
    <row r="23" spans="2:28" x14ac:dyDescent="0.25">
      <c r="B23">
        <v>2</v>
      </c>
      <c r="C23">
        <v>692.77319999999997</v>
      </c>
      <c r="D23">
        <v>0</v>
      </c>
      <c r="E23">
        <v>9.3167000000000009</v>
      </c>
      <c r="F23">
        <f t="shared" ref="F23:F32" si="3">C23*0.7</f>
        <v>484.94123999999994</v>
      </c>
      <c r="G23">
        <f t="shared" ref="G23:G32" si="4">E23*0.7</f>
        <v>6.5216900000000004</v>
      </c>
      <c r="H23">
        <f t="shared" ref="H23:H32" si="5">-G23</f>
        <v>-6.5216900000000004</v>
      </c>
      <c r="Q23" s="72">
        <v>-87.848500000000001</v>
      </c>
      <c r="R23" s="73">
        <f t="shared" si="0"/>
        <v>87.848500000000001</v>
      </c>
      <c r="S23" s="74">
        <v>2.1000000000000001E-2</v>
      </c>
      <c r="T23" s="75">
        <v>2.1579999999999999</v>
      </c>
      <c r="U23" s="72">
        <v>-54.541600000000003</v>
      </c>
      <c r="V23" s="73">
        <f t="shared" si="1"/>
        <v>54.541600000000003</v>
      </c>
      <c r="W23" s="74">
        <v>-9.1200000000000003E-2</v>
      </c>
      <c r="X23" s="75">
        <v>7.9637000000000002</v>
      </c>
      <c r="Y23" s="72">
        <v>-23.5336</v>
      </c>
      <c r="Z23" s="73">
        <f t="shared" si="2"/>
        <v>23.5336</v>
      </c>
      <c r="AA23" s="74">
        <v>-0.4103</v>
      </c>
      <c r="AB23" s="75">
        <v>2.9540999999999999</v>
      </c>
    </row>
    <row r="24" spans="2:28" x14ac:dyDescent="0.25">
      <c r="B24">
        <v>3</v>
      </c>
      <c r="C24">
        <v>692.77319999999997</v>
      </c>
      <c r="D24">
        <v>0</v>
      </c>
      <c r="E24">
        <v>15.6876</v>
      </c>
      <c r="F24">
        <f t="shared" si="3"/>
        <v>484.94123999999994</v>
      </c>
      <c r="G24">
        <f t="shared" si="4"/>
        <v>10.981319999999998</v>
      </c>
      <c r="H24">
        <f t="shared" si="5"/>
        <v>-10.981319999999998</v>
      </c>
      <c r="Q24" s="72">
        <v>-85.230500000000006</v>
      </c>
      <c r="R24" s="73">
        <f t="shared" si="0"/>
        <v>85.230500000000006</v>
      </c>
      <c r="S24" s="74">
        <v>4.1200000000000001E-2</v>
      </c>
      <c r="T24" s="75">
        <v>-1.038</v>
      </c>
      <c r="U24" s="72">
        <v>-52.411299999999997</v>
      </c>
      <c r="V24" s="73">
        <f t="shared" si="1"/>
        <v>52.411299999999997</v>
      </c>
      <c r="W24" s="74">
        <v>6.7999999999999996E-3</v>
      </c>
      <c r="X24" s="75">
        <v>-7.4200000000000002E-2</v>
      </c>
      <c r="Y24" s="72">
        <v>-21.1785</v>
      </c>
      <c r="Z24" s="73">
        <f t="shared" si="2"/>
        <v>21.1785</v>
      </c>
      <c r="AA24" s="74">
        <v>0.27700000000000002</v>
      </c>
      <c r="AB24" s="75">
        <v>3.194</v>
      </c>
    </row>
    <row r="25" spans="2:28" x14ac:dyDescent="0.25">
      <c r="B25">
        <v>4</v>
      </c>
      <c r="C25">
        <v>692.77319999999997</v>
      </c>
      <c r="D25">
        <v>0</v>
      </c>
      <c r="E25">
        <v>21.4238</v>
      </c>
      <c r="F25">
        <f t="shared" si="3"/>
        <v>484.94123999999994</v>
      </c>
      <c r="G25">
        <f t="shared" si="4"/>
        <v>14.996659999999999</v>
      </c>
      <c r="H25">
        <f t="shared" si="5"/>
        <v>-14.996659999999999</v>
      </c>
      <c r="Q25" s="72">
        <v>-82.6126</v>
      </c>
      <c r="R25" s="73">
        <f t="shared" si="0"/>
        <v>82.6126</v>
      </c>
      <c r="S25" s="74">
        <v>6.13E-2</v>
      </c>
      <c r="T25" s="75">
        <v>-4.2340999999999998</v>
      </c>
      <c r="U25" s="72">
        <v>-50.280999999999999</v>
      </c>
      <c r="V25" s="73">
        <f t="shared" si="1"/>
        <v>50.280999999999999</v>
      </c>
      <c r="W25" s="74">
        <v>0.10489999999999999</v>
      </c>
      <c r="X25" s="75">
        <v>-8.1120999999999999</v>
      </c>
      <c r="Y25" s="72">
        <v>-18.823399999999999</v>
      </c>
      <c r="Z25" s="73">
        <f t="shared" si="2"/>
        <v>18.823399999999999</v>
      </c>
      <c r="AA25" s="74">
        <v>0.96430000000000005</v>
      </c>
      <c r="AB25" s="75">
        <v>3.4338000000000002</v>
      </c>
    </row>
    <row r="26" spans="2:28" x14ac:dyDescent="0.25">
      <c r="B26">
        <v>5</v>
      </c>
      <c r="C26">
        <v>682.56089999999995</v>
      </c>
      <c r="D26">
        <v>0</v>
      </c>
      <c r="E26">
        <v>26.816600000000001</v>
      </c>
      <c r="F26">
        <f t="shared" si="3"/>
        <v>477.79262999999992</v>
      </c>
      <c r="G26">
        <f t="shared" si="4"/>
        <v>18.771619999999999</v>
      </c>
      <c r="H26">
        <f t="shared" si="5"/>
        <v>-18.771619999999999</v>
      </c>
      <c r="Q26" s="72">
        <v>-87.383700000000005</v>
      </c>
      <c r="R26" s="73">
        <f t="shared" si="0"/>
        <v>87.383700000000005</v>
      </c>
      <c r="S26" s="74">
        <v>-5.57E-2</v>
      </c>
      <c r="T26" s="75">
        <v>8.9800000000000005E-2</v>
      </c>
      <c r="U26" s="72">
        <v>-54.125799999999998</v>
      </c>
      <c r="V26" s="73">
        <f t="shared" si="1"/>
        <v>54.125799999999998</v>
      </c>
      <c r="W26" s="74">
        <v>-0.2198</v>
      </c>
      <c r="X26" s="75">
        <v>0.23619999999999999</v>
      </c>
      <c r="Y26" s="72">
        <v>-23.2563</v>
      </c>
      <c r="Z26" s="73">
        <f t="shared" si="2"/>
        <v>23.2563</v>
      </c>
      <c r="AA26" s="74">
        <v>-0.30659999999999998</v>
      </c>
      <c r="AB26" s="75">
        <v>-1.0013000000000001</v>
      </c>
    </row>
    <row r="27" spans="2:28" x14ac:dyDescent="0.25">
      <c r="B27">
        <v>6</v>
      </c>
      <c r="C27">
        <v>529.43079999999998</v>
      </c>
      <c r="D27">
        <v>0</v>
      </c>
      <c r="E27">
        <v>38.180199999999999</v>
      </c>
      <c r="F27">
        <f t="shared" si="3"/>
        <v>370.60155999999995</v>
      </c>
      <c r="G27">
        <f t="shared" si="4"/>
        <v>26.726139999999997</v>
      </c>
      <c r="H27">
        <f t="shared" si="5"/>
        <v>-26.726139999999997</v>
      </c>
      <c r="Q27" s="72">
        <v>-84.765699999999995</v>
      </c>
      <c r="R27" s="73">
        <f t="shared" si="0"/>
        <v>84.765699999999995</v>
      </c>
      <c r="S27" s="74">
        <v>-4.8500000000000001E-2</v>
      </c>
      <c r="T27" s="75">
        <v>7.3099999999999998E-2</v>
      </c>
      <c r="U27" s="72">
        <v>-51.9955</v>
      </c>
      <c r="V27" s="73">
        <f t="shared" si="1"/>
        <v>51.9955</v>
      </c>
      <c r="W27" s="74">
        <v>-7.1999999999999998E-3</v>
      </c>
      <c r="X27" s="75">
        <v>-2.9600000000000001E-2</v>
      </c>
      <c r="Y27" s="72">
        <v>-20.901199999999999</v>
      </c>
      <c r="Z27" s="73">
        <f t="shared" si="2"/>
        <v>20.901199999999999</v>
      </c>
      <c r="AA27" s="74">
        <v>0.2752</v>
      </c>
      <c r="AB27" s="75">
        <v>1.6007</v>
      </c>
    </row>
    <row r="28" spans="2:28" x14ac:dyDescent="0.25">
      <c r="B28">
        <v>7</v>
      </c>
      <c r="C28">
        <v>407.4973</v>
      </c>
      <c r="D28">
        <v>0</v>
      </c>
      <c r="E28">
        <v>41.959000000000003</v>
      </c>
      <c r="F28">
        <f t="shared" si="3"/>
        <v>285.24811</v>
      </c>
      <c r="G28">
        <f t="shared" si="4"/>
        <v>29.371300000000002</v>
      </c>
      <c r="H28">
        <f t="shared" si="5"/>
        <v>-29.371300000000002</v>
      </c>
      <c r="Q28" s="72">
        <v>-82.1477</v>
      </c>
      <c r="R28" s="73">
        <f t="shared" si="0"/>
        <v>82.1477</v>
      </c>
      <c r="S28" s="74">
        <v>-4.1300000000000003E-2</v>
      </c>
      <c r="T28" s="75">
        <v>5.6399999999999999E-2</v>
      </c>
      <c r="U28" s="72">
        <v>-49.865200000000002</v>
      </c>
      <c r="V28" s="73">
        <f t="shared" si="1"/>
        <v>49.865200000000002</v>
      </c>
      <c r="W28" s="74">
        <v>0.2054</v>
      </c>
      <c r="X28" s="75">
        <v>-0.2954</v>
      </c>
      <c r="Y28" s="72">
        <v>-18.546099999999999</v>
      </c>
      <c r="Z28" s="73">
        <f t="shared" si="2"/>
        <v>18.546099999999999</v>
      </c>
      <c r="AA28" s="74">
        <v>0.85699999999999998</v>
      </c>
      <c r="AB28" s="75">
        <v>4.2027999999999999</v>
      </c>
    </row>
    <row r="29" spans="2:28" x14ac:dyDescent="0.25">
      <c r="B29">
        <v>8</v>
      </c>
      <c r="C29">
        <v>259.1773</v>
      </c>
      <c r="D29">
        <v>0</v>
      </c>
      <c r="E29">
        <v>41.072499999999998</v>
      </c>
      <c r="F29">
        <f t="shared" si="3"/>
        <v>181.42410999999998</v>
      </c>
      <c r="G29">
        <f t="shared" si="4"/>
        <v>28.750749999999996</v>
      </c>
      <c r="H29">
        <f t="shared" si="5"/>
        <v>-28.750749999999996</v>
      </c>
      <c r="Q29" s="72">
        <v>-79.908799999999999</v>
      </c>
      <c r="R29" s="73">
        <f t="shared" si="0"/>
        <v>79.908799999999999</v>
      </c>
      <c r="S29" s="74">
        <v>57.601100000000002</v>
      </c>
      <c r="T29" s="75">
        <v>4.0824999999999996</v>
      </c>
      <c r="U29" s="72">
        <v>-47.835799999999999</v>
      </c>
      <c r="V29" s="73">
        <f t="shared" si="1"/>
        <v>47.835799999999999</v>
      </c>
      <c r="W29" s="74">
        <v>17.289000000000001</v>
      </c>
      <c r="X29" s="75">
        <v>5.5526999999999997</v>
      </c>
      <c r="Y29" s="72">
        <v>-17.958500000000001</v>
      </c>
      <c r="Z29" s="73">
        <f t="shared" si="2"/>
        <v>17.958500000000001</v>
      </c>
      <c r="AA29" s="74">
        <v>6.2560000000000002</v>
      </c>
      <c r="AB29" s="75">
        <v>2.6661999999999999</v>
      </c>
    </row>
    <row r="30" spans="2:28" x14ac:dyDescent="0.25">
      <c r="B30">
        <v>9</v>
      </c>
      <c r="C30">
        <v>106.3451</v>
      </c>
      <c r="D30">
        <v>0</v>
      </c>
      <c r="E30">
        <v>34.804600000000001</v>
      </c>
      <c r="F30">
        <f t="shared" si="3"/>
        <v>74.441569999999999</v>
      </c>
      <c r="G30">
        <f t="shared" si="4"/>
        <v>24.363219999999998</v>
      </c>
      <c r="H30">
        <f t="shared" si="5"/>
        <v>-24.363219999999998</v>
      </c>
      <c r="Q30" s="72">
        <v>-77.571299999999994</v>
      </c>
      <c r="R30" s="73">
        <f t="shared" si="0"/>
        <v>77.571299999999994</v>
      </c>
      <c r="S30" s="74">
        <v>22.696100000000001</v>
      </c>
      <c r="T30" s="75">
        <v>0.19950000000000001</v>
      </c>
      <c r="U30" s="72">
        <v>-45.933700000000002</v>
      </c>
      <c r="V30" s="73">
        <f t="shared" si="1"/>
        <v>45.933700000000002</v>
      </c>
      <c r="W30" s="74">
        <v>6.0248999999999997</v>
      </c>
      <c r="X30" s="75">
        <v>0.2147</v>
      </c>
      <c r="Y30" s="72">
        <v>-15.8558</v>
      </c>
      <c r="Z30" s="73">
        <f t="shared" si="2"/>
        <v>15.8558</v>
      </c>
      <c r="AA30" s="74">
        <v>14.2843</v>
      </c>
      <c r="AB30" s="75">
        <v>2.4977999999999998</v>
      </c>
    </row>
    <row r="31" spans="2:28" x14ac:dyDescent="0.25">
      <c r="B31">
        <v>10</v>
      </c>
      <c r="C31">
        <v>-50.926699999999997</v>
      </c>
      <c r="D31">
        <v>0</v>
      </c>
      <c r="E31">
        <v>19.348700000000001</v>
      </c>
      <c r="F31">
        <f t="shared" si="3"/>
        <v>-35.648689999999995</v>
      </c>
      <c r="G31">
        <f t="shared" si="4"/>
        <v>13.544090000000001</v>
      </c>
      <c r="H31">
        <f t="shared" si="5"/>
        <v>-13.544090000000001</v>
      </c>
      <c r="Q31" s="72">
        <v>-75.233800000000002</v>
      </c>
      <c r="R31" s="73">
        <f t="shared" si="0"/>
        <v>75.233800000000002</v>
      </c>
      <c r="S31" s="74">
        <v>12.966900000000001</v>
      </c>
      <c r="T31" s="75">
        <v>-0.3347</v>
      </c>
      <c r="U31" s="72">
        <v>-44.031599999999997</v>
      </c>
      <c r="V31" s="73">
        <f t="shared" si="1"/>
        <v>44.031599999999997</v>
      </c>
      <c r="W31" s="74">
        <v>28.469899999999999</v>
      </c>
      <c r="X31" s="75">
        <v>-2.3938999999999999</v>
      </c>
      <c r="Y31" s="72">
        <v>-13.753</v>
      </c>
      <c r="Z31" s="73">
        <f t="shared" si="2"/>
        <v>13.753</v>
      </c>
      <c r="AA31" s="74">
        <v>24.9755</v>
      </c>
      <c r="AB31" s="75">
        <v>4.8935000000000004</v>
      </c>
    </row>
    <row r="32" spans="2:28" x14ac:dyDescent="0.25">
      <c r="B32">
        <v>11</v>
      </c>
      <c r="C32">
        <v>-193.2</v>
      </c>
      <c r="D32">
        <v>0</v>
      </c>
      <c r="E32">
        <v>1.7232000000000001</v>
      </c>
      <c r="F32">
        <f t="shared" si="3"/>
        <v>-135.23999999999998</v>
      </c>
      <c r="G32">
        <v>0</v>
      </c>
      <c r="H32">
        <f t="shared" si="5"/>
        <v>0</v>
      </c>
      <c r="Q32" s="72">
        <v>-90.511799999999994</v>
      </c>
      <c r="R32" s="73">
        <f t="shared" si="0"/>
        <v>90.511799999999994</v>
      </c>
      <c r="S32" s="74">
        <v>-57.651400000000002</v>
      </c>
      <c r="T32" s="75">
        <v>-1.9014</v>
      </c>
      <c r="U32" s="72">
        <v>-55.764499999999998</v>
      </c>
      <c r="V32" s="73">
        <f t="shared" si="1"/>
        <v>55.764499999999998</v>
      </c>
      <c r="W32" s="74">
        <v>-17.5504</v>
      </c>
      <c r="X32" s="75">
        <v>2.4150999999999998</v>
      </c>
      <c r="Y32" s="72">
        <v>-23.076899999999998</v>
      </c>
      <c r="Z32" s="73">
        <f t="shared" si="2"/>
        <v>23.076899999999998</v>
      </c>
      <c r="AA32" s="74">
        <v>-6.9489999999999998</v>
      </c>
      <c r="AB32" s="75">
        <v>-0.55349999999999999</v>
      </c>
    </row>
    <row r="33" spans="2:28" x14ac:dyDescent="0.25">
      <c r="Q33" s="72">
        <v>-88.174300000000002</v>
      </c>
      <c r="R33" s="73">
        <f t="shared" si="0"/>
        <v>88.174300000000002</v>
      </c>
      <c r="S33" s="74">
        <v>-22.682700000000001</v>
      </c>
      <c r="T33" s="75">
        <v>-1.1269</v>
      </c>
      <c r="U33" s="72">
        <v>-53.862400000000001</v>
      </c>
      <c r="V33" s="73">
        <f t="shared" si="1"/>
        <v>53.862400000000001</v>
      </c>
      <c r="W33" s="74">
        <v>-6.0101000000000004</v>
      </c>
      <c r="X33" s="75">
        <v>-0.32200000000000001</v>
      </c>
      <c r="Y33" s="72">
        <v>-20.9741</v>
      </c>
      <c r="Z33" s="73">
        <f t="shared" si="2"/>
        <v>20.9741</v>
      </c>
      <c r="AA33" s="74">
        <v>-13.7279</v>
      </c>
      <c r="AB33" s="75">
        <v>1.8876999999999999</v>
      </c>
    </row>
    <row r="34" spans="2:28" x14ac:dyDescent="0.25">
      <c r="Q34" s="72">
        <v>-85.8369</v>
      </c>
      <c r="R34" s="73">
        <f t="shared" si="0"/>
        <v>85.8369</v>
      </c>
      <c r="S34" s="74">
        <v>-12.889699999999999</v>
      </c>
      <c r="T34" s="75">
        <v>-3.7012999999999998</v>
      </c>
      <c r="U34" s="72">
        <v>-51.9604</v>
      </c>
      <c r="V34" s="73">
        <f t="shared" si="1"/>
        <v>51.9604</v>
      </c>
      <c r="W34" s="74">
        <v>-28.179200000000002</v>
      </c>
      <c r="X34" s="75">
        <v>-5.7885</v>
      </c>
      <c r="Y34" s="72">
        <v>-18.871300000000002</v>
      </c>
      <c r="Z34" s="73">
        <f t="shared" si="2"/>
        <v>18.871300000000002</v>
      </c>
      <c r="AA34" s="74">
        <v>-23.169699999999999</v>
      </c>
      <c r="AB34" s="75">
        <v>1.7647999999999999</v>
      </c>
    </row>
    <row r="35" spans="2:28" x14ac:dyDescent="0.25">
      <c r="B35" t="s">
        <v>307</v>
      </c>
      <c r="Q35" s="72">
        <v>-79.908799999999999</v>
      </c>
      <c r="R35" s="73">
        <f t="shared" si="0"/>
        <v>79.908799999999999</v>
      </c>
      <c r="S35" s="74">
        <v>57.601100000000002</v>
      </c>
      <c r="T35" s="75">
        <v>4.0824999999999996</v>
      </c>
      <c r="U35" s="72">
        <v>-47.835799999999999</v>
      </c>
      <c r="V35" s="73">
        <f t="shared" si="1"/>
        <v>47.835799999999999</v>
      </c>
      <c r="W35" s="74">
        <v>17.289000000000001</v>
      </c>
      <c r="X35" s="75">
        <v>5.5526999999999997</v>
      </c>
      <c r="Y35" s="72">
        <v>-17.958500000000001</v>
      </c>
      <c r="Z35" s="73">
        <f t="shared" si="2"/>
        <v>17.958500000000001</v>
      </c>
      <c r="AA35" s="74">
        <v>6.2560000000000002</v>
      </c>
      <c r="AB35" s="75">
        <v>2.6661999999999999</v>
      </c>
    </row>
    <row r="36" spans="2:28" x14ac:dyDescent="0.25">
      <c r="B36" t="s">
        <v>303</v>
      </c>
      <c r="C36" t="s">
        <v>304</v>
      </c>
      <c r="D36" t="s">
        <v>305</v>
      </c>
      <c r="E36" t="s">
        <v>306</v>
      </c>
      <c r="F36" t="s">
        <v>304</v>
      </c>
      <c r="G36" t="s">
        <v>305</v>
      </c>
      <c r="H36" t="s">
        <v>308</v>
      </c>
      <c r="Q36" s="72">
        <v>-77.571299999999994</v>
      </c>
      <c r="R36" s="73">
        <f t="shared" si="0"/>
        <v>77.571299999999994</v>
      </c>
      <c r="S36" s="74">
        <v>22.696100000000001</v>
      </c>
      <c r="T36" s="75">
        <v>0.19950000000000001</v>
      </c>
      <c r="U36" s="72">
        <v>-45.933700000000002</v>
      </c>
      <c r="V36" s="73">
        <f t="shared" si="1"/>
        <v>45.933700000000002</v>
      </c>
      <c r="W36" s="74">
        <v>6.0248999999999997</v>
      </c>
      <c r="X36" s="75">
        <v>0.2147</v>
      </c>
      <c r="Y36" s="72">
        <v>-15.8558</v>
      </c>
      <c r="Z36" s="73">
        <f t="shared" si="2"/>
        <v>15.8558</v>
      </c>
      <c r="AA36" s="74">
        <v>14.2843</v>
      </c>
      <c r="AB36" s="75">
        <v>2.4977999999999998</v>
      </c>
    </row>
    <row r="37" spans="2:28" x14ac:dyDescent="0.25">
      <c r="B37">
        <v>1</v>
      </c>
      <c r="C37">
        <v>692.77319999999997</v>
      </c>
      <c r="D37">
        <v>0</v>
      </c>
      <c r="E37">
        <v>-1.65</v>
      </c>
      <c r="F37">
        <f>C37*0.7</f>
        <v>484.94123999999994</v>
      </c>
      <c r="G37">
        <f>D37*0.7</f>
        <v>0</v>
      </c>
      <c r="H37">
        <f>-G37</f>
        <v>0</v>
      </c>
      <c r="Q37" s="72">
        <v>-75.233800000000002</v>
      </c>
      <c r="R37" s="73">
        <f t="shared" si="0"/>
        <v>75.233800000000002</v>
      </c>
      <c r="S37" s="74">
        <v>12.966900000000001</v>
      </c>
      <c r="T37" s="75">
        <v>-0.3347</v>
      </c>
      <c r="U37" s="72">
        <v>-44.031599999999997</v>
      </c>
      <c r="V37" s="73">
        <f t="shared" si="1"/>
        <v>44.031599999999997</v>
      </c>
      <c r="W37" s="74">
        <v>28.469899999999999</v>
      </c>
      <c r="X37" s="75">
        <v>-2.3938999999999999</v>
      </c>
      <c r="Y37" s="72">
        <v>-13.753</v>
      </c>
      <c r="Z37" s="73">
        <f t="shared" si="2"/>
        <v>13.753</v>
      </c>
      <c r="AA37" s="74">
        <v>24.9755</v>
      </c>
      <c r="AB37" s="75">
        <v>4.8935000000000004</v>
      </c>
    </row>
    <row r="38" spans="2:28" x14ac:dyDescent="0.25">
      <c r="B38">
        <v>2</v>
      </c>
      <c r="C38">
        <v>692.77319999999997</v>
      </c>
      <c r="D38">
        <v>53.859000000000002</v>
      </c>
      <c r="E38">
        <v>-3.5171999999999999</v>
      </c>
      <c r="F38">
        <f t="shared" ref="F38:F47" si="6">C38*0.7</f>
        <v>484.94123999999994</v>
      </c>
      <c r="G38">
        <f t="shared" ref="G38:G47" si="7">D38*0.7</f>
        <v>37.701299999999996</v>
      </c>
      <c r="H38">
        <f t="shared" ref="H38:H47" si="8">-G38</f>
        <v>-37.701299999999996</v>
      </c>
      <c r="Q38" s="72">
        <v>-90.511799999999994</v>
      </c>
      <c r="R38" s="73">
        <f t="shared" si="0"/>
        <v>90.511799999999994</v>
      </c>
      <c r="S38" s="74">
        <v>-57.651400000000002</v>
      </c>
      <c r="T38" s="75">
        <v>-1.9014</v>
      </c>
      <c r="U38" s="72">
        <v>-55.764499999999998</v>
      </c>
      <c r="V38" s="73">
        <f t="shared" si="1"/>
        <v>55.764499999999998</v>
      </c>
      <c r="W38" s="74">
        <v>-17.5504</v>
      </c>
      <c r="X38" s="75">
        <v>2.4150999999999998</v>
      </c>
      <c r="Y38" s="72">
        <v>-23.076899999999998</v>
      </c>
      <c r="Z38" s="73">
        <f t="shared" si="2"/>
        <v>23.076899999999998</v>
      </c>
      <c r="AA38" s="74">
        <v>-6.9489999999999998</v>
      </c>
      <c r="AB38" s="75">
        <v>-0.55349999999999999</v>
      </c>
    </row>
    <row r="39" spans="2:28" x14ac:dyDescent="0.25">
      <c r="B39">
        <v>3</v>
      </c>
      <c r="C39">
        <v>672.40020000000004</v>
      </c>
      <c r="D39">
        <v>84.699700000000007</v>
      </c>
      <c r="E39">
        <v>-5.2202000000000002</v>
      </c>
      <c r="F39">
        <f t="shared" si="6"/>
        <v>470.68013999999999</v>
      </c>
      <c r="G39">
        <f t="shared" si="7"/>
        <v>59.289790000000004</v>
      </c>
      <c r="H39">
        <f t="shared" si="8"/>
        <v>-59.289790000000004</v>
      </c>
      <c r="Q39" s="72">
        <v>-88.174300000000002</v>
      </c>
      <c r="R39" s="73">
        <f t="shared" si="0"/>
        <v>88.174300000000002</v>
      </c>
      <c r="S39" s="74">
        <v>-22.682700000000001</v>
      </c>
      <c r="T39" s="75">
        <v>-1.1269</v>
      </c>
      <c r="U39" s="72">
        <v>-53.862400000000001</v>
      </c>
      <c r="V39" s="73">
        <f t="shared" si="1"/>
        <v>53.862400000000001</v>
      </c>
      <c r="W39" s="74">
        <v>-6.0101000000000004</v>
      </c>
      <c r="X39" s="75">
        <v>-0.32200000000000001</v>
      </c>
      <c r="Y39" s="72">
        <v>-20.9741</v>
      </c>
      <c r="Z39" s="73">
        <f t="shared" si="2"/>
        <v>20.9741</v>
      </c>
      <c r="AA39" s="74">
        <v>-13.7279</v>
      </c>
      <c r="AB39" s="75">
        <v>1.8876999999999999</v>
      </c>
    </row>
    <row r="40" spans="2:28" x14ac:dyDescent="0.25">
      <c r="B40">
        <v>4</v>
      </c>
      <c r="C40">
        <v>591.36019999999996</v>
      </c>
      <c r="D40">
        <v>108.48520000000001</v>
      </c>
      <c r="E40">
        <v>-6.8887</v>
      </c>
      <c r="F40">
        <f t="shared" si="6"/>
        <v>413.95213999999993</v>
      </c>
      <c r="G40">
        <f t="shared" si="7"/>
        <v>75.939639999999997</v>
      </c>
      <c r="H40">
        <f t="shared" si="8"/>
        <v>-75.939639999999997</v>
      </c>
      <c r="Q40" s="72">
        <v>-85.8369</v>
      </c>
      <c r="R40" s="73">
        <f t="shared" si="0"/>
        <v>85.8369</v>
      </c>
      <c r="S40" s="74">
        <v>-12.889699999999999</v>
      </c>
      <c r="T40" s="75">
        <v>-3.7012999999999998</v>
      </c>
      <c r="U40" s="72">
        <v>-51.9604</v>
      </c>
      <c r="V40" s="73">
        <f t="shared" si="1"/>
        <v>51.9604</v>
      </c>
      <c r="W40" s="74">
        <v>-28.179200000000002</v>
      </c>
      <c r="X40" s="75">
        <v>-5.7885</v>
      </c>
      <c r="Y40" s="72">
        <v>-18.871300000000002</v>
      </c>
      <c r="Z40" s="73">
        <f t="shared" si="2"/>
        <v>18.871300000000002</v>
      </c>
      <c r="AA40" s="74">
        <v>-23.169699999999999</v>
      </c>
      <c r="AB40" s="75">
        <v>1.7647999999999999</v>
      </c>
    </row>
    <row r="41" spans="2:28" x14ac:dyDescent="0.25">
      <c r="B41">
        <v>5</v>
      </c>
      <c r="C41">
        <v>493.77510000000001</v>
      </c>
      <c r="D41">
        <v>126.6266</v>
      </c>
      <c r="E41">
        <v>-6.9044999999999996</v>
      </c>
      <c r="F41">
        <f t="shared" si="6"/>
        <v>345.64256999999998</v>
      </c>
      <c r="G41">
        <f t="shared" si="7"/>
        <v>88.638619999999989</v>
      </c>
      <c r="H41">
        <f t="shared" si="8"/>
        <v>-88.638619999999989</v>
      </c>
      <c r="Q41" s="72">
        <v>-80.540400000000005</v>
      </c>
      <c r="R41" s="73">
        <f t="shared" si="0"/>
        <v>80.540400000000005</v>
      </c>
      <c r="S41" s="74">
        <v>40.6706</v>
      </c>
      <c r="T41" s="75">
        <v>4.3833000000000002</v>
      </c>
      <c r="U41" s="72">
        <v>-48.397500000000001</v>
      </c>
      <c r="V41" s="73">
        <f t="shared" si="1"/>
        <v>48.397500000000001</v>
      </c>
      <c r="W41" s="74">
        <v>12.1534</v>
      </c>
      <c r="X41" s="75">
        <v>5.6352000000000002</v>
      </c>
      <c r="Y41" s="72">
        <v>-18.5275</v>
      </c>
      <c r="Z41" s="73">
        <f t="shared" si="2"/>
        <v>18.5275</v>
      </c>
      <c r="AA41" s="74">
        <v>5.0960999999999999</v>
      </c>
      <c r="AB41" s="75">
        <v>3.1937000000000002</v>
      </c>
    </row>
    <row r="42" spans="2:28" x14ac:dyDescent="0.25">
      <c r="B42">
        <v>6</v>
      </c>
      <c r="C42">
        <v>343.71629999999999</v>
      </c>
      <c r="D42">
        <v>140.36019999999999</v>
      </c>
      <c r="E42">
        <v>0.86019999999999996</v>
      </c>
      <c r="F42">
        <f t="shared" si="6"/>
        <v>240.60140999999999</v>
      </c>
      <c r="G42">
        <f t="shared" si="7"/>
        <v>98.252139999999983</v>
      </c>
      <c r="H42">
        <f t="shared" si="8"/>
        <v>-98.252139999999983</v>
      </c>
      <c r="Q42" s="72">
        <v>-78.203000000000003</v>
      </c>
      <c r="R42" s="73">
        <f t="shared" si="0"/>
        <v>78.203000000000003</v>
      </c>
      <c r="S42" s="74">
        <v>15.8658</v>
      </c>
      <c r="T42" s="75">
        <v>0.24679999999999999</v>
      </c>
      <c r="U42" s="72">
        <v>-46.495399999999997</v>
      </c>
      <c r="V42" s="73">
        <f t="shared" si="1"/>
        <v>46.495399999999997</v>
      </c>
      <c r="W42" s="74">
        <v>4.4808000000000003</v>
      </c>
      <c r="X42" s="75">
        <v>0.2742</v>
      </c>
      <c r="Y42" s="72">
        <v>-16.424700000000001</v>
      </c>
      <c r="Z42" s="73">
        <f t="shared" si="2"/>
        <v>16.424700000000001</v>
      </c>
      <c r="AA42" s="74">
        <v>10.041</v>
      </c>
      <c r="AB42" s="75">
        <v>2.5558000000000001</v>
      </c>
    </row>
    <row r="43" spans="2:28" x14ac:dyDescent="0.25">
      <c r="B43">
        <v>7</v>
      </c>
      <c r="C43">
        <v>203.58240000000001</v>
      </c>
      <c r="D43">
        <v>136.7099</v>
      </c>
      <c r="E43">
        <v>7.6567999999999996</v>
      </c>
      <c r="F43">
        <f t="shared" si="6"/>
        <v>142.50767999999999</v>
      </c>
      <c r="G43">
        <f t="shared" si="7"/>
        <v>95.696929999999995</v>
      </c>
      <c r="H43">
        <f t="shared" si="8"/>
        <v>-95.696929999999995</v>
      </c>
      <c r="Q43" s="72">
        <v>-75.865499999999997</v>
      </c>
      <c r="R43" s="73">
        <f t="shared" si="0"/>
        <v>75.865499999999997</v>
      </c>
      <c r="S43" s="74">
        <v>9.6972000000000005</v>
      </c>
      <c r="T43" s="75">
        <v>-0.1321</v>
      </c>
      <c r="U43" s="72">
        <v>-44.593400000000003</v>
      </c>
      <c r="V43" s="73">
        <f t="shared" si="1"/>
        <v>44.593400000000003</v>
      </c>
      <c r="W43" s="74">
        <v>20.535699999999999</v>
      </c>
      <c r="X43" s="75">
        <v>-2.3807999999999998</v>
      </c>
      <c r="Y43" s="72">
        <v>-14.321999999999999</v>
      </c>
      <c r="Z43" s="73">
        <f t="shared" si="2"/>
        <v>14.321999999999999</v>
      </c>
      <c r="AA43" s="74">
        <v>17.980599999999999</v>
      </c>
      <c r="AB43" s="75">
        <v>5.2205000000000004</v>
      </c>
    </row>
    <row r="44" spans="2:28" x14ac:dyDescent="0.25">
      <c r="B44">
        <v>8</v>
      </c>
      <c r="C44">
        <v>94.127499999999998</v>
      </c>
      <c r="D44">
        <v>122.73099999999999</v>
      </c>
      <c r="E44">
        <v>8.1737000000000002</v>
      </c>
      <c r="F44">
        <f t="shared" si="6"/>
        <v>65.88924999999999</v>
      </c>
      <c r="G44">
        <f t="shared" si="7"/>
        <v>85.911699999999996</v>
      </c>
      <c r="H44">
        <f t="shared" si="8"/>
        <v>-85.911699999999996</v>
      </c>
      <c r="Q44" s="72">
        <v>-89.880099999999999</v>
      </c>
      <c r="R44" s="73">
        <f t="shared" si="0"/>
        <v>89.880099999999999</v>
      </c>
      <c r="S44" s="74">
        <v>-40.7209</v>
      </c>
      <c r="T44" s="75">
        <v>-2.2023000000000001</v>
      </c>
      <c r="U44" s="72">
        <v>-55.202800000000003</v>
      </c>
      <c r="V44" s="73">
        <f t="shared" si="1"/>
        <v>55.202800000000003</v>
      </c>
      <c r="W44" s="74">
        <v>-12.4148</v>
      </c>
      <c r="X44" s="75">
        <v>2.3325999999999998</v>
      </c>
      <c r="Y44" s="72">
        <v>-22.507899999999999</v>
      </c>
      <c r="Z44" s="73">
        <f t="shared" si="2"/>
        <v>22.507899999999999</v>
      </c>
      <c r="AA44" s="74">
        <v>-5.7891000000000004</v>
      </c>
      <c r="AB44" s="75">
        <v>-1.081</v>
      </c>
    </row>
    <row r="45" spans="2:28" x14ac:dyDescent="0.25">
      <c r="B45">
        <v>9</v>
      </c>
      <c r="C45">
        <v>-7.6009000000000002</v>
      </c>
      <c r="D45">
        <v>95.156700000000001</v>
      </c>
      <c r="E45">
        <v>7.3235999999999999</v>
      </c>
      <c r="F45">
        <f t="shared" si="6"/>
        <v>-5.3206299999999995</v>
      </c>
      <c r="G45">
        <f t="shared" si="7"/>
        <v>66.609690000000001</v>
      </c>
      <c r="H45">
        <f t="shared" si="8"/>
        <v>-66.609690000000001</v>
      </c>
      <c r="Q45" s="72">
        <v>-87.542699999999996</v>
      </c>
      <c r="R45" s="73">
        <f t="shared" si="0"/>
        <v>87.542699999999996</v>
      </c>
      <c r="S45" s="74">
        <v>-15.852399999999999</v>
      </c>
      <c r="T45" s="75">
        <v>-1.1742999999999999</v>
      </c>
      <c r="U45" s="72">
        <v>-53.300699999999999</v>
      </c>
      <c r="V45" s="73">
        <f t="shared" si="1"/>
        <v>53.300699999999999</v>
      </c>
      <c r="W45" s="74">
        <v>-4.4661</v>
      </c>
      <c r="X45" s="75">
        <v>-0.38159999999999999</v>
      </c>
      <c r="Y45" s="72">
        <v>-20.405100000000001</v>
      </c>
      <c r="Z45" s="73">
        <f t="shared" si="2"/>
        <v>20.405100000000001</v>
      </c>
      <c r="AA45" s="74">
        <v>-9.4846000000000004</v>
      </c>
      <c r="AB45" s="75">
        <v>1.8297000000000001</v>
      </c>
    </row>
    <row r="46" spans="2:28" x14ac:dyDescent="0.25">
      <c r="B46">
        <v>10</v>
      </c>
      <c r="C46">
        <v>-96.99</v>
      </c>
      <c r="D46">
        <v>55.957799999999999</v>
      </c>
      <c r="E46">
        <v>4.6795</v>
      </c>
      <c r="F46">
        <f t="shared" si="6"/>
        <v>-67.892999999999986</v>
      </c>
      <c r="G46">
        <f t="shared" si="7"/>
        <v>39.170459999999999</v>
      </c>
      <c r="H46">
        <f t="shared" si="8"/>
        <v>-39.170459999999999</v>
      </c>
      <c r="Q46" s="72">
        <v>-85.205200000000005</v>
      </c>
      <c r="R46" s="73">
        <f t="shared" si="0"/>
        <v>85.205200000000005</v>
      </c>
      <c r="S46" s="74">
        <v>-9.6199999999999992</v>
      </c>
      <c r="T46" s="75">
        <v>-3.9039000000000001</v>
      </c>
      <c r="U46" s="72">
        <v>-51.398600000000002</v>
      </c>
      <c r="V46" s="73">
        <f t="shared" si="1"/>
        <v>51.398600000000002</v>
      </c>
      <c r="W46" s="74">
        <v>-20.244900000000001</v>
      </c>
      <c r="X46" s="75">
        <v>-5.8015999999999996</v>
      </c>
      <c r="Y46" s="72">
        <v>-18.302299999999999</v>
      </c>
      <c r="Z46" s="73">
        <f t="shared" si="2"/>
        <v>18.302299999999999</v>
      </c>
      <c r="AA46" s="74">
        <v>-16.174800000000001</v>
      </c>
      <c r="AB46" s="75">
        <v>1.4377</v>
      </c>
    </row>
    <row r="47" spans="2:28" x14ac:dyDescent="0.25">
      <c r="B47">
        <v>11</v>
      </c>
      <c r="C47">
        <v>-193.2</v>
      </c>
      <c r="D47">
        <v>0</v>
      </c>
      <c r="E47">
        <v>1.7232000000000001</v>
      </c>
      <c r="F47">
        <f t="shared" si="6"/>
        <v>-135.23999999999998</v>
      </c>
      <c r="G47">
        <f t="shared" si="7"/>
        <v>0</v>
      </c>
      <c r="H47">
        <f t="shared" si="8"/>
        <v>0</v>
      </c>
      <c r="Q47" s="72">
        <v>-80.540400000000005</v>
      </c>
      <c r="R47" s="73">
        <f t="shared" si="0"/>
        <v>80.540400000000005</v>
      </c>
      <c r="S47" s="74">
        <v>40.6706</v>
      </c>
      <c r="T47" s="75">
        <v>4.3833000000000002</v>
      </c>
      <c r="U47" s="72">
        <v>-48.397500000000001</v>
      </c>
      <c r="V47" s="73">
        <f t="shared" si="1"/>
        <v>48.397500000000001</v>
      </c>
      <c r="W47" s="74">
        <v>12.1534</v>
      </c>
      <c r="X47" s="75">
        <v>5.6352000000000002</v>
      </c>
      <c r="Y47" s="72">
        <v>-18.5275</v>
      </c>
      <c r="Z47" s="73">
        <f t="shared" si="2"/>
        <v>18.5275</v>
      </c>
      <c r="AA47" s="74">
        <v>5.0960999999999999</v>
      </c>
      <c r="AB47" s="75">
        <v>3.1937000000000002</v>
      </c>
    </row>
    <row r="48" spans="2:28" x14ac:dyDescent="0.25">
      <c r="Q48" s="72">
        <v>-78.203000000000003</v>
      </c>
      <c r="R48" s="73">
        <f t="shared" si="0"/>
        <v>78.203000000000003</v>
      </c>
      <c r="S48" s="74">
        <v>15.8658</v>
      </c>
      <c r="T48" s="75">
        <v>0.24679999999999999</v>
      </c>
      <c r="U48" s="72">
        <v>-46.495399999999997</v>
      </c>
      <c r="V48" s="73">
        <f t="shared" si="1"/>
        <v>46.495399999999997</v>
      </c>
      <c r="W48" s="74">
        <v>4.4808000000000003</v>
      </c>
      <c r="X48" s="75">
        <v>0.2742</v>
      </c>
      <c r="Y48" s="72">
        <v>-16.424700000000001</v>
      </c>
      <c r="Z48" s="73">
        <f t="shared" si="2"/>
        <v>16.424700000000001</v>
      </c>
      <c r="AA48" s="74">
        <v>10.041</v>
      </c>
      <c r="AB48" s="75">
        <v>2.5558000000000001</v>
      </c>
    </row>
    <row r="49" spans="2:28" x14ac:dyDescent="0.25">
      <c r="Q49" s="72">
        <v>-75.865499999999997</v>
      </c>
      <c r="R49" s="73">
        <f t="shared" si="0"/>
        <v>75.865499999999997</v>
      </c>
      <c r="S49" s="74">
        <v>9.6972000000000005</v>
      </c>
      <c r="T49" s="75">
        <v>-0.1321</v>
      </c>
      <c r="U49" s="72">
        <v>-44.593400000000003</v>
      </c>
      <c r="V49" s="73">
        <f t="shared" si="1"/>
        <v>44.593400000000003</v>
      </c>
      <c r="W49" s="74">
        <v>20.535699999999999</v>
      </c>
      <c r="X49" s="75">
        <v>-2.3807999999999998</v>
      </c>
      <c r="Y49" s="72">
        <v>-14.321999999999999</v>
      </c>
      <c r="Z49" s="73">
        <f t="shared" si="2"/>
        <v>14.321999999999999</v>
      </c>
      <c r="AA49" s="74">
        <v>17.980599999999999</v>
      </c>
      <c r="AB49" s="75">
        <v>5.2205000000000004</v>
      </c>
    </row>
    <row r="50" spans="2:28" x14ac:dyDescent="0.25">
      <c r="Q50" s="72">
        <v>-89.880099999999999</v>
      </c>
      <c r="R50" s="73">
        <f t="shared" si="0"/>
        <v>89.880099999999999</v>
      </c>
      <c r="S50" s="74">
        <v>-40.7209</v>
      </c>
      <c r="T50" s="75">
        <v>-2.2023000000000001</v>
      </c>
      <c r="U50" s="72">
        <v>-55.202800000000003</v>
      </c>
      <c r="V50" s="73">
        <f t="shared" si="1"/>
        <v>55.202800000000003</v>
      </c>
      <c r="W50" s="74">
        <v>-12.4148</v>
      </c>
      <c r="X50" s="75">
        <v>2.3325999999999998</v>
      </c>
      <c r="Y50" s="72">
        <v>-22.507899999999999</v>
      </c>
      <c r="Z50" s="73">
        <f t="shared" si="2"/>
        <v>22.507899999999999</v>
      </c>
      <c r="AA50" s="74">
        <v>-5.7891000000000004</v>
      </c>
      <c r="AB50" s="75">
        <v>-1.081</v>
      </c>
    </row>
    <row r="51" spans="2:28" x14ac:dyDescent="0.25">
      <c r="B51" s="80" t="s">
        <v>270</v>
      </c>
      <c r="C51" s="81"/>
      <c r="D51" s="81"/>
      <c r="Q51" s="72">
        <v>-87.542699999999996</v>
      </c>
      <c r="R51" s="73">
        <f t="shared" si="0"/>
        <v>87.542699999999996</v>
      </c>
      <c r="S51" s="74">
        <v>-15.852399999999999</v>
      </c>
      <c r="T51" s="75">
        <v>-1.1742999999999999</v>
      </c>
      <c r="U51" s="72">
        <v>-53.300699999999999</v>
      </c>
      <c r="V51" s="73">
        <f t="shared" si="1"/>
        <v>53.300699999999999</v>
      </c>
      <c r="W51" s="74">
        <v>-4.4661</v>
      </c>
      <c r="X51" s="75">
        <v>-0.38159999999999999</v>
      </c>
      <c r="Y51" s="72">
        <v>-20.405100000000001</v>
      </c>
      <c r="Z51" s="73">
        <f t="shared" si="2"/>
        <v>20.405100000000001</v>
      </c>
      <c r="AA51" s="74">
        <v>-9.4846000000000004</v>
      </c>
      <c r="AB51" s="75">
        <v>1.8297000000000001</v>
      </c>
    </row>
    <row r="52" spans="2:28" x14ac:dyDescent="0.25">
      <c r="Q52" s="72">
        <v>-85.205200000000005</v>
      </c>
      <c r="R52" s="73">
        <f t="shared" si="0"/>
        <v>85.205200000000005</v>
      </c>
      <c r="S52" s="74">
        <v>-9.6199999999999992</v>
      </c>
      <c r="T52" s="75">
        <v>-3.9039000000000001</v>
      </c>
      <c r="U52" s="72">
        <v>-51.398600000000002</v>
      </c>
      <c r="V52" s="73">
        <f t="shared" si="1"/>
        <v>51.398600000000002</v>
      </c>
      <c r="W52" s="74">
        <v>-20.244900000000001</v>
      </c>
      <c r="X52" s="75">
        <v>-5.8015999999999996</v>
      </c>
      <c r="Y52" s="72">
        <v>-18.302299999999999</v>
      </c>
      <c r="Z52" s="73">
        <f t="shared" si="2"/>
        <v>18.302299999999999</v>
      </c>
      <c r="AA52" s="74">
        <v>-16.174800000000001</v>
      </c>
      <c r="AB52" s="75">
        <v>1.4377</v>
      </c>
    </row>
    <row r="53" spans="2:28" x14ac:dyDescent="0.25">
      <c r="Q53" s="72">
        <v>-70.851500000000001</v>
      </c>
      <c r="R53" s="73">
        <f t="shared" si="0"/>
        <v>70.851500000000001</v>
      </c>
      <c r="S53" s="74">
        <v>57.642200000000003</v>
      </c>
      <c r="T53" s="75">
        <v>4.7320000000000002</v>
      </c>
      <c r="U53" s="72">
        <v>-43.4621</v>
      </c>
      <c r="V53" s="73">
        <f t="shared" si="1"/>
        <v>43.4621</v>
      </c>
      <c r="W53" s="74">
        <v>17.3276</v>
      </c>
      <c r="X53" s="75">
        <v>7.9802999999999997</v>
      </c>
      <c r="Y53" s="72">
        <v>-18.187899999999999</v>
      </c>
      <c r="Z53" s="73">
        <f t="shared" si="2"/>
        <v>18.187899999999999</v>
      </c>
      <c r="AA53" s="74">
        <v>6.2557</v>
      </c>
      <c r="AB53" s="75">
        <v>3.8959000000000001</v>
      </c>
    </row>
    <row r="54" spans="2:28" x14ac:dyDescent="0.25">
      <c r="Q54" s="72">
        <v>-68.513999999999996</v>
      </c>
      <c r="R54" s="73">
        <f t="shared" si="0"/>
        <v>68.513999999999996</v>
      </c>
      <c r="S54" s="74">
        <v>22.716799999999999</v>
      </c>
      <c r="T54" s="75">
        <v>-0.16739999999999999</v>
      </c>
      <c r="U54" s="72">
        <v>-41.56</v>
      </c>
      <c r="V54" s="73">
        <f t="shared" si="1"/>
        <v>41.56</v>
      </c>
      <c r="W54" s="74">
        <v>6.0220000000000002</v>
      </c>
      <c r="X54" s="75">
        <v>0.20899999999999999</v>
      </c>
      <c r="Y54" s="72">
        <v>-16.0852</v>
      </c>
      <c r="Z54" s="73">
        <f t="shared" si="2"/>
        <v>16.0852</v>
      </c>
      <c r="AA54" s="74">
        <v>14.239699999999999</v>
      </c>
      <c r="AB54" s="75">
        <v>2.9899</v>
      </c>
    </row>
    <row r="55" spans="2:28" x14ac:dyDescent="0.25">
      <c r="Q55" s="72">
        <v>-66.176500000000004</v>
      </c>
      <c r="R55" s="73">
        <f t="shared" si="0"/>
        <v>66.176500000000004</v>
      </c>
      <c r="S55" s="74">
        <v>12.9673</v>
      </c>
      <c r="T55" s="75">
        <v>-1.7179</v>
      </c>
      <c r="U55" s="72">
        <v>-39.658000000000001</v>
      </c>
      <c r="V55" s="73">
        <f t="shared" si="1"/>
        <v>39.658000000000001</v>
      </c>
      <c r="W55" s="74">
        <v>28.425599999999999</v>
      </c>
      <c r="X55" s="75">
        <v>-4.8329000000000004</v>
      </c>
      <c r="Y55" s="72">
        <v>-13.9824</v>
      </c>
      <c r="Z55" s="73">
        <f t="shared" si="2"/>
        <v>13.9824</v>
      </c>
      <c r="AA55" s="74">
        <v>24.886800000000001</v>
      </c>
      <c r="AB55" s="75">
        <v>4.6479999999999997</v>
      </c>
    </row>
    <row r="56" spans="2:28" x14ac:dyDescent="0.25">
      <c r="Q56" s="72">
        <v>-81.454599999999999</v>
      </c>
      <c r="R56" s="73">
        <f t="shared" si="0"/>
        <v>81.454599999999999</v>
      </c>
      <c r="S56" s="74">
        <v>-57.610399999999998</v>
      </c>
      <c r="T56" s="75">
        <v>-1.2519</v>
      </c>
      <c r="U56" s="72">
        <v>-51.390799999999999</v>
      </c>
      <c r="V56" s="73">
        <f t="shared" si="1"/>
        <v>51.390799999999999</v>
      </c>
      <c r="W56" s="74">
        <v>-17.511800000000001</v>
      </c>
      <c r="X56" s="75">
        <v>4.8426999999999998</v>
      </c>
      <c r="Y56" s="72">
        <v>-23.3063</v>
      </c>
      <c r="Z56" s="73">
        <f t="shared" si="2"/>
        <v>23.3063</v>
      </c>
      <c r="AA56" s="74">
        <v>-6.9493999999999998</v>
      </c>
      <c r="AB56" s="75">
        <v>0.67620000000000002</v>
      </c>
    </row>
    <row r="57" spans="2:28" x14ac:dyDescent="0.25">
      <c r="Q57" s="72">
        <v>-79.117099999999994</v>
      </c>
      <c r="R57" s="73">
        <f t="shared" si="0"/>
        <v>79.117099999999994</v>
      </c>
      <c r="S57" s="74">
        <v>-22.661899999999999</v>
      </c>
      <c r="T57" s="75">
        <v>-1.4938</v>
      </c>
      <c r="U57" s="72">
        <v>-49.488799999999998</v>
      </c>
      <c r="V57" s="73">
        <f t="shared" si="1"/>
        <v>49.488799999999998</v>
      </c>
      <c r="W57" s="74">
        <v>-6.0129999999999999</v>
      </c>
      <c r="X57" s="75">
        <v>-0.32769999999999999</v>
      </c>
      <c r="Y57" s="72">
        <v>-21.203499999999998</v>
      </c>
      <c r="Z57" s="73">
        <f t="shared" si="2"/>
        <v>21.203499999999998</v>
      </c>
      <c r="AA57" s="74">
        <v>-13.772399999999999</v>
      </c>
      <c r="AB57" s="75">
        <v>2.3797999999999999</v>
      </c>
    </row>
    <row r="58" spans="2:28" x14ac:dyDescent="0.25">
      <c r="Q58" s="72">
        <v>-76.779600000000002</v>
      </c>
      <c r="R58" s="73">
        <f t="shared" si="0"/>
        <v>76.779600000000002</v>
      </c>
      <c r="S58" s="74">
        <v>-12.8893</v>
      </c>
      <c r="T58" s="75">
        <v>-5.0845000000000002</v>
      </c>
      <c r="U58" s="72">
        <v>-47.5867</v>
      </c>
      <c r="V58" s="73">
        <f t="shared" si="1"/>
        <v>47.5867</v>
      </c>
      <c r="W58" s="74">
        <v>-28.223400000000002</v>
      </c>
      <c r="X58" s="75">
        <v>-8.2274999999999991</v>
      </c>
      <c r="Y58" s="72">
        <v>-19.1007</v>
      </c>
      <c r="Z58" s="73">
        <f t="shared" si="2"/>
        <v>19.1007</v>
      </c>
      <c r="AA58" s="74">
        <v>-23.258400000000002</v>
      </c>
      <c r="AB58" s="75">
        <v>1.5193000000000001</v>
      </c>
    </row>
    <row r="59" spans="2:28" x14ac:dyDescent="0.25">
      <c r="Q59" s="72">
        <v>-70.851500000000001</v>
      </c>
      <c r="R59" s="73">
        <f t="shared" si="0"/>
        <v>70.851500000000001</v>
      </c>
      <c r="S59" s="74">
        <v>57.642200000000003</v>
      </c>
      <c r="T59" s="75">
        <v>4.7320000000000002</v>
      </c>
      <c r="U59" s="72">
        <v>-43.4621</v>
      </c>
      <c r="V59" s="73">
        <f t="shared" si="1"/>
        <v>43.4621</v>
      </c>
      <c r="W59" s="74">
        <v>17.3276</v>
      </c>
      <c r="X59" s="75">
        <v>7.9802999999999997</v>
      </c>
      <c r="Y59" s="72">
        <v>-18.187899999999999</v>
      </c>
      <c r="Z59" s="73">
        <f t="shared" si="2"/>
        <v>18.187899999999999</v>
      </c>
      <c r="AA59" s="74">
        <v>6.2557</v>
      </c>
      <c r="AB59" s="75">
        <v>3.8959000000000001</v>
      </c>
    </row>
    <row r="60" spans="2:28" x14ac:dyDescent="0.25">
      <c r="Q60" s="72">
        <v>-68.513999999999996</v>
      </c>
      <c r="R60" s="73">
        <f t="shared" si="0"/>
        <v>68.513999999999996</v>
      </c>
      <c r="S60" s="74">
        <v>22.716799999999999</v>
      </c>
      <c r="T60" s="75">
        <v>-0.16739999999999999</v>
      </c>
      <c r="U60" s="72">
        <v>-41.56</v>
      </c>
      <c r="V60" s="73">
        <f t="shared" si="1"/>
        <v>41.56</v>
      </c>
      <c r="W60" s="74">
        <v>6.0220000000000002</v>
      </c>
      <c r="X60" s="75">
        <v>0.20899999999999999</v>
      </c>
      <c r="Y60" s="72">
        <v>-16.0852</v>
      </c>
      <c r="Z60" s="73">
        <f t="shared" si="2"/>
        <v>16.0852</v>
      </c>
      <c r="AA60" s="74">
        <v>14.239699999999999</v>
      </c>
      <c r="AB60" s="75">
        <v>2.9899</v>
      </c>
    </row>
    <row r="61" spans="2:28" x14ac:dyDescent="0.25">
      <c r="Q61" s="72">
        <v>-66.176500000000004</v>
      </c>
      <c r="R61" s="73">
        <f t="shared" si="0"/>
        <v>66.176500000000004</v>
      </c>
      <c r="S61" s="74">
        <v>12.9673</v>
      </c>
      <c r="T61" s="75">
        <v>-1.7179</v>
      </c>
      <c r="U61" s="72">
        <v>-39.658000000000001</v>
      </c>
      <c r="V61" s="73">
        <f t="shared" si="1"/>
        <v>39.658000000000001</v>
      </c>
      <c r="W61" s="74">
        <v>28.425599999999999</v>
      </c>
      <c r="X61" s="75">
        <v>-4.8329000000000004</v>
      </c>
      <c r="Y61" s="72">
        <v>-13.9824</v>
      </c>
      <c r="Z61" s="73">
        <f t="shared" si="2"/>
        <v>13.9824</v>
      </c>
      <c r="AA61" s="74">
        <v>24.886800000000001</v>
      </c>
      <c r="AB61" s="75">
        <v>4.6479999999999997</v>
      </c>
    </row>
    <row r="62" spans="2:28" x14ac:dyDescent="0.25">
      <c r="Q62" s="72">
        <v>-81.454599999999999</v>
      </c>
      <c r="R62" s="73">
        <f t="shared" si="0"/>
        <v>81.454599999999999</v>
      </c>
      <c r="S62" s="74">
        <v>-57.610399999999998</v>
      </c>
      <c r="T62" s="75">
        <v>-1.2519</v>
      </c>
      <c r="U62" s="72">
        <v>-51.390799999999999</v>
      </c>
      <c r="V62" s="73">
        <f t="shared" si="1"/>
        <v>51.390799999999999</v>
      </c>
      <c r="W62" s="74">
        <v>-17.511800000000001</v>
      </c>
      <c r="X62" s="75">
        <v>4.8426999999999998</v>
      </c>
      <c r="Y62" s="72">
        <v>-23.3063</v>
      </c>
      <c r="Z62" s="73">
        <f t="shared" si="2"/>
        <v>23.3063</v>
      </c>
      <c r="AA62" s="74">
        <v>-6.9493999999999998</v>
      </c>
      <c r="AB62" s="75">
        <v>0.67620000000000002</v>
      </c>
    </row>
    <row r="63" spans="2:28" x14ac:dyDescent="0.25">
      <c r="Q63" s="72">
        <v>-79.117099999999994</v>
      </c>
      <c r="R63" s="73">
        <f t="shared" si="0"/>
        <v>79.117099999999994</v>
      </c>
      <c r="S63" s="74">
        <v>-22.661899999999999</v>
      </c>
      <c r="T63" s="75">
        <v>-1.4938</v>
      </c>
      <c r="U63" s="72">
        <v>-49.488799999999998</v>
      </c>
      <c r="V63" s="73">
        <f t="shared" si="1"/>
        <v>49.488799999999998</v>
      </c>
      <c r="W63" s="74">
        <v>-6.0129999999999999</v>
      </c>
      <c r="X63" s="75">
        <v>-0.32769999999999999</v>
      </c>
      <c r="Y63" s="72">
        <v>-21.203499999999998</v>
      </c>
      <c r="Z63" s="73">
        <f t="shared" si="2"/>
        <v>21.203499999999998</v>
      </c>
      <c r="AA63" s="74">
        <v>-13.772399999999999</v>
      </c>
      <c r="AB63" s="75">
        <v>2.3797999999999999</v>
      </c>
    </row>
    <row r="64" spans="2:28" x14ac:dyDescent="0.25">
      <c r="Q64" s="72">
        <v>-76.779600000000002</v>
      </c>
      <c r="R64" s="73">
        <f t="shared" si="0"/>
        <v>76.779600000000002</v>
      </c>
      <c r="S64" s="74">
        <v>-12.8893</v>
      </c>
      <c r="T64" s="75">
        <v>-5.0845000000000002</v>
      </c>
      <c r="U64" s="72">
        <v>-47.5867</v>
      </c>
      <c r="V64" s="73">
        <f t="shared" si="1"/>
        <v>47.5867</v>
      </c>
      <c r="W64" s="74">
        <v>-28.223400000000002</v>
      </c>
      <c r="X64" s="75">
        <v>-8.2274999999999991</v>
      </c>
      <c r="Y64" s="72">
        <v>-19.1007</v>
      </c>
      <c r="Z64" s="73">
        <f t="shared" si="2"/>
        <v>19.1007</v>
      </c>
      <c r="AA64" s="74">
        <v>-23.258400000000002</v>
      </c>
      <c r="AB64" s="75">
        <v>1.5193000000000001</v>
      </c>
    </row>
    <row r="65" spans="2:28" x14ac:dyDescent="0.25">
      <c r="Q65" s="72">
        <v>-71.483199999999997</v>
      </c>
      <c r="R65" s="73">
        <f t="shared" si="0"/>
        <v>71.483199999999997</v>
      </c>
      <c r="S65" s="74">
        <v>40.7117</v>
      </c>
      <c r="T65" s="75">
        <v>5.0327999999999999</v>
      </c>
      <c r="U65" s="72">
        <v>-44.023800000000001</v>
      </c>
      <c r="V65" s="73">
        <f t="shared" si="1"/>
        <v>44.023800000000001</v>
      </c>
      <c r="W65" s="74">
        <v>12.192</v>
      </c>
      <c r="X65" s="75">
        <v>8.0627999999999993</v>
      </c>
      <c r="Y65" s="72">
        <v>-18.756900000000002</v>
      </c>
      <c r="Z65" s="73">
        <f t="shared" si="2"/>
        <v>18.756900000000002</v>
      </c>
      <c r="AA65" s="74">
        <v>5.0956999999999999</v>
      </c>
      <c r="AB65" s="75">
        <v>4.4234</v>
      </c>
    </row>
    <row r="66" spans="2:28" x14ac:dyDescent="0.25">
      <c r="Q66" s="72">
        <v>-69.145700000000005</v>
      </c>
      <c r="R66" s="73">
        <f t="shared" si="0"/>
        <v>69.145700000000005</v>
      </c>
      <c r="S66" s="74">
        <v>15.8866</v>
      </c>
      <c r="T66" s="75">
        <v>-0.1201</v>
      </c>
      <c r="U66" s="72">
        <v>-42.1218</v>
      </c>
      <c r="V66" s="73">
        <f t="shared" si="1"/>
        <v>42.1218</v>
      </c>
      <c r="W66" s="74">
        <v>4.4779</v>
      </c>
      <c r="X66" s="75">
        <v>0.26860000000000001</v>
      </c>
      <c r="Y66" s="72">
        <v>-16.6541</v>
      </c>
      <c r="Z66" s="73">
        <f t="shared" si="2"/>
        <v>16.6541</v>
      </c>
      <c r="AA66" s="74">
        <v>9.9963999999999995</v>
      </c>
      <c r="AB66" s="75">
        <v>3.0478999999999998</v>
      </c>
    </row>
    <row r="67" spans="2:28" x14ac:dyDescent="0.25">
      <c r="Q67" s="72">
        <v>-66.808199999999999</v>
      </c>
      <c r="R67" s="73">
        <f t="shared" si="0"/>
        <v>66.808199999999999</v>
      </c>
      <c r="S67" s="74">
        <v>9.6975999999999996</v>
      </c>
      <c r="T67" s="75">
        <v>-1.5153000000000001</v>
      </c>
      <c r="U67" s="72">
        <v>-40.219700000000003</v>
      </c>
      <c r="V67" s="73">
        <f t="shared" si="1"/>
        <v>40.219700000000003</v>
      </c>
      <c r="W67" s="74">
        <v>20.491399999999999</v>
      </c>
      <c r="X67" s="75">
        <v>-4.8197999999999999</v>
      </c>
      <c r="Y67" s="72">
        <v>-14.551399999999999</v>
      </c>
      <c r="Z67" s="73">
        <f t="shared" si="2"/>
        <v>14.551399999999999</v>
      </c>
      <c r="AA67" s="74">
        <v>17.8919</v>
      </c>
      <c r="AB67" s="75">
        <v>4.9749999999999996</v>
      </c>
    </row>
    <row r="68" spans="2:28" x14ac:dyDescent="0.25">
      <c r="Q68" s="72">
        <v>-80.822900000000004</v>
      </c>
      <c r="R68" s="73">
        <f t="shared" si="0"/>
        <v>80.822900000000004</v>
      </c>
      <c r="S68" s="74">
        <v>-40.679900000000004</v>
      </c>
      <c r="T68" s="75">
        <v>-1.5528</v>
      </c>
      <c r="U68" s="72">
        <v>-50.829099999999997</v>
      </c>
      <c r="V68" s="73">
        <f t="shared" si="1"/>
        <v>50.829099999999997</v>
      </c>
      <c r="W68" s="74">
        <v>-12.376200000000001</v>
      </c>
      <c r="X68" s="75">
        <v>4.7602000000000002</v>
      </c>
      <c r="Y68" s="72">
        <v>-22.737300000000001</v>
      </c>
      <c r="Z68" s="73">
        <f t="shared" si="2"/>
        <v>22.737300000000001</v>
      </c>
      <c r="AA68" s="74">
        <v>-5.7893999999999997</v>
      </c>
      <c r="AB68" s="75">
        <v>0.1487</v>
      </c>
    </row>
    <row r="69" spans="2:28" x14ac:dyDescent="0.25">
      <c r="Q69" s="72">
        <v>-78.485399999999998</v>
      </c>
      <c r="R69" s="73">
        <f t="shared" si="0"/>
        <v>78.485399999999998</v>
      </c>
      <c r="S69" s="74">
        <v>-15.8317</v>
      </c>
      <c r="T69" s="75">
        <v>-1.5410999999999999</v>
      </c>
      <c r="U69" s="72">
        <v>-48.927</v>
      </c>
      <c r="V69" s="73">
        <f t="shared" si="1"/>
        <v>48.927</v>
      </c>
      <c r="W69" s="74">
        <v>-4.4688999999999997</v>
      </c>
      <c r="X69" s="75">
        <v>-0.38719999999999999</v>
      </c>
      <c r="Y69" s="72">
        <v>-20.634499999999999</v>
      </c>
      <c r="Z69" s="73">
        <f t="shared" si="2"/>
        <v>20.634499999999999</v>
      </c>
      <c r="AA69" s="74">
        <v>-9.5290999999999997</v>
      </c>
      <c r="AB69" s="75">
        <v>2.3218000000000001</v>
      </c>
    </row>
    <row r="70" spans="2:28" x14ac:dyDescent="0.25">
      <c r="B70" s="47" t="s">
        <v>272</v>
      </c>
      <c r="C70" s="47"/>
      <c r="D70" s="18" t="s">
        <v>273</v>
      </c>
      <c r="F70" t="s">
        <v>318</v>
      </c>
      <c r="H70">
        <v>2.82</v>
      </c>
      <c r="I70" t="s">
        <v>25</v>
      </c>
      <c r="Q70" s="72">
        <v>-76.147900000000007</v>
      </c>
      <c r="R70" s="73">
        <f t="shared" si="0"/>
        <v>76.147900000000007</v>
      </c>
      <c r="S70" s="74">
        <v>-9.6196000000000002</v>
      </c>
      <c r="T70" s="75">
        <v>-5.2870999999999997</v>
      </c>
      <c r="U70" s="72">
        <v>-47.024999999999999</v>
      </c>
      <c r="V70" s="73">
        <f t="shared" si="1"/>
        <v>47.024999999999999</v>
      </c>
      <c r="W70" s="74">
        <v>-20.289200000000001</v>
      </c>
      <c r="X70" s="75">
        <v>-8.2406000000000006</v>
      </c>
      <c r="Y70" s="72">
        <v>-18.531700000000001</v>
      </c>
      <c r="Z70" s="73">
        <f t="shared" si="2"/>
        <v>18.531700000000001</v>
      </c>
      <c r="AA70" s="74">
        <v>-16.2636</v>
      </c>
      <c r="AB70" s="75">
        <v>1.1921999999999999</v>
      </c>
    </row>
    <row r="71" spans="2:28" x14ac:dyDescent="0.25">
      <c r="B71" s="51" t="s">
        <v>277</v>
      </c>
      <c r="C71" s="51"/>
      <c r="D71" s="19" t="s">
        <v>274</v>
      </c>
      <c r="Q71" s="72">
        <v>-71.483199999999997</v>
      </c>
      <c r="R71" s="73">
        <f t="shared" si="0"/>
        <v>71.483199999999997</v>
      </c>
      <c r="S71" s="74">
        <v>40.7117</v>
      </c>
      <c r="T71" s="75">
        <v>5.0327999999999999</v>
      </c>
      <c r="U71" s="72">
        <v>-44.023800000000001</v>
      </c>
      <c r="V71" s="73">
        <f t="shared" si="1"/>
        <v>44.023800000000001</v>
      </c>
      <c r="W71" s="74">
        <v>12.192</v>
      </c>
      <c r="X71" s="75">
        <v>8.0627999999999993</v>
      </c>
      <c r="Y71" s="72">
        <v>-18.756900000000002</v>
      </c>
      <c r="Z71" s="73">
        <f t="shared" si="2"/>
        <v>18.756900000000002</v>
      </c>
      <c r="AA71" s="74">
        <v>5.0956999999999999</v>
      </c>
      <c r="AB71" s="75">
        <v>4.4234</v>
      </c>
    </row>
    <row r="72" spans="2:28" x14ac:dyDescent="0.25">
      <c r="B72" s="61" t="s">
        <v>278</v>
      </c>
      <c r="C72" s="61"/>
      <c r="D72" s="62" t="s">
        <v>275</v>
      </c>
      <c r="Q72" s="72">
        <v>-69.145700000000005</v>
      </c>
      <c r="R72" s="73">
        <f t="shared" si="0"/>
        <v>69.145700000000005</v>
      </c>
      <c r="S72" s="74">
        <v>15.8866</v>
      </c>
      <c r="T72" s="75">
        <v>-0.1201</v>
      </c>
      <c r="U72" s="72">
        <v>-42.1218</v>
      </c>
      <c r="V72" s="73">
        <f t="shared" si="1"/>
        <v>42.1218</v>
      </c>
      <c r="W72" s="74">
        <v>4.4779</v>
      </c>
      <c r="X72" s="75">
        <v>0.26860000000000001</v>
      </c>
      <c r="Y72" s="72">
        <v>-16.6541</v>
      </c>
      <c r="Z72" s="73">
        <f t="shared" si="2"/>
        <v>16.6541</v>
      </c>
      <c r="AA72" s="74">
        <v>9.9963999999999995</v>
      </c>
      <c r="AB72" s="75">
        <v>3.0478999999999998</v>
      </c>
    </row>
    <row r="73" spans="2:28" x14ac:dyDescent="0.25">
      <c r="B73" s="51" t="s">
        <v>279</v>
      </c>
      <c r="C73" s="51"/>
      <c r="D73" s="19" t="s">
        <v>276</v>
      </c>
      <c r="Q73" s="72">
        <v>-66.808199999999999</v>
      </c>
      <c r="R73" s="73">
        <f t="shared" si="0"/>
        <v>66.808199999999999</v>
      </c>
      <c r="S73" s="74">
        <v>9.6975999999999996</v>
      </c>
      <c r="T73" s="75">
        <v>-1.5153000000000001</v>
      </c>
      <c r="U73" s="72">
        <v>-40.219700000000003</v>
      </c>
      <c r="V73" s="73">
        <f t="shared" si="1"/>
        <v>40.219700000000003</v>
      </c>
      <c r="W73" s="74">
        <v>20.491399999999999</v>
      </c>
      <c r="X73" s="75">
        <v>-4.8197999999999999</v>
      </c>
      <c r="Y73" s="72">
        <v>-14.551399999999999</v>
      </c>
      <c r="Z73" s="73">
        <f t="shared" si="2"/>
        <v>14.551399999999999</v>
      </c>
      <c r="AA73" s="74">
        <v>17.8919</v>
      </c>
      <c r="AB73" s="75">
        <v>4.9749999999999996</v>
      </c>
    </row>
    <row r="74" spans="2:28" x14ac:dyDescent="0.25">
      <c r="Q74" s="72">
        <v>-80.822900000000004</v>
      </c>
      <c r="R74" s="73">
        <f t="shared" si="0"/>
        <v>80.822900000000004</v>
      </c>
      <c r="S74" s="74">
        <v>-40.679900000000004</v>
      </c>
      <c r="T74" s="75">
        <v>-1.5528</v>
      </c>
      <c r="U74" s="72">
        <v>-50.829099999999997</v>
      </c>
      <c r="V74" s="73">
        <f t="shared" si="1"/>
        <v>50.829099999999997</v>
      </c>
      <c r="W74" s="74">
        <v>-12.376200000000001</v>
      </c>
      <c r="X74" s="75">
        <v>4.7602000000000002</v>
      </c>
      <c r="Y74" s="72">
        <v>-22.737300000000001</v>
      </c>
      <c r="Z74" s="73">
        <f t="shared" si="2"/>
        <v>22.737300000000001</v>
      </c>
      <c r="AA74" s="74">
        <v>-5.7893999999999997</v>
      </c>
      <c r="AB74" s="75">
        <v>0.1487</v>
      </c>
    </row>
    <row r="75" spans="2:28" x14ac:dyDescent="0.25">
      <c r="B75" s="4" t="s">
        <v>315</v>
      </c>
      <c r="Q75" s="72">
        <v>-78.485399999999998</v>
      </c>
      <c r="R75" s="73">
        <f t="shared" si="0"/>
        <v>78.485399999999998</v>
      </c>
      <c r="S75" s="74">
        <v>-15.8317</v>
      </c>
      <c r="T75" s="75">
        <v>-1.5410999999999999</v>
      </c>
      <c r="U75" s="72">
        <v>-48.927</v>
      </c>
      <c r="V75" s="73">
        <f t="shared" si="1"/>
        <v>48.927</v>
      </c>
      <c r="W75" s="74">
        <v>-4.4688999999999997</v>
      </c>
      <c r="X75" s="75">
        <v>-0.38719999999999999</v>
      </c>
      <c r="Y75" s="72">
        <v>-20.634499999999999</v>
      </c>
      <c r="Z75" s="73">
        <f t="shared" si="2"/>
        <v>20.634499999999999</v>
      </c>
      <c r="AA75" s="74">
        <v>-9.5290999999999997</v>
      </c>
      <c r="AB75" s="75">
        <v>2.3218000000000001</v>
      </c>
    </row>
    <row r="76" spans="2:28" x14ac:dyDescent="0.25">
      <c r="Q76" s="72">
        <v>-76.147900000000007</v>
      </c>
      <c r="R76" s="73">
        <f t="shared" si="0"/>
        <v>76.147900000000007</v>
      </c>
      <c r="S76" s="74">
        <v>-9.6196000000000002</v>
      </c>
      <c r="T76" s="75">
        <v>-5.2870999999999997</v>
      </c>
      <c r="U76" s="72">
        <v>-47.024999999999999</v>
      </c>
      <c r="V76" s="73">
        <f t="shared" si="1"/>
        <v>47.024999999999999</v>
      </c>
      <c r="W76" s="74">
        <v>-20.289200000000001</v>
      </c>
      <c r="X76" s="75">
        <v>-8.2406000000000006</v>
      </c>
      <c r="Y76" s="72">
        <v>-18.531700000000001</v>
      </c>
      <c r="Z76" s="73">
        <f t="shared" si="2"/>
        <v>18.531700000000001</v>
      </c>
      <c r="AA76" s="74">
        <v>-16.2636</v>
      </c>
      <c r="AB76" s="75">
        <v>1.1921999999999999</v>
      </c>
    </row>
    <row r="77" spans="2:28" x14ac:dyDescent="0.25">
      <c r="B77" t="s">
        <v>286</v>
      </c>
      <c r="C77" s="1">
        <f>1/6*H70</f>
        <v>0.47</v>
      </c>
      <c r="D77" t="s">
        <v>25</v>
      </c>
      <c r="Q77" s="72">
        <v>-70.509699999999995</v>
      </c>
      <c r="R77" s="73">
        <f t="shared" si="0"/>
        <v>70.509699999999995</v>
      </c>
      <c r="S77" s="74">
        <v>57.585799999999999</v>
      </c>
      <c r="T77" s="75">
        <v>3.2111999999999998</v>
      </c>
      <c r="U77" s="72">
        <v>-43.156300000000002</v>
      </c>
      <c r="V77" s="73">
        <f t="shared" si="1"/>
        <v>43.156300000000002</v>
      </c>
      <c r="W77" s="74">
        <v>17.2331</v>
      </c>
      <c r="X77" s="75">
        <v>2.2982999999999998</v>
      </c>
      <c r="Y77" s="72">
        <v>-17.984100000000002</v>
      </c>
      <c r="Z77" s="73">
        <f t="shared" si="2"/>
        <v>17.984100000000002</v>
      </c>
      <c r="AA77" s="74">
        <v>6.3319000000000001</v>
      </c>
      <c r="AB77" s="75">
        <v>0.98750000000000004</v>
      </c>
    </row>
    <row r="78" spans="2:28" x14ac:dyDescent="0.25">
      <c r="B78" t="s">
        <v>316</v>
      </c>
      <c r="C78" s="3">
        <v>1.31</v>
      </c>
      <c r="D78" s="3" t="s">
        <v>25</v>
      </c>
      <c r="Q78" s="72">
        <v>-68.172200000000004</v>
      </c>
      <c r="R78" s="73">
        <f t="shared" si="0"/>
        <v>68.172200000000004</v>
      </c>
      <c r="S78" s="74">
        <v>22.6509</v>
      </c>
      <c r="T78" s="75">
        <v>0.64959999999999996</v>
      </c>
      <c r="U78" s="72">
        <v>-41.254199999999997</v>
      </c>
      <c r="V78" s="73">
        <f t="shared" si="1"/>
        <v>41.254199999999997</v>
      </c>
      <c r="W78" s="74">
        <v>6.0117000000000003</v>
      </c>
      <c r="X78" s="75">
        <v>0.24179999999999999</v>
      </c>
      <c r="Y78" s="72">
        <v>-15.8813</v>
      </c>
      <c r="Z78" s="73">
        <f t="shared" si="2"/>
        <v>15.8813</v>
      </c>
      <c r="AA78" s="74">
        <v>14.2384</v>
      </c>
      <c r="AB78" s="75">
        <v>1.8184</v>
      </c>
    </row>
    <row r="79" spans="2:28" x14ac:dyDescent="0.25">
      <c r="B79" t="s">
        <v>317</v>
      </c>
      <c r="C79" s="1">
        <v>0.5</v>
      </c>
      <c r="D79" t="s">
        <v>25</v>
      </c>
      <c r="Q79" s="72">
        <v>-65.834699999999998</v>
      </c>
      <c r="R79" s="73">
        <f t="shared" si="0"/>
        <v>65.834699999999998</v>
      </c>
      <c r="S79" s="74">
        <v>12.8918</v>
      </c>
      <c r="T79" s="75">
        <v>1.4369000000000001</v>
      </c>
      <c r="U79" s="72">
        <v>-39.352200000000003</v>
      </c>
      <c r="V79" s="73">
        <f t="shared" si="1"/>
        <v>39.352200000000003</v>
      </c>
      <c r="W79" s="74">
        <v>28.499600000000001</v>
      </c>
      <c r="X79" s="75">
        <v>0.91469999999999996</v>
      </c>
      <c r="Y79" s="72">
        <v>-13.778499999999999</v>
      </c>
      <c r="Z79" s="73">
        <f t="shared" si="2"/>
        <v>13.778499999999999</v>
      </c>
      <c r="AA79" s="74">
        <v>24.8078</v>
      </c>
      <c r="AB79" s="75">
        <v>5.2134</v>
      </c>
    </row>
    <row r="80" spans="2:28" x14ac:dyDescent="0.25">
      <c r="Q80" s="72">
        <v>-81.112700000000004</v>
      </c>
      <c r="R80" s="73">
        <f t="shared" si="0"/>
        <v>81.112700000000004</v>
      </c>
      <c r="S80" s="74">
        <v>-57.666800000000002</v>
      </c>
      <c r="T80" s="75">
        <v>-2.7726999999999999</v>
      </c>
      <c r="U80" s="72">
        <v>-51.085099999999997</v>
      </c>
      <c r="V80" s="73">
        <f t="shared" si="1"/>
        <v>51.085099999999997</v>
      </c>
      <c r="W80" s="74">
        <v>-17.606300000000001</v>
      </c>
      <c r="X80" s="75">
        <v>-0.83930000000000005</v>
      </c>
      <c r="Y80" s="72">
        <v>-23.102399999999999</v>
      </c>
      <c r="Z80" s="73">
        <f t="shared" si="2"/>
        <v>23.102399999999999</v>
      </c>
      <c r="AA80" s="74">
        <v>-6.8731</v>
      </c>
      <c r="AB80" s="75">
        <v>-2.2322000000000002</v>
      </c>
    </row>
    <row r="81" spans="2:28" x14ac:dyDescent="0.25">
      <c r="B81" s="4" t="s">
        <v>281</v>
      </c>
      <c r="Q81" s="72">
        <v>-78.775300000000001</v>
      </c>
      <c r="R81" s="73">
        <f t="shared" si="0"/>
        <v>78.775300000000001</v>
      </c>
      <c r="S81" s="74">
        <v>-22.727900000000002</v>
      </c>
      <c r="T81" s="75">
        <v>-0.67679999999999996</v>
      </c>
      <c r="U81" s="72">
        <v>-49.183</v>
      </c>
      <c r="V81" s="73">
        <f t="shared" si="1"/>
        <v>49.183</v>
      </c>
      <c r="W81" s="74">
        <v>-6.0232999999999999</v>
      </c>
      <c r="X81" s="75">
        <v>-0.2949</v>
      </c>
      <c r="Y81" s="72">
        <v>-20.999600000000001</v>
      </c>
      <c r="Z81" s="73">
        <f t="shared" si="2"/>
        <v>20.999600000000001</v>
      </c>
      <c r="AA81" s="74">
        <v>-13.7738</v>
      </c>
      <c r="AB81" s="75">
        <v>1.2082999999999999</v>
      </c>
    </row>
    <row r="82" spans="2:28" x14ac:dyDescent="0.25">
      <c r="Q82" s="72">
        <v>-76.437799999999996</v>
      </c>
      <c r="R82" s="73">
        <f t="shared" si="0"/>
        <v>76.437799999999996</v>
      </c>
      <c r="S82" s="74">
        <v>-12.9648</v>
      </c>
      <c r="T82" s="75">
        <v>-1.9297</v>
      </c>
      <c r="U82" s="72">
        <v>-47.280900000000003</v>
      </c>
      <c r="V82" s="73">
        <f t="shared" si="1"/>
        <v>47.280900000000003</v>
      </c>
      <c r="W82" s="74">
        <v>-28.1495</v>
      </c>
      <c r="X82" s="75">
        <v>-2.4799000000000002</v>
      </c>
      <c r="Y82" s="72">
        <v>-18.896899999999999</v>
      </c>
      <c r="Z82" s="73">
        <f t="shared" si="2"/>
        <v>18.896899999999999</v>
      </c>
      <c r="AA82" s="74">
        <v>-23.337399999999999</v>
      </c>
      <c r="AB82" s="75">
        <v>2.0847000000000002</v>
      </c>
    </row>
    <row r="83" spans="2:28" x14ac:dyDescent="0.25">
      <c r="B83" t="s">
        <v>5</v>
      </c>
      <c r="C83" s="63">
        <f>H70-(C78*2)</f>
        <v>0.19999999999999973</v>
      </c>
      <c r="D83" s="3" t="s">
        <v>25</v>
      </c>
      <c r="Q83" s="72">
        <v>-70.509699999999995</v>
      </c>
      <c r="R83" s="73">
        <f t="shared" si="0"/>
        <v>70.509699999999995</v>
      </c>
      <c r="S83" s="74">
        <v>57.585799999999999</v>
      </c>
      <c r="T83" s="75">
        <v>3.2111999999999998</v>
      </c>
      <c r="U83" s="72">
        <v>-43.156300000000002</v>
      </c>
      <c r="V83" s="73">
        <f t="shared" si="1"/>
        <v>43.156300000000002</v>
      </c>
      <c r="W83" s="74">
        <v>17.2331</v>
      </c>
      <c r="X83" s="75">
        <v>2.2982999999999998</v>
      </c>
      <c r="Y83" s="72">
        <v>-17.984100000000002</v>
      </c>
      <c r="Z83" s="73">
        <f t="shared" si="2"/>
        <v>17.984100000000002</v>
      </c>
      <c r="AA83" s="74">
        <v>6.3319000000000001</v>
      </c>
      <c r="AB83" s="75">
        <v>0.98750000000000004</v>
      </c>
    </row>
    <row r="84" spans="2:28" x14ac:dyDescent="0.25">
      <c r="Q84" s="72">
        <v>-68.172200000000004</v>
      </c>
      <c r="R84" s="73">
        <f t="shared" si="0"/>
        <v>68.172200000000004</v>
      </c>
      <c r="S84" s="74">
        <v>22.6509</v>
      </c>
      <c r="T84" s="75">
        <v>0.64959999999999996</v>
      </c>
      <c r="U84" s="72">
        <v>-41.254199999999997</v>
      </c>
      <c r="V84" s="73">
        <f t="shared" si="1"/>
        <v>41.254199999999997</v>
      </c>
      <c r="W84" s="74">
        <v>6.0117000000000003</v>
      </c>
      <c r="X84" s="75">
        <v>0.24179999999999999</v>
      </c>
      <c r="Y84" s="72">
        <v>-15.8813</v>
      </c>
      <c r="Z84" s="73">
        <f t="shared" si="2"/>
        <v>15.8813</v>
      </c>
      <c r="AA84" s="74">
        <v>14.2384</v>
      </c>
      <c r="AB84" s="75">
        <v>1.8184</v>
      </c>
    </row>
    <row r="85" spans="2:28" x14ac:dyDescent="0.25">
      <c r="Q85" s="72">
        <v>-65.834699999999998</v>
      </c>
      <c r="R85" s="73">
        <f t="shared" ref="R85:R124" si="9">-Q85</f>
        <v>65.834699999999998</v>
      </c>
      <c r="S85" s="74">
        <v>12.8918</v>
      </c>
      <c r="T85" s="75">
        <v>1.4369000000000001</v>
      </c>
      <c r="U85" s="72">
        <v>-39.352200000000003</v>
      </c>
      <c r="V85" s="73">
        <f t="shared" ref="V85:V124" si="10">-U85</f>
        <v>39.352200000000003</v>
      </c>
      <c r="W85" s="74">
        <v>28.499600000000001</v>
      </c>
      <c r="X85" s="75">
        <v>0.91469999999999996</v>
      </c>
      <c r="Y85" s="72">
        <v>-13.778499999999999</v>
      </c>
      <c r="Z85" s="73">
        <f t="shared" ref="Z85:Z124" si="11">-Y85</f>
        <v>13.778499999999999</v>
      </c>
      <c r="AA85" s="74">
        <v>24.8078</v>
      </c>
      <c r="AB85" s="75">
        <v>5.2134</v>
      </c>
    </row>
    <row r="86" spans="2:28" x14ac:dyDescent="0.25">
      <c r="B86" s="4" t="s">
        <v>319</v>
      </c>
      <c r="Q86" s="72">
        <v>-81.112700000000004</v>
      </c>
      <c r="R86" s="73">
        <f t="shared" si="9"/>
        <v>81.112700000000004</v>
      </c>
      <c r="S86" s="74">
        <v>-57.666800000000002</v>
      </c>
      <c r="T86" s="75">
        <v>-2.7726999999999999</v>
      </c>
      <c r="U86" s="72">
        <v>-51.085099999999997</v>
      </c>
      <c r="V86" s="73">
        <f t="shared" si="10"/>
        <v>51.085099999999997</v>
      </c>
      <c r="W86" s="74">
        <v>-17.606300000000001</v>
      </c>
      <c r="X86" s="75">
        <v>-0.83930000000000005</v>
      </c>
      <c r="Y86" s="72">
        <v>-23.102399999999999</v>
      </c>
      <c r="Z86" s="73">
        <f t="shared" si="11"/>
        <v>23.102399999999999</v>
      </c>
      <c r="AA86" s="74">
        <v>-6.8731</v>
      </c>
      <c r="AB86" s="75">
        <v>-2.2322000000000002</v>
      </c>
    </row>
    <row r="87" spans="2:28" x14ac:dyDescent="0.25">
      <c r="Q87" s="72">
        <v>-78.775300000000001</v>
      </c>
      <c r="R87" s="73">
        <f t="shared" si="9"/>
        <v>78.775300000000001</v>
      </c>
      <c r="S87" s="74">
        <v>-22.727900000000002</v>
      </c>
      <c r="T87" s="75">
        <v>-0.67679999999999996</v>
      </c>
      <c r="U87" s="72">
        <v>-49.183</v>
      </c>
      <c r="V87" s="73">
        <f t="shared" si="10"/>
        <v>49.183</v>
      </c>
      <c r="W87" s="74">
        <v>-6.0232999999999999</v>
      </c>
      <c r="X87" s="75">
        <v>-0.2949</v>
      </c>
      <c r="Y87" s="72">
        <v>-20.999600000000001</v>
      </c>
      <c r="Z87" s="73">
        <f t="shared" si="11"/>
        <v>20.999600000000001</v>
      </c>
      <c r="AA87" s="74">
        <v>-13.7738</v>
      </c>
      <c r="AB87" s="75">
        <v>1.2082999999999999</v>
      </c>
    </row>
    <row r="88" spans="2:28" x14ac:dyDescent="0.25">
      <c r="B88" t="s">
        <v>283</v>
      </c>
      <c r="C88">
        <f>8*M5</f>
        <v>12.72</v>
      </c>
      <c r="D88" t="s">
        <v>223</v>
      </c>
      <c r="Q88" s="72">
        <v>-76.437799999999996</v>
      </c>
      <c r="R88" s="73">
        <f t="shared" si="9"/>
        <v>76.437799999999996</v>
      </c>
      <c r="S88" s="74">
        <v>-12.9648</v>
      </c>
      <c r="T88" s="75">
        <v>-1.9297</v>
      </c>
      <c r="U88" s="72">
        <v>-47.280900000000003</v>
      </c>
      <c r="V88" s="73">
        <f t="shared" si="10"/>
        <v>47.280900000000003</v>
      </c>
      <c r="W88" s="74">
        <v>-28.1495</v>
      </c>
      <c r="X88" s="75">
        <v>-2.4799000000000002</v>
      </c>
      <c r="Y88" s="72">
        <v>-18.896899999999999</v>
      </c>
      <c r="Z88" s="73">
        <f t="shared" si="11"/>
        <v>18.896899999999999</v>
      </c>
      <c r="AA88" s="74">
        <v>-23.337399999999999</v>
      </c>
      <c r="AB88" s="75">
        <v>2.0847000000000002</v>
      </c>
    </row>
    <row r="89" spans="2:28" x14ac:dyDescent="0.25">
      <c r="B89" t="s">
        <v>284</v>
      </c>
      <c r="C89" s="1">
        <f>1/2*20</f>
        <v>10</v>
      </c>
      <c r="D89" t="s">
        <v>223</v>
      </c>
      <c r="Q89" s="72">
        <v>-71.141400000000004</v>
      </c>
      <c r="R89" s="73">
        <f t="shared" si="9"/>
        <v>71.141400000000004</v>
      </c>
      <c r="S89" s="74">
        <v>40.655299999999997</v>
      </c>
      <c r="T89" s="75">
        <v>3.5121000000000002</v>
      </c>
      <c r="U89" s="72">
        <v>-43.7181</v>
      </c>
      <c r="V89" s="73">
        <f t="shared" si="10"/>
        <v>43.7181</v>
      </c>
      <c r="W89" s="74">
        <v>12.0975</v>
      </c>
      <c r="X89" s="75">
        <v>2.3807999999999998</v>
      </c>
      <c r="Y89" s="72">
        <v>-18.553100000000001</v>
      </c>
      <c r="Z89" s="73">
        <f t="shared" si="11"/>
        <v>18.553100000000001</v>
      </c>
      <c r="AA89" s="74">
        <v>5.1719999999999997</v>
      </c>
      <c r="AB89" s="75">
        <v>1.5149999999999999</v>
      </c>
    </row>
    <row r="90" spans="2:28" x14ac:dyDescent="0.25">
      <c r="B90" t="s">
        <v>285</v>
      </c>
      <c r="C90" s="63">
        <v>10</v>
      </c>
      <c r="D90" s="3" t="s">
        <v>223</v>
      </c>
      <c r="Q90" s="72">
        <v>-68.803899999999999</v>
      </c>
      <c r="R90" s="73">
        <f t="shared" si="9"/>
        <v>68.803899999999999</v>
      </c>
      <c r="S90" s="74">
        <v>15.820600000000001</v>
      </c>
      <c r="T90" s="75">
        <v>0.69699999999999995</v>
      </c>
      <c r="U90" s="72">
        <v>-41.816000000000003</v>
      </c>
      <c r="V90" s="73">
        <f t="shared" si="10"/>
        <v>41.816000000000003</v>
      </c>
      <c r="W90" s="74">
        <v>4.4676</v>
      </c>
      <c r="X90" s="75">
        <v>0.3014</v>
      </c>
      <c r="Y90" s="72">
        <v>-16.450299999999999</v>
      </c>
      <c r="Z90" s="73">
        <f t="shared" si="11"/>
        <v>16.450299999999999</v>
      </c>
      <c r="AA90" s="74">
        <v>9.9951000000000008</v>
      </c>
      <c r="AB90" s="75">
        <v>1.8764000000000001</v>
      </c>
    </row>
    <row r="91" spans="2:28" x14ac:dyDescent="0.25">
      <c r="Q91" s="72">
        <v>-66.466399999999993</v>
      </c>
      <c r="R91" s="73">
        <f t="shared" si="9"/>
        <v>66.466399999999993</v>
      </c>
      <c r="S91" s="74">
        <v>9.6220999999999997</v>
      </c>
      <c r="T91" s="75">
        <v>1.6395</v>
      </c>
      <c r="U91" s="72">
        <v>-39.913899999999998</v>
      </c>
      <c r="V91" s="73">
        <f t="shared" si="10"/>
        <v>39.913899999999998</v>
      </c>
      <c r="W91" s="74">
        <v>20.5654</v>
      </c>
      <c r="X91" s="75">
        <v>0.92779999999999996</v>
      </c>
      <c r="Y91" s="72">
        <v>-14.3475</v>
      </c>
      <c r="Z91" s="73">
        <f t="shared" si="11"/>
        <v>14.3475</v>
      </c>
      <c r="AA91" s="74">
        <v>17.812899999999999</v>
      </c>
      <c r="AB91" s="75">
        <v>5.5404</v>
      </c>
    </row>
    <row r="92" spans="2:28" x14ac:dyDescent="0.25">
      <c r="Q92" s="72">
        <v>-80.481099999999998</v>
      </c>
      <c r="R92" s="73">
        <f t="shared" si="9"/>
        <v>80.481099999999998</v>
      </c>
      <c r="S92" s="74">
        <v>-40.7363</v>
      </c>
      <c r="T92" s="75">
        <v>-3.0735000000000001</v>
      </c>
      <c r="U92" s="72">
        <v>-50.523299999999999</v>
      </c>
      <c r="V92" s="73">
        <f t="shared" si="10"/>
        <v>50.523299999999999</v>
      </c>
      <c r="W92" s="74">
        <v>-12.470700000000001</v>
      </c>
      <c r="X92" s="75">
        <v>-0.92179999999999995</v>
      </c>
      <c r="Y92" s="72">
        <v>-22.5334</v>
      </c>
      <c r="Z92" s="73">
        <f t="shared" si="11"/>
        <v>22.5334</v>
      </c>
      <c r="AA92" s="74">
        <v>-5.7130999999999998</v>
      </c>
      <c r="AB92" s="75">
        <v>-2.7597</v>
      </c>
    </row>
    <row r="93" spans="2:28" x14ac:dyDescent="0.25">
      <c r="B93" s="4" t="s">
        <v>320</v>
      </c>
      <c r="Q93" s="72">
        <v>-78.143600000000006</v>
      </c>
      <c r="R93" s="73">
        <f t="shared" si="9"/>
        <v>78.143600000000006</v>
      </c>
      <c r="S93" s="74">
        <v>-15.897600000000001</v>
      </c>
      <c r="T93" s="75">
        <v>-0.72409999999999997</v>
      </c>
      <c r="U93" s="72">
        <v>-48.621200000000002</v>
      </c>
      <c r="V93" s="73">
        <f t="shared" si="10"/>
        <v>48.621200000000002</v>
      </c>
      <c r="W93" s="74">
        <v>-4.4791999999999996</v>
      </c>
      <c r="X93" s="75">
        <v>-0.35449999999999998</v>
      </c>
      <c r="Y93" s="72">
        <v>-20.430599999999998</v>
      </c>
      <c r="Z93" s="73">
        <f t="shared" si="11"/>
        <v>20.430599999999998</v>
      </c>
      <c r="AA93" s="74">
        <v>-9.5305</v>
      </c>
      <c r="AB93" s="75">
        <v>1.1503000000000001</v>
      </c>
    </row>
    <row r="94" spans="2:28" x14ac:dyDescent="0.25">
      <c r="Q94" s="72">
        <v>-75.806100000000001</v>
      </c>
      <c r="R94" s="73">
        <f t="shared" si="9"/>
        <v>75.806100000000001</v>
      </c>
      <c r="S94" s="74">
        <v>-9.6951000000000001</v>
      </c>
      <c r="T94" s="75">
        <v>-2.1322999999999999</v>
      </c>
      <c r="U94" s="72">
        <v>-46.719200000000001</v>
      </c>
      <c r="V94" s="73">
        <f t="shared" si="10"/>
        <v>46.719200000000001</v>
      </c>
      <c r="W94" s="74">
        <v>-20.215299999999999</v>
      </c>
      <c r="X94" s="75">
        <v>-2.4929999999999999</v>
      </c>
      <c r="Y94" s="72">
        <v>-18.3279</v>
      </c>
      <c r="Z94" s="73">
        <f t="shared" si="11"/>
        <v>18.3279</v>
      </c>
      <c r="AA94" s="74">
        <v>-16.342500000000001</v>
      </c>
      <c r="AB94" s="75">
        <v>1.7576000000000001</v>
      </c>
    </row>
    <row r="95" spans="2:28" x14ac:dyDescent="0.25">
      <c r="B95" t="s">
        <v>16</v>
      </c>
      <c r="C95">
        <v>30</v>
      </c>
      <c r="D95" t="s">
        <v>223</v>
      </c>
      <c r="Q95" s="72">
        <v>-71.141400000000004</v>
      </c>
      <c r="R95" s="73">
        <f t="shared" si="9"/>
        <v>71.141400000000004</v>
      </c>
      <c r="S95" s="74">
        <v>40.655299999999997</v>
      </c>
      <c r="T95" s="75">
        <v>3.5121000000000002</v>
      </c>
      <c r="U95" s="72">
        <v>-43.7181</v>
      </c>
      <c r="V95" s="73">
        <f t="shared" si="10"/>
        <v>43.7181</v>
      </c>
      <c r="W95" s="74">
        <v>12.0975</v>
      </c>
      <c r="X95" s="75">
        <v>2.3807999999999998</v>
      </c>
      <c r="Y95" s="72">
        <v>-18.553100000000001</v>
      </c>
      <c r="Z95" s="73">
        <f t="shared" si="11"/>
        <v>18.553100000000001</v>
      </c>
      <c r="AA95" s="74">
        <v>5.1719999999999997</v>
      </c>
      <c r="AB95" s="75">
        <v>1.5149999999999999</v>
      </c>
    </row>
    <row r="96" spans="2:28" x14ac:dyDescent="0.25">
      <c r="Q96" s="72">
        <v>-68.803899999999999</v>
      </c>
      <c r="R96" s="73">
        <f t="shared" si="9"/>
        <v>68.803899999999999</v>
      </c>
      <c r="S96" s="74">
        <v>15.820600000000001</v>
      </c>
      <c r="T96" s="75">
        <v>0.69699999999999995</v>
      </c>
      <c r="U96" s="72">
        <v>-41.816000000000003</v>
      </c>
      <c r="V96" s="73">
        <f t="shared" si="10"/>
        <v>41.816000000000003</v>
      </c>
      <c r="W96" s="74">
        <v>4.4676</v>
      </c>
      <c r="X96" s="75">
        <v>0.3014</v>
      </c>
      <c r="Y96" s="72">
        <v>-16.450299999999999</v>
      </c>
      <c r="Z96" s="73">
        <f t="shared" si="11"/>
        <v>16.450299999999999</v>
      </c>
      <c r="AA96" s="74">
        <v>9.9951000000000008</v>
      </c>
      <c r="AB96" s="75">
        <v>1.8764000000000001</v>
      </c>
    </row>
    <row r="97" spans="10:28" x14ac:dyDescent="0.25">
      <c r="J97" t="s">
        <v>16</v>
      </c>
      <c r="K97">
        <f>16*M5</f>
        <v>25.44</v>
      </c>
      <c r="L97" t="s">
        <v>223</v>
      </c>
      <c r="Q97" s="72">
        <v>-66.466399999999993</v>
      </c>
      <c r="R97" s="73">
        <f t="shared" si="9"/>
        <v>66.466399999999993</v>
      </c>
      <c r="S97" s="74">
        <v>9.6220999999999997</v>
      </c>
      <c r="T97" s="75">
        <v>1.6395</v>
      </c>
      <c r="U97" s="72">
        <v>-39.913899999999998</v>
      </c>
      <c r="V97" s="73">
        <f t="shared" si="10"/>
        <v>39.913899999999998</v>
      </c>
      <c r="W97" s="74">
        <v>20.5654</v>
      </c>
      <c r="X97" s="75">
        <v>0.92779999999999996</v>
      </c>
      <c r="Y97" s="72">
        <v>-14.3475</v>
      </c>
      <c r="Z97" s="73">
        <f t="shared" si="11"/>
        <v>14.3475</v>
      </c>
      <c r="AA97" s="74">
        <v>17.812899999999999</v>
      </c>
      <c r="AB97" s="75">
        <v>5.5404</v>
      </c>
    </row>
    <row r="98" spans="10:28" x14ac:dyDescent="0.25">
      <c r="J98" t="s">
        <v>16</v>
      </c>
      <c r="K98" s="1">
        <f>48*M3</f>
        <v>45.599999999999994</v>
      </c>
      <c r="L98" t="s">
        <v>223</v>
      </c>
      <c r="Q98" s="72">
        <v>-80.481099999999998</v>
      </c>
      <c r="R98" s="73">
        <f t="shared" si="9"/>
        <v>80.481099999999998</v>
      </c>
      <c r="S98" s="74">
        <v>-40.7363</v>
      </c>
      <c r="T98" s="75">
        <v>-3.0735000000000001</v>
      </c>
      <c r="U98" s="72">
        <v>-50.523299999999999</v>
      </c>
      <c r="V98" s="73">
        <f t="shared" si="10"/>
        <v>50.523299999999999</v>
      </c>
      <c r="W98" s="74">
        <v>-12.470700000000001</v>
      </c>
      <c r="X98" s="75">
        <v>-0.92179999999999995</v>
      </c>
      <c r="Y98" s="72">
        <v>-22.5334</v>
      </c>
      <c r="Z98" s="73">
        <f t="shared" si="11"/>
        <v>22.5334</v>
      </c>
      <c r="AA98" s="74">
        <v>-5.7130999999999998</v>
      </c>
      <c r="AB98" s="75">
        <v>-2.7597</v>
      </c>
    </row>
    <row r="99" spans="10:28" x14ac:dyDescent="0.25">
      <c r="J99" t="s">
        <v>16</v>
      </c>
      <c r="K99" s="63">
        <v>20</v>
      </c>
      <c r="L99" s="3" t="s">
        <v>223</v>
      </c>
      <c r="Q99" s="72">
        <v>-78.143600000000006</v>
      </c>
      <c r="R99" s="73">
        <f t="shared" si="9"/>
        <v>78.143600000000006</v>
      </c>
      <c r="S99" s="74">
        <v>-15.897600000000001</v>
      </c>
      <c r="T99" s="75">
        <v>-0.72409999999999997</v>
      </c>
      <c r="U99" s="72">
        <v>-48.621200000000002</v>
      </c>
      <c r="V99" s="73">
        <f t="shared" si="10"/>
        <v>48.621200000000002</v>
      </c>
      <c r="W99" s="74">
        <v>-4.4791999999999996</v>
      </c>
      <c r="X99" s="75">
        <v>-0.35449999999999998</v>
      </c>
      <c r="Y99" s="72">
        <v>-20.430599999999998</v>
      </c>
      <c r="Z99" s="73">
        <f t="shared" si="11"/>
        <v>20.430599999999998</v>
      </c>
      <c r="AA99" s="74">
        <v>-9.5305</v>
      </c>
      <c r="AB99" s="75">
        <v>1.1503000000000001</v>
      </c>
    </row>
    <row r="100" spans="10:28" x14ac:dyDescent="0.25">
      <c r="Q100" s="72">
        <v>-75.806100000000001</v>
      </c>
      <c r="R100" s="73">
        <f t="shared" si="9"/>
        <v>75.806100000000001</v>
      </c>
      <c r="S100" s="74">
        <v>-9.6951000000000001</v>
      </c>
      <c r="T100" s="75">
        <v>-2.1322999999999999</v>
      </c>
      <c r="U100" s="72">
        <v>-46.719200000000001</v>
      </c>
      <c r="V100" s="73">
        <f t="shared" si="10"/>
        <v>46.719200000000001</v>
      </c>
      <c r="W100" s="74">
        <v>-20.215299999999999</v>
      </c>
      <c r="X100" s="75">
        <v>-2.4929999999999999</v>
      </c>
      <c r="Y100" s="72">
        <v>-18.3279</v>
      </c>
      <c r="Z100" s="73">
        <f t="shared" si="11"/>
        <v>18.3279</v>
      </c>
      <c r="AA100" s="74">
        <v>-16.342500000000001</v>
      </c>
      <c r="AB100" s="75">
        <v>1.7576000000000001</v>
      </c>
    </row>
    <row r="101" spans="10:28" x14ac:dyDescent="0.25">
      <c r="J101" t="s">
        <v>16</v>
      </c>
      <c r="K101" s="1">
        <f>45/2</f>
        <v>22.5</v>
      </c>
      <c r="L101" t="s">
        <v>223</v>
      </c>
      <c r="Q101" s="72">
        <v>-41.857300000000002</v>
      </c>
      <c r="R101" s="73">
        <f t="shared" si="9"/>
        <v>41.857300000000002</v>
      </c>
      <c r="S101" s="74">
        <v>57.628100000000003</v>
      </c>
      <c r="T101" s="75">
        <v>3.6173000000000002</v>
      </c>
      <c r="U101" s="72">
        <v>-25.910699999999999</v>
      </c>
      <c r="V101" s="73">
        <f t="shared" si="10"/>
        <v>25.910699999999999</v>
      </c>
      <c r="W101" s="74">
        <v>17.317799999999998</v>
      </c>
      <c r="X101" s="75">
        <v>3.8365999999999998</v>
      </c>
      <c r="Y101" s="72">
        <v>-11.488300000000001</v>
      </c>
      <c r="Z101" s="73">
        <f t="shared" si="11"/>
        <v>11.488300000000001</v>
      </c>
      <c r="AA101" s="74">
        <v>6.4183000000000003</v>
      </c>
      <c r="AB101" s="75">
        <v>2.0746000000000002</v>
      </c>
    </row>
    <row r="102" spans="10:28" x14ac:dyDescent="0.25">
      <c r="J102" t="s">
        <v>16</v>
      </c>
      <c r="K102" s="1">
        <v>60</v>
      </c>
      <c r="L102" t="s">
        <v>223</v>
      </c>
      <c r="Q102" s="72">
        <v>-40.174300000000002</v>
      </c>
      <c r="R102" s="73">
        <f t="shared" si="9"/>
        <v>40.174300000000002</v>
      </c>
      <c r="S102" s="74">
        <v>22.677900000000001</v>
      </c>
      <c r="T102" s="75">
        <v>0.38850000000000001</v>
      </c>
      <c r="U102" s="72">
        <v>-24.5412</v>
      </c>
      <c r="V102" s="73">
        <f t="shared" si="10"/>
        <v>24.5412</v>
      </c>
      <c r="W102" s="74">
        <v>6.0155000000000003</v>
      </c>
      <c r="X102" s="75">
        <v>0.24890000000000001</v>
      </c>
      <c r="Y102" s="72">
        <v>-9.9742999999999995</v>
      </c>
      <c r="Z102" s="73">
        <f t="shared" si="11"/>
        <v>9.9742999999999995</v>
      </c>
      <c r="AA102" s="74">
        <v>14.128299999999999</v>
      </c>
      <c r="AB102" s="75">
        <v>1.6772</v>
      </c>
    </row>
    <row r="103" spans="10:28" x14ac:dyDescent="0.25">
      <c r="Q103" s="72">
        <v>-38.491300000000003</v>
      </c>
      <c r="R103" s="73">
        <f t="shared" si="9"/>
        <v>38.491300000000003</v>
      </c>
      <c r="S103" s="74">
        <v>12.9034</v>
      </c>
      <c r="T103" s="75">
        <v>0.50870000000000004</v>
      </c>
      <c r="U103" s="72">
        <v>-23.171700000000001</v>
      </c>
      <c r="V103" s="73">
        <f t="shared" si="10"/>
        <v>23.171700000000001</v>
      </c>
      <c r="W103" s="74">
        <v>28.4224</v>
      </c>
      <c r="X103" s="75">
        <v>-0.60940000000000005</v>
      </c>
      <c r="Y103" s="72">
        <v>-8.4603000000000002</v>
      </c>
      <c r="Z103" s="73">
        <f t="shared" si="11"/>
        <v>8.4603000000000002</v>
      </c>
      <c r="AA103" s="74">
        <v>24.501300000000001</v>
      </c>
      <c r="AB103" s="75">
        <v>3.8439999999999999</v>
      </c>
    </row>
    <row r="104" spans="10:28" x14ac:dyDescent="0.25">
      <c r="J104" s="31" t="s">
        <v>321</v>
      </c>
      <c r="Q104" s="72">
        <v>-52.460299999999997</v>
      </c>
      <c r="R104" s="73">
        <f t="shared" si="9"/>
        <v>52.460299999999997</v>
      </c>
      <c r="S104" s="74">
        <v>-57.624499999999998</v>
      </c>
      <c r="T104" s="75">
        <v>-2.3666</v>
      </c>
      <c r="U104" s="72">
        <v>-33.839399999999998</v>
      </c>
      <c r="V104" s="73">
        <f t="shared" si="10"/>
        <v>33.839399999999998</v>
      </c>
      <c r="W104" s="74">
        <v>-17.521599999999999</v>
      </c>
      <c r="X104" s="75">
        <v>0.69899999999999995</v>
      </c>
      <c r="Y104" s="72">
        <v>-16.6066</v>
      </c>
      <c r="Z104" s="73">
        <f t="shared" si="11"/>
        <v>16.6066</v>
      </c>
      <c r="AA104" s="74">
        <v>-6.7866999999999997</v>
      </c>
      <c r="AB104" s="75">
        <v>-1.1452</v>
      </c>
    </row>
    <row r="105" spans="10:28" x14ac:dyDescent="0.25">
      <c r="Q105" s="72">
        <v>-50.777299999999997</v>
      </c>
      <c r="R105" s="73">
        <f t="shared" si="9"/>
        <v>50.777299999999997</v>
      </c>
      <c r="S105" s="74">
        <v>-22.700900000000001</v>
      </c>
      <c r="T105" s="75">
        <v>-0.93789999999999996</v>
      </c>
      <c r="U105" s="72">
        <v>-32.469900000000003</v>
      </c>
      <c r="V105" s="73">
        <f t="shared" si="10"/>
        <v>32.469900000000003</v>
      </c>
      <c r="W105" s="74">
        <v>-6.0194999999999999</v>
      </c>
      <c r="X105" s="75">
        <v>-0.2878</v>
      </c>
      <c r="Y105" s="72">
        <v>-15.092599999999999</v>
      </c>
      <c r="Z105" s="73">
        <f t="shared" si="11"/>
        <v>15.092599999999999</v>
      </c>
      <c r="AA105" s="74">
        <v>-13.883800000000001</v>
      </c>
      <c r="AB105" s="75">
        <v>1.0670999999999999</v>
      </c>
    </row>
    <row r="106" spans="10:28" x14ac:dyDescent="0.25">
      <c r="Q106" s="72">
        <v>-49.0944</v>
      </c>
      <c r="R106" s="73">
        <f t="shared" si="9"/>
        <v>49.0944</v>
      </c>
      <c r="S106" s="74">
        <v>-12.953200000000001</v>
      </c>
      <c r="T106" s="75">
        <v>-2.8580000000000001</v>
      </c>
      <c r="U106" s="72">
        <v>-31.1005</v>
      </c>
      <c r="V106" s="73">
        <f t="shared" si="10"/>
        <v>31.1005</v>
      </c>
      <c r="W106" s="74">
        <v>-28.226700000000001</v>
      </c>
      <c r="X106" s="75">
        <v>-4.0039999999999996</v>
      </c>
      <c r="Y106" s="72">
        <v>-13.5786</v>
      </c>
      <c r="Z106" s="73">
        <f t="shared" si="11"/>
        <v>13.5786</v>
      </c>
      <c r="AA106" s="74">
        <v>-23.643799999999999</v>
      </c>
      <c r="AB106" s="75">
        <v>0.71530000000000005</v>
      </c>
    </row>
    <row r="107" spans="10:28" x14ac:dyDescent="0.25">
      <c r="Q107" s="72">
        <v>-41.857300000000002</v>
      </c>
      <c r="R107" s="73">
        <f t="shared" si="9"/>
        <v>41.857300000000002</v>
      </c>
      <c r="S107" s="74">
        <v>57.628100000000003</v>
      </c>
      <c r="T107" s="75">
        <v>3.6173000000000002</v>
      </c>
      <c r="U107" s="72">
        <v>-25.910699999999999</v>
      </c>
      <c r="V107" s="73">
        <f t="shared" si="10"/>
        <v>25.910699999999999</v>
      </c>
      <c r="W107" s="74">
        <v>17.317799999999998</v>
      </c>
      <c r="X107" s="75">
        <v>3.8365999999999998</v>
      </c>
      <c r="Y107" s="72">
        <v>-11.488300000000001</v>
      </c>
      <c r="Z107" s="73">
        <f t="shared" si="11"/>
        <v>11.488300000000001</v>
      </c>
      <c r="AA107" s="74">
        <v>6.4183000000000003</v>
      </c>
      <c r="AB107" s="75">
        <v>2.0746000000000002</v>
      </c>
    </row>
    <row r="108" spans="10:28" x14ac:dyDescent="0.25">
      <c r="Q108" s="72">
        <v>-40.174300000000002</v>
      </c>
      <c r="R108" s="73">
        <f t="shared" si="9"/>
        <v>40.174300000000002</v>
      </c>
      <c r="S108" s="74">
        <v>22.677900000000001</v>
      </c>
      <c r="T108" s="75">
        <v>0.38850000000000001</v>
      </c>
      <c r="U108" s="72">
        <v>-24.5412</v>
      </c>
      <c r="V108" s="73">
        <f t="shared" si="10"/>
        <v>24.5412</v>
      </c>
      <c r="W108" s="74">
        <v>6.0155000000000003</v>
      </c>
      <c r="X108" s="75">
        <v>0.24890000000000001</v>
      </c>
      <c r="Y108" s="72">
        <v>-9.9742999999999995</v>
      </c>
      <c r="Z108" s="73">
        <f t="shared" si="11"/>
        <v>9.9742999999999995</v>
      </c>
      <c r="AA108" s="74">
        <v>14.128299999999999</v>
      </c>
      <c r="AB108" s="75">
        <v>1.6772</v>
      </c>
    </row>
    <row r="109" spans="10:28" x14ac:dyDescent="0.25">
      <c r="Q109" s="72">
        <v>-38.491300000000003</v>
      </c>
      <c r="R109" s="73">
        <f t="shared" si="9"/>
        <v>38.491300000000003</v>
      </c>
      <c r="S109" s="74">
        <v>12.9034</v>
      </c>
      <c r="T109" s="75">
        <v>0.50870000000000004</v>
      </c>
      <c r="U109" s="72">
        <v>-23.171700000000001</v>
      </c>
      <c r="V109" s="73">
        <f t="shared" si="10"/>
        <v>23.171700000000001</v>
      </c>
      <c r="W109" s="74">
        <v>28.4224</v>
      </c>
      <c r="X109" s="75">
        <v>-0.60940000000000005</v>
      </c>
      <c r="Y109" s="72">
        <v>-8.4603000000000002</v>
      </c>
      <c r="Z109" s="73">
        <f t="shared" si="11"/>
        <v>8.4603000000000002</v>
      </c>
      <c r="AA109" s="74">
        <v>24.501300000000001</v>
      </c>
      <c r="AB109" s="75">
        <v>3.8439999999999999</v>
      </c>
    </row>
    <row r="110" spans="10:28" x14ac:dyDescent="0.25">
      <c r="Q110" s="72">
        <v>-52.460299999999997</v>
      </c>
      <c r="R110" s="73">
        <f t="shared" si="9"/>
        <v>52.460299999999997</v>
      </c>
      <c r="S110" s="74">
        <v>-57.624499999999998</v>
      </c>
      <c r="T110" s="75">
        <v>-2.3666</v>
      </c>
      <c r="U110" s="72">
        <v>-33.839399999999998</v>
      </c>
      <c r="V110" s="73">
        <f t="shared" si="10"/>
        <v>33.839399999999998</v>
      </c>
      <c r="W110" s="74">
        <v>-17.521599999999999</v>
      </c>
      <c r="X110" s="75">
        <v>0.69899999999999995</v>
      </c>
      <c r="Y110" s="72">
        <v>-16.6066</v>
      </c>
      <c r="Z110" s="73">
        <f t="shared" si="11"/>
        <v>16.6066</v>
      </c>
      <c r="AA110" s="74">
        <v>-6.7866999999999997</v>
      </c>
      <c r="AB110" s="75">
        <v>-1.1452</v>
      </c>
    </row>
    <row r="111" spans="10:28" x14ac:dyDescent="0.25">
      <c r="Q111" s="72">
        <v>-50.777299999999997</v>
      </c>
      <c r="R111" s="73">
        <f t="shared" si="9"/>
        <v>50.777299999999997</v>
      </c>
      <c r="S111" s="74">
        <v>-22.700900000000001</v>
      </c>
      <c r="T111" s="75">
        <v>-0.93789999999999996</v>
      </c>
      <c r="U111" s="72">
        <v>-32.469900000000003</v>
      </c>
      <c r="V111" s="73">
        <f t="shared" si="10"/>
        <v>32.469900000000003</v>
      </c>
      <c r="W111" s="74">
        <v>-6.0194999999999999</v>
      </c>
      <c r="X111" s="75">
        <v>-0.2878</v>
      </c>
      <c r="Y111" s="72">
        <v>-15.092599999999999</v>
      </c>
      <c r="Z111" s="73">
        <f t="shared" si="11"/>
        <v>15.092599999999999</v>
      </c>
      <c r="AA111" s="74">
        <v>-13.883800000000001</v>
      </c>
      <c r="AB111" s="75">
        <v>1.0670999999999999</v>
      </c>
    </row>
    <row r="112" spans="10:28" x14ac:dyDescent="0.25">
      <c r="Q112" s="72">
        <v>-49.0944</v>
      </c>
      <c r="R112" s="73">
        <f t="shared" si="9"/>
        <v>49.0944</v>
      </c>
      <c r="S112" s="74">
        <v>-12.953200000000001</v>
      </c>
      <c r="T112" s="75">
        <v>-2.8580000000000001</v>
      </c>
      <c r="U112" s="72">
        <v>-31.1005</v>
      </c>
      <c r="V112" s="73">
        <f t="shared" si="10"/>
        <v>31.1005</v>
      </c>
      <c r="W112" s="74">
        <v>-28.226700000000001</v>
      </c>
      <c r="X112" s="75">
        <v>-4.0039999999999996</v>
      </c>
      <c r="Y112" s="72">
        <v>-13.5786</v>
      </c>
      <c r="Z112" s="73">
        <f t="shared" si="11"/>
        <v>13.5786</v>
      </c>
      <c r="AA112" s="74">
        <v>-23.643799999999999</v>
      </c>
      <c r="AB112" s="75">
        <v>0.71530000000000005</v>
      </c>
    </row>
    <row r="113" spans="17:28" x14ac:dyDescent="0.25">
      <c r="Q113" s="72">
        <v>-42.488999999999997</v>
      </c>
      <c r="R113" s="73">
        <f t="shared" si="9"/>
        <v>42.488999999999997</v>
      </c>
      <c r="S113" s="74">
        <v>40.697600000000001</v>
      </c>
      <c r="T113" s="75">
        <v>3.9180999999999999</v>
      </c>
      <c r="U113" s="72">
        <v>-26.4724</v>
      </c>
      <c r="V113" s="73">
        <f t="shared" si="10"/>
        <v>26.4724</v>
      </c>
      <c r="W113" s="74">
        <v>12.1822</v>
      </c>
      <c r="X113" s="75">
        <v>3.9190999999999998</v>
      </c>
      <c r="Y113" s="72">
        <v>-12.0572</v>
      </c>
      <c r="Z113" s="73">
        <f t="shared" si="11"/>
        <v>12.0572</v>
      </c>
      <c r="AA113" s="74">
        <v>5.2583000000000002</v>
      </c>
      <c r="AB113" s="75">
        <v>2.6019999999999999</v>
      </c>
    </row>
    <row r="114" spans="17:28" x14ac:dyDescent="0.25">
      <c r="Q114" s="72">
        <v>-40.805999999999997</v>
      </c>
      <c r="R114" s="73">
        <f t="shared" si="9"/>
        <v>40.805999999999997</v>
      </c>
      <c r="S114" s="74">
        <v>15.8476</v>
      </c>
      <c r="T114" s="75">
        <v>0.43590000000000001</v>
      </c>
      <c r="U114" s="72">
        <v>-25.102900000000002</v>
      </c>
      <c r="V114" s="73">
        <f t="shared" si="10"/>
        <v>25.102900000000002</v>
      </c>
      <c r="W114" s="74">
        <v>4.4714</v>
      </c>
      <c r="X114" s="75">
        <v>0.3085</v>
      </c>
      <c r="Y114" s="72">
        <v>-10.543200000000001</v>
      </c>
      <c r="Z114" s="73">
        <f t="shared" si="11"/>
        <v>10.543200000000001</v>
      </c>
      <c r="AA114" s="74">
        <v>9.8849999999999998</v>
      </c>
      <c r="AB114" s="75">
        <v>1.7352000000000001</v>
      </c>
    </row>
    <row r="115" spans="17:28" x14ac:dyDescent="0.25">
      <c r="Q115" s="72">
        <v>-39.122999999999998</v>
      </c>
      <c r="R115" s="73">
        <f t="shared" si="9"/>
        <v>39.122999999999998</v>
      </c>
      <c r="S115" s="74">
        <v>9.6336999999999993</v>
      </c>
      <c r="T115" s="75">
        <v>0.71130000000000004</v>
      </c>
      <c r="U115" s="72">
        <v>-23.733499999999999</v>
      </c>
      <c r="V115" s="73">
        <f t="shared" si="10"/>
        <v>23.733499999999999</v>
      </c>
      <c r="W115" s="74">
        <v>20.488199999999999</v>
      </c>
      <c r="X115" s="75">
        <v>-0.59630000000000005</v>
      </c>
      <c r="Y115" s="72">
        <v>-9.0291999999999994</v>
      </c>
      <c r="Z115" s="73">
        <f t="shared" si="11"/>
        <v>9.0291999999999994</v>
      </c>
      <c r="AA115" s="74">
        <v>17.506499999999999</v>
      </c>
      <c r="AB115" s="75">
        <v>4.1711</v>
      </c>
    </row>
    <row r="116" spans="17:28" x14ac:dyDescent="0.25">
      <c r="Q116" s="72">
        <v>-51.828600000000002</v>
      </c>
      <c r="R116" s="73">
        <f t="shared" si="9"/>
        <v>51.828600000000002</v>
      </c>
      <c r="S116" s="74">
        <v>-40.694000000000003</v>
      </c>
      <c r="T116" s="75">
        <v>-2.6675</v>
      </c>
      <c r="U116" s="72">
        <v>-33.277700000000003</v>
      </c>
      <c r="V116" s="73">
        <f t="shared" si="10"/>
        <v>33.277700000000003</v>
      </c>
      <c r="W116" s="74">
        <v>-12.385999999999999</v>
      </c>
      <c r="X116" s="75">
        <v>0.61650000000000005</v>
      </c>
      <c r="Y116" s="72">
        <v>-16.037600000000001</v>
      </c>
      <c r="Z116" s="73">
        <f t="shared" si="11"/>
        <v>16.037600000000001</v>
      </c>
      <c r="AA116" s="74">
        <v>-5.6268000000000002</v>
      </c>
      <c r="AB116" s="75">
        <v>-1.6726000000000001</v>
      </c>
    </row>
    <row r="117" spans="17:28" x14ac:dyDescent="0.25">
      <c r="Q117" s="72">
        <v>-50.145699999999998</v>
      </c>
      <c r="R117" s="73">
        <f t="shared" si="9"/>
        <v>50.145699999999998</v>
      </c>
      <c r="S117" s="74">
        <v>-15.870699999999999</v>
      </c>
      <c r="T117" s="75">
        <v>-0.98519999999999996</v>
      </c>
      <c r="U117" s="72">
        <v>-31.908200000000001</v>
      </c>
      <c r="V117" s="73">
        <f t="shared" si="10"/>
        <v>31.908200000000001</v>
      </c>
      <c r="W117" s="74">
        <v>-4.4753999999999996</v>
      </c>
      <c r="X117" s="75">
        <v>-0.34739999999999999</v>
      </c>
      <c r="Y117" s="72">
        <v>-14.5236</v>
      </c>
      <c r="Z117" s="73">
        <f t="shared" si="11"/>
        <v>14.5236</v>
      </c>
      <c r="AA117" s="74">
        <v>-9.6404999999999994</v>
      </c>
      <c r="AB117" s="75">
        <v>1.0092000000000001</v>
      </c>
    </row>
    <row r="118" spans="17:28" x14ac:dyDescent="0.25">
      <c r="Q118" s="72">
        <v>-48.462699999999998</v>
      </c>
      <c r="R118" s="73">
        <f t="shared" si="9"/>
        <v>48.462699999999998</v>
      </c>
      <c r="S118" s="74">
        <v>-9.6835000000000004</v>
      </c>
      <c r="T118" s="75">
        <v>-3.0606</v>
      </c>
      <c r="U118" s="72">
        <v>-30.538699999999999</v>
      </c>
      <c r="V118" s="73">
        <f t="shared" si="10"/>
        <v>30.538699999999999</v>
      </c>
      <c r="W118" s="74">
        <v>-20.2925</v>
      </c>
      <c r="X118" s="75">
        <v>-4.0171999999999999</v>
      </c>
      <c r="Y118" s="72">
        <v>-13.009600000000001</v>
      </c>
      <c r="Z118" s="73">
        <f t="shared" si="11"/>
        <v>13.009600000000001</v>
      </c>
      <c r="AA118" s="74">
        <v>-16.649000000000001</v>
      </c>
      <c r="AB118" s="75">
        <v>0.38829999999999998</v>
      </c>
    </row>
    <row r="119" spans="17:28" x14ac:dyDescent="0.25">
      <c r="Q119" s="72">
        <v>-42.488999999999997</v>
      </c>
      <c r="R119" s="73">
        <f t="shared" si="9"/>
        <v>42.488999999999997</v>
      </c>
      <c r="S119" s="74">
        <v>40.697600000000001</v>
      </c>
      <c r="T119" s="75">
        <v>3.9180999999999999</v>
      </c>
      <c r="U119" s="72">
        <v>-26.4724</v>
      </c>
      <c r="V119" s="73">
        <f t="shared" si="10"/>
        <v>26.4724</v>
      </c>
      <c r="W119" s="74">
        <v>12.1822</v>
      </c>
      <c r="X119" s="75">
        <v>3.9190999999999998</v>
      </c>
      <c r="Y119" s="72">
        <v>-12.0572</v>
      </c>
      <c r="Z119" s="73">
        <f t="shared" si="11"/>
        <v>12.0572</v>
      </c>
      <c r="AA119" s="74">
        <v>5.2583000000000002</v>
      </c>
      <c r="AB119" s="75">
        <v>2.6019999999999999</v>
      </c>
    </row>
    <row r="120" spans="17:28" x14ac:dyDescent="0.25">
      <c r="Q120" s="72">
        <v>-40.805999999999997</v>
      </c>
      <c r="R120" s="73">
        <f t="shared" si="9"/>
        <v>40.805999999999997</v>
      </c>
      <c r="S120" s="74">
        <v>15.8476</v>
      </c>
      <c r="T120" s="75">
        <v>0.43590000000000001</v>
      </c>
      <c r="U120" s="72">
        <v>-25.102900000000002</v>
      </c>
      <c r="V120" s="73">
        <f t="shared" si="10"/>
        <v>25.102900000000002</v>
      </c>
      <c r="W120" s="74">
        <v>4.4714</v>
      </c>
      <c r="X120" s="75">
        <v>0.3085</v>
      </c>
      <c r="Y120" s="72">
        <v>-10.543200000000001</v>
      </c>
      <c r="Z120" s="73">
        <f t="shared" si="11"/>
        <v>10.543200000000001</v>
      </c>
      <c r="AA120" s="74">
        <v>9.8849999999999998</v>
      </c>
      <c r="AB120" s="75">
        <v>1.7352000000000001</v>
      </c>
    </row>
    <row r="121" spans="17:28" x14ac:dyDescent="0.25">
      <c r="Q121" s="72">
        <v>-39.122999999999998</v>
      </c>
      <c r="R121" s="73">
        <f t="shared" si="9"/>
        <v>39.122999999999998</v>
      </c>
      <c r="S121" s="74">
        <v>9.6336999999999993</v>
      </c>
      <c r="T121" s="75">
        <v>0.71130000000000004</v>
      </c>
      <c r="U121" s="72">
        <v>-23.733499999999999</v>
      </c>
      <c r="V121" s="73">
        <f t="shared" si="10"/>
        <v>23.733499999999999</v>
      </c>
      <c r="W121" s="74">
        <v>20.488199999999999</v>
      </c>
      <c r="X121" s="75">
        <v>-0.59630000000000005</v>
      </c>
      <c r="Y121" s="72">
        <v>-9.0291999999999994</v>
      </c>
      <c r="Z121" s="73">
        <f t="shared" si="11"/>
        <v>9.0291999999999994</v>
      </c>
      <c r="AA121" s="74">
        <v>17.506499999999999</v>
      </c>
      <c r="AB121" s="75">
        <v>4.1711</v>
      </c>
    </row>
    <row r="122" spans="17:28" x14ac:dyDescent="0.25">
      <c r="Q122" s="72">
        <v>-51.828600000000002</v>
      </c>
      <c r="R122" s="73">
        <f t="shared" si="9"/>
        <v>51.828600000000002</v>
      </c>
      <c r="S122" s="74">
        <v>-40.694000000000003</v>
      </c>
      <c r="T122" s="75">
        <v>-2.6675</v>
      </c>
      <c r="U122" s="72">
        <v>-33.277700000000003</v>
      </c>
      <c r="V122" s="73">
        <f t="shared" si="10"/>
        <v>33.277700000000003</v>
      </c>
      <c r="W122" s="74">
        <v>-12.385999999999999</v>
      </c>
      <c r="X122" s="75">
        <v>0.61650000000000005</v>
      </c>
      <c r="Y122" s="72">
        <v>-16.037600000000001</v>
      </c>
      <c r="Z122" s="73">
        <f t="shared" si="11"/>
        <v>16.037600000000001</v>
      </c>
      <c r="AA122" s="74">
        <v>-5.6268000000000002</v>
      </c>
      <c r="AB122" s="75">
        <v>-1.6726000000000001</v>
      </c>
    </row>
    <row r="123" spans="17:28" x14ac:dyDescent="0.25">
      <c r="Q123" s="72">
        <v>-50.145699999999998</v>
      </c>
      <c r="R123" s="73">
        <f t="shared" si="9"/>
        <v>50.145699999999998</v>
      </c>
      <c r="S123" s="74">
        <v>-15.870699999999999</v>
      </c>
      <c r="T123" s="75">
        <v>-0.98519999999999996</v>
      </c>
      <c r="U123" s="72">
        <v>-31.908200000000001</v>
      </c>
      <c r="V123" s="73">
        <f t="shared" si="10"/>
        <v>31.908200000000001</v>
      </c>
      <c r="W123" s="74">
        <v>-4.4753999999999996</v>
      </c>
      <c r="X123" s="75">
        <v>-0.34739999999999999</v>
      </c>
      <c r="Y123" s="72">
        <v>-14.5236</v>
      </c>
      <c r="Z123" s="73">
        <f t="shared" si="11"/>
        <v>14.5236</v>
      </c>
      <c r="AA123" s="74">
        <v>-9.6404999999999994</v>
      </c>
      <c r="AB123" s="75">
        <v>1.0092000000000001</v>
      </c>
    </row>
    <row r="124" spans="17:28" ht="15.75" thickBot="1" x14ac:dyDescent="0.3">
      <c r="Q124" s="76">
        <v>-48.462699999999998</v>
      </c>
      <c r="R124" s="77">
        <f t="shared" si="9"/>
        <v>48.462699999999998</v>
      </c>
      <c r="S124" s="78">
        <v>-9.6835000000000004</v>
      </c>
      <c r="T124" s="79">
        <v>-3.0606</v>
      </c>
      <c r="U124" s="76">
        <v>-30.538699999999999</v>
      </c>
      <c r="V124" s="77">
        <f t="shared" si="10"/>
        <v>30.538699999999999</v>
      </c>
      <c r="W124" s="78">
        <v>-20.2925</v>
      </c>
      <c r="X124" s="79">
        <v>-4.0171999999999999</v>
      </c>
      <c r="Y124" s="76">
        <v>-13.009600000000001</v>
      </c>
      <c r="Z124" s="77">
        <f t="shared" si="11"/>
        <v>13.009600000000001</v>
      </c>
      <c r="AA124" s="78">
        <v>-16.649000000000001</v>
      </c>
      <c r="AB124" s="79">
        <v>0.38829999999999998</v>
      </c>
    </row>
  </sheetData>
  <mergeCells count="7">
    <mergeCell ref="B73:C73"/>
    <mergeCell ref="Q17:T17"/>
    <mergeCell ref="U17:X17"/>
    <mergeCell ref="Y17:AB17"/>
    <mergeCell ref="B70:C70"/>
    <mergeCell ref="B71:C71"/>
    <mergeCell ref="B72:C7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3729-153E-42F0-AE39-ED8A0670D32F}">
  <dimension ref="B2:V628"/>
  <sheetViews>
    <sheetView workbookViewId="0">
      <selection activeCell="O28" sqref="O28"/>
    </sheetView>
  </sheetViews>
  <sheetFormatPr baseColWidth="10" defaultRowHeight="15" x14ac:dyDescent="0.25"/>
  <cols>
    <col min="2" max="2" width="14.42578125" customWidth="1"/>
  </cols>
  <sheetData>
    <row r="2" spans="2:9" x14ac:dyDescent="0.25">
      <c r="B2" s="41" t="s">
        <v>322</v>
      </c>
      <c r="C2" s="42"/>
      <c r="D2" s="41"/>
      <c r="G2" s="19" t="s">
        <v>227</v>
      </c>
      <c r="H2" s="19" t="s">
        <v>228</v>
      </c>
      <c r="I2" s="36" t="s">
        <v>229</v>
      </c>
    </row>
    <row r="3" spans="2:9" x14ac:dyDescent="0.25">
      <c r="G3" s="19" t="s">
        <v>230</v>
      </c>
      <c r="H3" s="37">
        <v>0.71</v>
      </c>
      <c r="I3" s="38">
        <v>0.95</v>
      </c>
    </row>
    <row r="4" spans="2:9" x14ac:dyDescent="0.25">
      <c r="B4" t="s">
        <v>323</v>
      </c>
      <c r="C4" s="1">
        <v>7.9</v>
      </c>
      <c r="D4" s="1" t="s">
        <v>25</v>
      </c>
      <c r="G4" s="19" t="s">
        <v>231</v>
      </c>
      <c r="H4" s="37">
        <v>1.29</v>
      </c>
      <c r="I4" s="38">
        <v>1.27</v>
      </c>
    </row>
    <row r="5" spans="2:9" x14ac:dyDescent="0.25">
      <c r="B5" t="s">
        <v>324</v>
      </c>
      <c r="C5" s="1">
        <v>0.24</v>
      </c>
      <c r="D5" s="1" t="s">
        <v>25</v>
      </c>
      <c r="G5" s="19" t="s">
        <v>232</v>
      </c>
      <c r="H5" s="37">
        <v>1.98</v>
      </c>
      <c r="I5" s="38">
        <v>1.59</v>
      </c>
    </row>
    <row r="6" spans="2:9" x14ac:dyDescent="0.25">
      <c r="B6" t="s">
        <v>236</v>
      </c>
      <c r="C6" s="1">
        <v>98.2</v>
      </c>
      <c r="D6" s="1" t="s">
        <v>238</v>
      </c>
      <c r="G6" s="19" t="s">
        <v>233</v>
      </c>
      <c r="H6" s="37">
        <v>2.85</v>
      </c>
      <c r="I6" s="38">
        <v>1.91</v>
      </c>
    </row>
    <row r="7" spans="2:9" x14ac:dyDescent="0.25">
      <c r="G7" s="19" t="s">
        <v>234</v>
      </c>
      <c r="H7" s="37">
        <v>5.07</v>
      </c>
      <c r="I7" s="38">
        <v>2.54</v>
      </c>
    </row>
    <row r="8" spans="2:9" x14ac:dyDescent="0.25">
      <c r="B8" s="82" t="s">
        <v>325</v>
      </c>
      <c r="C8" s="83"/>
      <c r="D8" s="83"/>
    </row>
    <row r="10" spans="2:9" x14ac:dyDescent="0.25">
      <c r="B10" s="35" t="s">
        <v>326</v>
      </c>
      <c r="C10" s="84">
        <f>H3</f>
        <v>0.71</v>
      </c>
    </row>
    <row r="11" spans="2:9" x14ac:dyDescent="0.25">
      <c r="B11" s="35" t="s">
        <v>327</v>
      </c>
      <c r="C11" s="85">
        <f>C6/C10</f>
        <v>138.3098591549296</v>
      </c>
    </row>
    <row r="12" spans="2:9" x14ac:dyDescent="0.25">
      <c r="B12" s="35" t="s">
        <v>328</v>
      </c>
      <c r="C12" s="85">
        <f>ROUNDUP(C11/2,0)</f>
        <v>70</v>
      </c>
      <c r="G12" s="1"/>
    </row>
    <row r="13" spans="2:9" x14ac:dyDescent="0.25">
      <c r="B13" s="35" t="s">
        <v>16</v>
      </c>
      <c r="C13" s="1">
        <f>((C4-(0.04*2))/(C12-1))*100</f>
        <v>11.333333333333334</v>
      </c>
      <c r="D13" t="s">
        <v>223</v>
      </c>
    </row>
    <row r="14" spans="2:9" x14ac:dyDescent="0.25">
      <c r="B14" s="35" t="s">
        <v>329</v>
      </c>
      <c r="C14" s="1">
        <f>3*C5*100</f>
        <v>72</v>
      </c>
      <c r="D14" t="s">
        <v>223</v>
      </c>
    </row>
    <row r="15" spans="2:9" x14ac:dyDescent="0.25">
      <c r="B15" s="35" t="s">
        <v>329</v>
      </c>
      <c r="C15" s="1">
        <v>40</v>
      </c>
      <c r="D15" t="s">
        <v>223</v>
      </c>
    </row>
    <row r="18" spans="2:6" x14ac:dyDescent="0.25">
      <c r="B18" s="82" t="s">
        <v>330</v>
      </c>
      <c r="C18" s="83"/>
      <c r="D18" s="83"/>
    </row>
    <row r="20" spans="2:6" x14ac:dyDescent="0.25">
      <c r="B20" s="4" t="s">
        <v>331</v>
      </c>
    </row>
    <row r="22" spans="2:6" x14ac:dyDescent="0.25">
      <c r="B22" t="s">
        <v>332</v>
      </c>
    </row>
    <row r="24" spans="2:6" x14ac:dyDescent="0.25">
      <c r="B24" t="s">
        <v>240</v>
      </c>
      <c r="C24">
        <v>2.5000000000000001E-3</v>
      </c>
    </row>
    <row r="25" spans="2:6" x14ac:dyDescent="0.25">
      <c r="B25" t="s">
        <v>222</v>
      </c>
      <c r="C25" s="1">
        <v>100</v>
      </c>
      <c r="D25" t="s">
        <v>223</v>
      </c>
    </row>
    <row r="26" spans="2:6" x14ac:dyDescent="0.25">
      <c r="B26" t="s">
        <v>242</v>
      </c>
      <c r="C26" s="1">
        <f>C24*C25*C5*100</f>
        <v>6</v>
      </c>
      <c r="D26" t="s">
        <v>333</v>
      </c>
    </row>
    <row r="27" spans="2:6" x14ac:dyDescent="0.25">
      <c r="B27" s="35" t="s">
        <v>326</v>
      </c>
      <c r="C27" s="84">
        <f>H3</f>
        <v>0.71</v>
      </c>
    </row>
    <row r="28" spans="2:6" x14ac:dyDescent="0.25">
      <c r="B28" s="35" t="s">
        <v>16</v>
      </c>
      <c r="C28" s="1">
        <f>(C27*2*C25)/C26</f>
        <v>23.666666666666668</v>
      </c>
      <c r="D28" t="s">
        <v>223</v>
      </c>
      <c r="E28" s="86" t="s">
        <v>334</v>
      </c>
      <c r="F28" s="3"/>
    </row>
    <row r="30" spans="2:6" x14ac:dyDescent="0.25">
      <c r="B30" t="s">
        <v>335</v>
      </c>
    </row>
    <row r="32" spans="2:6" x14ac:dyDescent="0.25">
      <c r="B32" t="s">
        <v>240</v>
      </c>
      <c r="C32">
        <v>2.5000000000000001E-3</v>
      </c>
    </row>
    <row r="33" spans="2:11" x14ac:dyDescent="0.25">
      <c r="B33" t="s">
        <v>222</v>
      </c>
      <c r="C33" s="1">
        <v>100</v>
      </c>
      <c r="D33" t="s">
        <v>223</v>
      </c>
    </row>
    <row r="34" spans="2:11" x14ac:dyDescent="0.25">
      <c r="B34" t="s">
        <v>242</v>
      </c>
      <c r="C34" s="1">
        <f>C32*C33*C5*100</f>
        <v>6</v>
      </c>
      <c r="D34" t="s">
        <v>333</v>
      </c>
    </row>
    <row r="35" spans="2:11" x14ac:dyDescent="0.25">
      <c r="B35" s="35" t="s">
        <v>326</v>
      </c>
      <c r="C35" s="84">
        <f>H3</f>
        <v>0.71</v>
      </c>
    </row>
    <row r="36" spans="2:11" x14ac:dyDescent="0.25">
      <c r="B36" s="35" t="s">
        <v>16</v>
      </c>
      <c r="C36" s="1">
        <f>(C35*2*C33)/C34</f>
        <v>23.666666666666668</v>
      </c>
      <c r="D36" t="s">
        <v>223</v>
      </c>
      <c r="E36" s="86" t="s">
        <v>334</v>
      </c>
      <c r="F36" s="3"/>
    </row>
    <row r="38" spans="2:11" x14ac:dyDescent="0.25">
      <c r="B38" s="4" t="s">
        <v>336</v>
      </c>
    </row>
    <row r="40" spans="2:11" x14ac:dyDescent="0.25">
      <c r="B40" t="s">
        <v>240</v>
      </c>
      <c r="C40">
        <v>0.01</v>
      </c>
      <c r="E40" t="s">
        <v>298</v>
      </c>
      <c r="F40">
        <f>C43*C40</f>
        <v>32.75</v>
      </c>
      <c r="G40" t="s">
        <v>238</v>
      </c>
      <c r="H40" s="40" t="s">
        <v>337</v>
      </c>
      <c r="J40" t="s">
        <v>338</v>
      </c>
    </row>
    <row r="41" spans="2:11" x14ac:dyDescent="0.25">
      <c r="B41" t="s">
        <v>241</v>
      </c>
      <c r="C41">
        <v>0.06</v>
      </c>
      <c r="E41" t="s">
        <v>243</v>
      </c>
      <c r="F41" s="1">
        <f>C43*C41</f>
        <v>196.5</v>
      </c>
      <c r="G41" t="s">
        <v>238</v>
      </c>
      <c r="J41" s="21">
        <f>(131-(4*2)-(I3*2)-(9*I5))/8</f>
        <v>13.348749999999999</v>
      </c>
      <c r="K41" s="4" t="s">
        <v>223</v>
      </c>
    </row>
    <row r="43" spans="2:11" x14ac:dyDescent="0.25">
      <c r="B43" t="s">
        <v>299</v>
      </c>
      <c r="C43">
        <f>131*25</f>
        <v>3275</v>
      </c>
      <c r="D43" t="s">
        <v>238</v>
      </c>
    </row>
    <row r="45" spans="2:11" x14ac:dyDescent="0.25">
      <c r="B45" s="4" t="s">
        <v>253</v>
      </c>
    </row>
    <row r="47" spans="2:11" x14ac:dyDescent="0.25">
      <c r="B47" t="s">
        <v>339</v>
      </c>
      <c r="D47" t="s">
        <v>340</v>
      </c>
      <c r="E47">
        <f>0.75*C6</f>
        <v>73.650000000000006</v>
      </c>
      <c r="F47" t="s">
        <v>238</v>
      </c>
    </row>
    <row r="48" spans="2:11" x14ac:dyDescent="0.25">
      <c r="B48" t="s">
        <v>341</v>
      </c>
      <c r="D48" t="s">
        <v>342</v>
      </c>
      <c r="E48">
        <f>0.25*C6</f>
        <v>24.55</v>
      </c>
      <c r="F48" t="s">
        <v>238</v>
      </c>
    </row>
    <row r="50" spans="2:5" x14ac:dyDescent="0.25">
      <c r="B50" t="s">
        <v>343</v>
      </c>
    </row>
    <row r="52" spans="2:5" x14ac:dyDescent="0.25">
      <c r="B52" t="s">
        <v>236</v>
      </c>
      <c r="C52" s="1">
        <f>E47/2</f>
        <v>36.825000000000003</v>
      </c>
      <c r="D52" t="s">
        <v>238</v>
      </c>
      <c r="E52" s="87" t="s">
        <v>300</v>
      </c>
    </row>
    <row r="54" spans="2:5" x14ac:dyDescent="0.25">
      <c r="B54" t="s">
        <v>344</v>
      </c>
    </row>
    <row r="56" spans="2:5" x14ac:dyDescent="0.25">
      <c r="B56" t="s">
        <v>236</v>
      </c>
      <c r="C56">
        <f>E48</f>
        <v>24.55</v>
      </c>
      <c r="D56" t="s">
        <v>238</v>
      </c>
    </row>
    <row r="57" spans="2:5" x14ac:dyDescent="0.25">
      <c r="B57" t="s">
        <v>345</v>
      </c>
      <c r="C57" s="1">
        <f>(C4-(0.25*2))*100</f>
        <v>740</v>
      </c>
      <c r="D57" t="s">
        <v>223</v>
      </c>
    </row>
    <row r="58" spans="2:5" x14ac:dyDescent="0.25">
      <c r="B58" s="35" t="s">
        <v>326</v>
      </c>
      <c r="C58" s="84">
        <f>H3</f>
        <v>0.71</v>
      </c>
    </row>
    <row r="59" spans="2:5" x14ac:dyDescent="0.25">
      <c r="B59" s="35" t="s">
        <v>327</v>
      </c>
      <c r="C59" s="85">
        <f>C56/C58</f>
        <v>34.577464788732399</v>
      </c>
    </row>
    <row r="60" spans="2:5" x14ac:dyDescent="0.25">
      <c r="B60" s="35" t="s">
        <v>328</v>
      </c>
      <c r="C60" s="85">
        <f>ROUNDUP(C59/2,0)</f>
        <v>18</v>
      </c>
    </row>
    <row r="61" spans="2:5" x14ac:dyDescent="0.25">
      <c r="B61" s="35" t="s">
        <v>16</v>
      </c>
      <c r="C61" s="1">
        <f>((C57)/(C60-1))</f>
        <v>43.529411764705884</v>
      </c>
      <c r="D61" t="s">
        <v>223</v>
      </c>
    </row>
    <row r="62" spans="2:5" x14ac:dyDescent="0.25">
      <c r="B62" s="35" t="s">
        <v>329</v>
      </c>
      <c r="C62" s="1">
        <f>3*C5*100</f>
        <v>72</v>
      </c>
      <c r="D62" t="s">
        <v>223</v>
      </c>
    </row>
    <row r="63" spans="2:5" x14ac:dyDescent="0.25">
      <c r="B63" s="35" t="s">
        <v>329</v>
      </c>
      <c r="C63" s="1">
        <v>40</v>
      </c>
      <c r="D63" t="s">
        <v>223</v>
      </c>
      <c r="E63" s="31" t="s">
        <v>346</v>
      </c>
    </row>
    <row r="65" spans="2:22" x14ac:dyDescent="0.25">
      <c r="Q65" s="88" t="s">
        <v>173</v>
      </c>
      <c r="R65" s="88"/>
      <c r="S65" s="88"/>
      <c r="T65" s="88"/>
      <c r="U65" s="88"/>
      <c r="V65" s="88"/>
    </row>
    <row r="66" spans="2:22" x14ac:dyDescent="0.25">
      <c r="B66" s="4" t="s">
        <v>301</v>
      </c>
      <c r="Q66" s="65" t="s">
        <v>347</v>
      </c>
      <c r="R66" s="65"/>
      <c r="S66" s="65"/>
      <c r="T66" s="65" t="s">
        <v>348</v>
      </c>
      <c r="U66" s="65"/>
      <c r="V66" s="65"/>
    </row>
    <row r="67" spans="2:22" x14ac:dyDescent="0.25">
      <c r="Q67" s="64" t="s">
        <v>155</v>
      </c>
      <c r="R67" s="64" t="s">
        <v>155</v>
      </c>
      <c r="S67" s="64" t="s">
        <v>312</v>
      </c>
      <c r="T67" s="64" t="s">
        <v>155</v>
      </c>
      <c r="U67" s="64" t="s">
        <v>155</v>
      </c>
      <c r="V67" s="64" t="s">
        <v>312</v>
      </c>
    </row>
    <row r="68" spans="2:22" x14ac:dyDescent="0.25">
      <c r="B68" t="s">
        <v>302</v>
      </c>
      <c r="Q68" s="64" t="s">
        <v>149</v>
      </c>
      <c r="R68" s="64" t="s">
        <v>149</v>
      </c>
      <c r="S68" s="64" t="s">
        <v>311</v>
      </c>
      <c r="T68" s="64" t="s">
        <v>149</v>
      </c>
      <c r="U68" s="64" t="s">
        <v>149</v>
      </c>
      <c r="V68" s="64" t="s">
        <v>311</v>
      </c>
    </row>
    <row r="69" spans="2:22" x14ac:dyDescent="0.25">
      <c r="B69" t="s">
        <v>303</v>
      </c>
      <c r="C69" t="s">
        <v>304</v>
      </c>
      <c r="D69" t="s">
        <v>305</v>
      </c>
      <c r="E69" t="s">
        <v>306</v>
      </c>
      <c r="F69" t="s">
        <v>304</v>
      </c>
      <c r="G69" t="s">
        <v>306</v>
      </c>
      <c r="H69" t="s">
        <v>309</v>
      </c>
      <c r="Q69" s="30">
        <v>-242.32409999999999</v>
      </c>
      <c r="R69">
        <f>-Q69</f>
        <v>242.32409999999999</v>
      </c>
      <c r="S69" s="30">
        <v>-259.60329999999999</v>
      </c>
      <c r="T69" s="30">
        <v>-17.289899999999999</v>
      </c>
      <c r="U69">
        <f>-T69</f>
        <v>17.289899999999999</v>
      </c>
      <c r="V69" s="30">
        <v>9.7100000000000006E-2</v>
      </c>
    </row>
    <row r="70" spans="2:22" x14ac:dyDescent="0.25">
      <c r="B70">
        <v>1</v>
      </c>
      <c r="C70">
        <v>3966.9168</v>
      </c>
      <c r="D70">
        <v>0</v>
      </c>
      <c r="E70">
        <v>0</v>
      </c>
      <c r="F70">
        <f>C70*0.7</f>
        <v>2776.8417599999998</v>
      </c>
      <c r="G70">
        <f t="shared" ref="G70:G80" si="0">E70*0.7</f>
        <v>0</v>
      </c>
      <c r="H70">
        <f>-G70</f>
        <v>0</v>
      </c>
      <c r="Q70" s="30">
        <v>-276.51209999999998</v>
      </c>
      <c r="R70">
        <f t="shared" ref="R70:R133" si="1">-Q70</f>
        <v>276.51209999999998</v>
      </c>
      <c r="S70" s="30">
        <v>-287.27730000000003</v>
      </c>
      <c r="T70" s="30">
        <v>-16.1662</v>
      </c>
      <c r="U70">
        <f t="shared" ref="U70:U133" si="2">-T70</f>
        <v>16.1662</v>
      </c>
      <c r="V70" s="30">
        <v>-0.1283</v>
      </c>
    </row>
    <row r="71" spans="2:22" x14ac:dyDescent="0.25">
      <c r="B71">
        <v>2</v>
      </c>
      <c r="C71">
        <v>3909.5666000000001</v>
      </c>
      <c r="D71">
        <v>0</v>
      </c>
      <c r="E71">
        <v>3753.6518000000001</v>
      </c>
      <c r="F71">
        <f t="shared" ref="F71:F80" si="3">C71*0.7</f>
        <v>2736.6966199999997</v>
      </c>
      <c r="G71">
        <f t="shared" si="0"/>
        <v>2627.5562599999998</v>
      </c>
      <c r="H71">
        <f t="shared" ref="H71:H80" si="4">-G71</f>
        <v>-2627.5562599999998</v>
      </c>
      <c r="Q71" s="30">
        <v>-229.18430000000001</v>
      </c>
      <c r="R71">
        <f t="shared" si="1"/>
        <v>229.18430000000001</v>
      </c>
      <c r="S71" s="30">
        <v>-164.77789999999999</v>
      </c>
      <c r="T71" s="30">
        <v>-15.709300000000001</v>
      </c>
      <c r="U71">
        <f t="shared" si="2"/>
        <v>15.709300000000001</v>
      </c>
      <c r="V71" s="30">
        <v>-7.1599999999999997E-2</v>
      </c>
    </row>
    <row r="72" spans="2:22" x14ac:dyDescent="0.25">
      <c r="B72">
        <v>3</v>
      </c>
      <c r="C72">
        <v>3521.7356</v>
      </c>
      <c r="D72">
        <v>0</v>
      </c>
      <c r="E72">
        <v>4827.5349999999999</v>
      </c>
      <c r="F72">
        <f t="shared" si="3"/>
        <v>2465.2149199999999</v>
      </c>
      <c r="G72">
        <f t="shared" si="0"/>
        <v>3379.2744999999995</v>
      </c>
      <c r="H72">
        <f t="shared" si="4"/>
        <v>-3379.2744999999995</v>
      </c>
      <c r="Q72" s="30">
        <v>-263.3723</v>
      </c>
      <c r="R72">
        <f t="shared" si="1"/>
        <v>263.3723</v>
      </c>
      <c r="S72" s="30">
        <v>-180.9332</v>
      </c>
      <c r="T72" s="30">
        <v>-14.585599999999999</v>
      </c>
      <c r="U72">
        <f t="shared" si="2"/>
        <v>14.585599999999999</v>
      </c>
      <c r="V72" s="30">
        <v>-2.4E-2</v>
      </c>
    </row>
    <row r="73" spans="2:22" x14ac:dyDescent="0.25">
      <c r="B73">
        <v>4</v>
      </c>
      <c r="C73">
        <v>3118.2936</v>
      </c>
      <c r="D73">
        <v>0</v>
      </c>
      <c r="E73">
        <v>5676.8252000000002</v>
      </c>
      <c r="F73">
        <f t="shared" si="3"/>
        <v>2182.8055199999999</v>
      </c>
      <c r="G73">
        <f t="shared" si="0"/>
        <v>3973.7776399999998</v>
      </c>
      <c r="H73">
        <f t="shared" si="4"/>
        <v>-3973.7776399999998</v>
      </c>
      <c r="Q73" s="30">
        <v>-206.87950000000001</v>
      </c>
      <c r="R73">
        <f t="shared" si="1"/>
        <v>206.87950000000001</v>
      </c>
      <c r="S73" s="30">
        <v>-262.1875</v>
      </c>
      <c r="T73" s="30">
        <v>-15.233000000000001</v>
      </c>
      <c r="U73">
        <f t="shared" si="2"/>
        <v>15.233000000000001</v>
      </c>
      <c r="V73" s="30">
        <v>-8.8400000000000006E-2</v>
      </c>
    </row>
    <row r="74" spans="2:22" x14ac:dyDescent="0.25">
      <c r="B74">
        <v>5</v>
      </c>
      <c r="C74">
        <v>2691.5059999999999</v>
      </c>
      <c r="D74">
        <v>0</v>
      </c>
      <c r="E74">
        <v>6320.9949999999999</v>
      </c>
      <c r="F74">
        <f t="shared" si="3"/>
        <v>1884.0541999999998</v>
      </c>
      <c r="G74">
        <f t="shared" si="0"/>
        <v>4424.6965</v>
      </c>
      <c r="H74">
        <f t="shared" si="4"/>
        <v>-4424.6965</v>
      </c>
      <c r="Q74" s="30">
        <v>-241.0676</v>
      </c>
      <c r="R74">
        <f t="shared" si="1"/>
        <v>241.0676</v>
      </c>
      <c r="S74" s="30">
        <v>-289.93400000000003</v>
      </c>
      <c r="T74" s="30">
        <v>-14.1089</v>
      </c>
      <c r="U74">
        <f t="shared" si="2"/>
        <v>14.1089</v>
      </c>
      <c r="V74" s="30">
        <v>5.7000000000000002E-3</v>
      </c>
    </row>
    <row r="75" spans="2:22" x14ac:dyDescent="0.25">
      <c r="B75">
        <v>6</v>
      </c>
      <c r="C75">
        <v>2227.4180000000001</v>
      </c>
      <c r="D75">
        <v>0</v>
      </c>
      <c r="E75">
        <v>6794.8406000000004</v>
      </c>
      <c r="F75">
        <f t="shared" si="3"/>
        <v>1559.1926000000001</v>
      </c>
      <c r="G75">
        <f t="shared" si="0"/>
        <v>4756.3884200000002</v>
      </c>
      <c r="H75">
        <f t="shared" si="4"/>
        <v>-4756.3884200000002</v>
      </c>
      <c r="Q75" s="30">
        <v>-207.46940000000001</v>
      </c>
      <c r="R75">
        <f t="shared" si="1"/>
        <v>207.46940000000001</v>
      </c>
      <c r="S75" s="30">
        <v>239.50389999999999</v>
      </c>
      <c r="T75" s="30">
        <v>-15.7157</v>
      </c>
      <c r="U75">
        <f t="shared" si="2"/>
        <v>15.7157</v>
      </c>
      <c r="V75" s="30">
        <v>-0.16289999999999999</v>
      </c>
    </row>
    <row r="76" spans="2:22" x14ac:dyDescent="0.25">
      <c r="B76">
        <v>7</v>
      </c>
      <c r="C76">
        <v>1805.0595000000001</v>
      </c>
      <c r="D76">
        <v>0</v>
      </c>
      <c r="E76">
        <v>6754.2275</v>
      </c>
      <c r="F76">
        <f t="shared" si="3"/>
        <v>1263.5416499999999</v>
      </c>
      <c r="G76">
        <f t="shared" si="0"/>
        <v>4727.9592499999999</v>
      </c>
      <c r="H76">
        <f t="shared" si="4"/>
        <v>-4727.9592499999999</v>
      </c>
      <c r="Q76" s="30">
        <v>-237.99440000000001</v>
      </c>
      <c r="R76">
        <f t="shared" si="1"/>
        <v>237.99440000000001</v>
      </c>
      <c r="S76" s="30">
        <v>684.61109999999996</v>
      </c>
      <c r="T76" s="30">
        <v>-14.5924</v>
      </c>
      <c r="U76">
        <f t="shared" si="2"/>
        <v>14.5924</v>
      </c>
      <c r="V76" s="30">
        <v>6.2799999999999995E-2</v>
      </c>
    </row>
    <row r="77" spans="2:22" x14ac:dyDescent="0.25">
      <c r="B77">
        <v>8</v>
      </c>
      <c r="C77">
        <v>1386.9786999999999</v>
      </c>
      <c r="D77">
        <v>0</v>
      </c>
      <c r="E77">
        <v>6342.8591999999999</v>
      </c>
      <c r="F77">
        <f t="shared" si="3"/>
        <v>970.88508999999988</v>
      </c>
      <c r="G77">
        <f t="shared" si="0"/>
        <v>4440.00144</v>
      </c>
      <c r="H77">
        <f t="shared" si="4"/>
        <v>-4440.00144</v>
      </c>
      <c r="Q77" s="30">
        <v>-208.0292</v>
      </c>
      <c r="R77">
        <f t="shared" si="1"/>
        <v>208.0292</v>
      </c>
      <c r="S77" s="30">
        <v>-672.31280000000004</v>
      </c>
      <c r="T77" s="30">
        <v>-22.548100000000002</v>
      </c>
      <c r="U77">
        <f t="shared" si="2"/>
        <v>22.548100000000002</v>
      </c>
      <c r="V77" s="30">
        <v>0.15579999999999999</v>
      </c>
    </row>
    <row r="78" spans="2:22" x14ac:dyDescent="0.25">
      <c r="B78">
        <v>9</v>
      </c>
      <c r="C78">
        <v>969.34820000000002</v>
      </c>
      <c r="D78">
        <v>0</v>
      </c>
      <c r="E78">
        <v>5578.2704000000003</v>
      </c>
      <c r="F78">
        <f t="shared" si="3"/>
        <v>678.54373999999996</v>
      </c>
      <c r="G78">
        <f t="shared" si="0"/>
        <v>3904.78928</v>
      </c>
      <c r="H78">
        <f t="shared" si="4"/>
        <v>-3904.78928</v>
      </c>
      <c r="Q78" s="30">
        <v>-238.55430000000001</v>
      </c>
      <c r="R78">
        <f t="shared" si="1"/>
        <v>238.55430000000001</v>
      </c>
      <c r="S78" s="30">
        <v>-1163.2239</v>
      </c>
      <c r="T78" s="30">
        <v>-21.424399999999999</v>
      </c>
      <c r="U78">
        <f t="shared" si="2"/>
        <v>21.424399999999999</v>
      </c>
      <c r="V78" s="30">
        <v>-0.1535</v>
      </c>
    </row>
    <row r="79" spans="2:22" x14ac:dyDescent="0.25">
      <c r="B79">
        <v>10</v>
      </c>
      <c r="C79">
        <v>551.14269999999999</v>
      </c>
      <c r="D79">
        <v>0</v>
      </c>
      <c r="E79">
        <v>4458.0249000000003</v>
      </c>
      <c r="F79">
        <f t="shared" si="3"/>
        <v>385.79988999999995</v>
      </c>
      <c r="G79">
        <f t="shared" si="0"/>
        <v>3120.6174300000002</v>
      </c>
      <c r="H79">
        <f t="shared" si="4"/>
        <v>-3120.6174300000002</v>
      </c>
      <c r="Q79" s="30">
        <v>-207.46940000000001</v>
      </c>
      <c r="R79">
        <f t="shared" si="1"/>
        <v>207.46940000000001</v>
      </c>
      <c r="S79" s="30">
        <v>239.50389999999999</v>
      </c>
      <c r="T79" s="30">
        <v>-20.533300000000001</v>
      </c>
      <c r="U79">
        <f t="shared" si="2"/>
        <v>20.533300000000001</v>
      </c>
      <c r="V79" s="30">
        <v>-5.0299999999999997E-2</v>
      </c>
    </row>
    <row r="80" spans="2:22" x14ac:dyDescent="0.25">
      <c r="B80">
        <v>11</v>
      </c>
      <c r="C80">
        <v>-646.79999999999995</v>
      </c>
      <c r="D80">
        <v>0</v>
      </c>
      <c r="E80">
        <v>0</v>
      </c>
      <c r="F80">
        <f t="shared" si="3"/>
        <v>-452.75999999999993</v>
      </c>
      <c r="G80">
        <f t="shared" si="0"/>
        <v>0</v>
      </c>
      <c r="H80">
        <f t="shared" si="4"/>
        <v>0</v>
      </c>
      <c r="Q80" s="30">
        <v>-237.99440000000001</v>
      </c>
      <c r="R80">
        <f t="shared" si="1"/>
        <v>237.99440000000001</v>
      </c>
      <c r="S80" s="30">
        <v>684.61109999999996</v>
      </c>
      <c r="T80" s="30">
        <v>-19.409600000000001</v>
      </c>
      <c r="U80">
        <f t="shared" si="2"/>
        <v>19.409600000000001</v>
      </c>
      <c r="V80" s="30">
        <v>-3.2099999999999997E-2</v>
      </c>
    </row>
    <row r="81" spans="17:22" x14ac:dyDescent="0.25">
      <c r="Q81" s="30">
        <v>-208.0292</v>
      </c>
      <c r="R81">
        <f t="shared" si="1"/>
        <v>208.0292</v>
      </c>
      <c r="S81" s="30">
        <v>-672.31280000000004</v>
      </c>
      <c r="T81" s="30">
        <v>-19.709</v>
      </c>
      <c r="U81">
        <f t="shared" si="2"/>
        <v>19.709</v>
      </c>
      <c r="V81" s="30">
        <v>-6.3200000000000006E-2</v>
      </c>
    </row>
    <row r="82" spans="17:22" x14ac:dyDescent="0.25">
      <c r="Q82" s="30">
        <v>-238.55430000000001</v>
      </c>
      <c r="R82">
        <f t="shared" si="1"/>
        <v>238.55430000000001</v>
      </c>
      <c r="S82" s="30">
        <v>-1163.2239</v>
      </c>
      <c r="T82" s="30">
        <v>-18.584900000000001</v>
      </c>
      <c r="U82">
        <f t="shared" si="2"/>
        <v>18.584900000000001</v>
      </c>
      <c r="V82" s="30">
        <v>-7.1000000000000004E-3</v>
      </c>
    </row>
    <row r="83" spans="17:22" x14ac:dyDescent="0.25">
      <c r="Q83" s="30">
        <v>-207.34440000000001</v>
      </c>
      <c r="R83">
        <f t="shared" si="1"/>
        <v>207.34440000000001</v>
      </c>
      <c r="S83" s="30">
        <v>465.1574</v>
      </c>
      <c r="T83" s="30">
        <v>-19.9101</v>
      </c>
      <c r="U83">
        <f t="shared" si="2"/>
        <v>19.9101</v>
      </c>
      <c r="V83" s="30">
        <v>-0.15060000000000001</v>
      </c>
    </row>
    <row r="84" spans="17:22" x14ac:dyDescent="0.25">
      <c r="Q84" s="30">
        <v>-237.86949999999999</v>
      </c>
      <c r="R84">
        <f t="shared" si="1"/>
        <v>237.86949999999999</v>
      </c>
      <c r="S84" s="30">
        <v>1136.5681999999999</v>
      </c>
      <c r="T84" s="30">
        <v>-18.786799999999999</v>
      </c>
      <c r="U84">
        <f t="shared" si="2"/>
        <v>18.786799999999999</v>
      </c>
      <c r="V84" s="30">
        <v>7.4700000000000003E-2</v>
      </c>
    </row>
    <row r="85" spans="17:22" x14ac:dyDescent="0.25">
      <c r="Q85" s="30">
        <v>-208.1542</v>
      </c>
      <c r="R85">
        <f t="shared" si="1"/>
        <v>208.1542</v>
      </c>
      <c r="S85" s="30">
        <v>-897.96630000000005</v>
      </c>
      <c r="T85" s="30">
        <v>-12.648199999999999</v>
      </c>
      <c r="U85">
        <f t="shared" si="2"/>
        <v>12.648199999999999</v>
      </c>
      <c r="V85" s="30">
        <v>5.1499999999999997E-2</v>
      </c>
    </row>
    <row r="86" spans="17:22" x14ac:dyDescent="0.25">
      <c r="Q86" s="30">
        <v>-238.67930000000001</v>
      </c>
      <c r="R86">
        <f t="shared" si="1"/>
        <v>238.67930000000001</v>
      </c>
      <c r="S86" s="30">
        <v>-1615.181</v>
      </c>
      <c r="T86" s="30">
        <v>-11.5245</v>
      </c>
      <c r="U86">
        <f t="shared" si="2"/>
        <v>11.5245</v>
      </c>
      <c r="V86" s="30">
        <v>-9.3299999999999994E-2</v>
      </c>
    </row>
    <row r="87" spans="17:22" x14ac:dyDescent="0.25">
      <c r="Q87" s="30">
        <v>-207.34440000000001</v>
      </c>
      <c r="R87">
        <f t="shared" si="1"/>
        <v>207.34440000000001</v>
      </c>
      <c r="S87" s="30">
        <v>465.1574</v>
      </c>
      <c r="T87" s="30">
        <v>-11.4199</v>
      </c>
      <c r="U87">
        <f t="shared" si="2"/>
        <v>11.4199</v>
      </c>
      <c r="V87" s="30">
        <v>-7.4099999999999999E-2</v>
      </c>
    </row>
    <row r="88" spans="17:22" x14ac:dyDescent="0.25">
      <c r="Q88" s="30">
        <v>-237.86949999999999</v>
      </c>
      <c r="R88">
        <f t="shared" si="1"/>
        <v>237.86949999999999</v>
      </c>
      <c r="S88" s="30">
        <v>1136.5681999999999</v>
      </c>
      <c r="T88" s="30">
        <v>-10.296200000000001</v>
      </c>
      <c r="U88">
        <f t="shared" si="2"/>
        <v>10.296200000000001</v>
      </c>
      <c r="V88" s="30">
        <v>-1.0699999999999999E-2</v>
      </c>
    </row>
    <row r="89" spans="17:22" x14ac:dyDescent="0.25">
      <c r="Q89" s="30">
        <v>-208.1542</v>
      </c>
      <c r="R89">
        <f t="shared" si="1"/>
        <v>208.1542</v>
      </c>
      <c r="S89" s="30">
        <v>-897.96630000000005</v>
      </c>
      <c r="T89" s="30">
        <v>-11.124499999999999</v>
      </c>
      <c r="U89">
        <f t="shared" si="2"/>
        <v>11.124499999999999</v>
      </c>
      <c r="V89" s="30">
        <v>-9.1399999999999995E-2</v>
      </c>
    </row>
    <row r="90" spans="17:22" x14ac:dyDescent="0.25">
      <c r="Q90" s="30">
        <v>-238.67930000000001</v>
      </c>
      <c r="R90">
        <f t="shared" si="1"/>
        <v>238.67930000000001</v>
      </c>
      <c r="S90" s="30">
        <v>-1615.181</v>
      </c>
      <c r="T90" s="30">
        <v>-10.000400000000001</v>
      </c>
      <c r="U90">
        <f t="shared" si="2"/>
        <v>10.000400000000001</v>
      </c>
      <c r="V90" s="30">
        <v>1.8800000000000001E-2</v>
      </c>
    </row>
    <row r="91" spans="17:22" x14ac:dyDescent="0.25">
      <c r="Q91" s="30">
        <v>-197.80779999999999</v>
      </c>
      <c r="R91">
        <f t="shared" si="1"/>
        <v>197.80779999999999</v>
      </c>
      <c r="S91" s="30">
        <v>309.2285</v>
      </c>
      <c r="T91" s="30">
        <v>-11.6624</v>
      </c>
      <c r="U91">
        <f t="shared" si="2"/>
        <v>11.6624</v>
      </c>
      <c r="V91" s="30">
        <v>-0.151</v>
      </c>
    </row>
    <row r="92" spans="17:22" x14ac:dyDescent="0.25">
      <c r="Q92" s="30">
        <v>-228.33279999999999</v>
      </c>
      <c r="R92">
        <f t="shared" si="1"/>
        <v>228.33279999999999</v>
      </c>
      <c r="S92" s="30">
        <v>762.80520000000001</v>
      </c>
      <c r="T92" s="30">
        <v>-10.539099999999999</v>
      </c>
      <c r="U92">
        <f t="shared" si="2"/>
        <v>10.539099999999999</v>
      </c>
      <c r="V92" s="30">
        <v>7.4899999999999994E-2</v>
      </c>
    </row>
    <row r="93" spans="17:22" x14ac:dyDescent="0.25">
      <c r="Q93" s="30">
        <v>-198.36760000000001</v>
      </c>
      <c r="R93">
        <f t="shared" si="1"/>
        <v>198.36760000000001</v>
      </c>
      <c r="S93" s="30">
        <v>-602.5883</v>
      </c>
      <c r="T93" s="30">
        <v>47.369700000000002</v>
      </c>
      <c r="U93">
        <f t="shared" si="2"/>
        <v>-47.369700000000002</v>
      </c>
      <c r="V93" s="30">
        <v>1.2949999999999999</v>
      </c>
    </row>
    <row r="94" spans="17:22" x14ac:dyDescent="0.25">
      <c r="Q94" s="30">
        <v>-228.89269999999999</v>
      </c>
      <c r="R94">
        <f t="shared" si="1"/>
        <v>228.89269999999999</v>
      </c>
      <c r="S94" s="30">
        <v>-1085.0297</v>
      </c>
      <c r="T94" s="30">
        <v>48.372999999999998</v>
      </c>
      <c r="U94">
        <f t="shared" si="2"/>
        <v>-48.372999999999998</v>
      </c>
      <c r="V94" s="30">
        <v>0.55110000000000003</v>
      </c>
    </row>
    <row r="95" spans="17:22" x14ac:dyDescent="0.25">
      <c r="Q95" s="30">
        <v>-197.80779999999999</v>
      </c>
      <c r="R95">
        <f t="shared" si="1"/>
        <v>197.80779999999999</v>
      </c>
      <c r="S95" s="30">
        <v>309.2285</v>
      </c>
      <c r="T95" s="30">
        <v>37.552</v>
      </c>
      <c r="U95">
        <f t="shared" si="2"/>
        <v>-37.552</v>
      </c>
      <c r="V95" s="30">
        <v>0.43490000000000001</v>
      </c>
    </row>
    <row r="96" spans="17:22" x14ac:dyDescent="0.25">
      <c r="Q96" s="30">
        <v>-228.33279999999999</v>
      </c>
      <c r="R96">
        <f t="shared" si="1"/>
        <v>228.33279999999999</v>
      </c>
      <c r="S96" s="30">
        <v>762.80520000000001</v>
      </c>
      <c r="T96" s="30">
        <v>38.555300000000003</v>
      </c>
      <c r="U96">
        <f t="shared" si="2"/>
        <v>-38.555300000000003</v>
      </c>
      <c r="V96" s="30">
        <v>0.3795</v>
      </c>
    </row>
    <row r="97" spans="17:22" x14ac:dyDescent="0.25">
      <c r="Q97" s="30">
        <v>-198.36760000000001</v>
      </c>
      <c r="R97">
        <f t="shared" si="1"/>
        <v>198.36760000000001</v>
      </c>
      <c r="S97" s="30">
        <v>-602.5883</v>
      </c>
      <c r="T97" s="30">
        <v>28.757899999999999</v>
      </c>
      <c r="U97">
        <f t="shared" si="2"/>
        <v>-28.757899999999999</v>
      </c>
      <c r="V97" s="30">
        <v>0.41710000000000003</v>
      </c>
    </row>
    <row r="98" spans="17:22" x14ac:dyDescent="0.25">
      <c r="Q98" s="30">
        <v>-228.89269999999999</v>
      </c>
      <c r="R98">
        <f t="shared" si="1"/>
        <v>228.89269999999999</v>
      </c>
      <c r="S98" s="30">
        <v>-1085.0297</v>
      </c>
      <c r="T98" s="30">
        <v>29.761600000000001</v>
      </c>
      <c r="U98">
        <f t="shared" si="2"/>
        <v>-29.761600000000001</v>
      </c>
      <c r="V98" s="30">
        <v>0.42220000000000002</v>
      </c>
    </row>
    <row r="99" spans="17:22" x14ac:dyDescent="0.25">
      <c r="Q99" s="30">
        <v>-197.68279999999999</v>
      </c>
      <c r="R99">
        <f t="shared" si="1"/>
        <v>197.68279999999999</v>
      </c>
      <c r="S99" s="30">
        <v>534.88189999999997</v>
      </c>
      <c r="T99" s="30">
        <v>20.347300000000001</v>
      </c>
      <c r="U99">
        <f t="shared" si="2"/>
        <v>-20.347300000000001</v>
      </c>
      <c r="V99" s="30">
        <v>0.2419</v>
      </c>
    </row>
    <row r="100" spans="17:22" x14ac:dyDescent="0.25">
      <c r="Q100" s="30">
        <v>-228.20779999999999</v>
      </c>
      <c r="R100">
        <f t="shared" si="1"/>
        <v>228.20779999999999</v>
      </c>
      <c r="S100" s="30">
        <v>1214.7623000000001</v>
      </c>
      <c r="T100" s="30">
        <v>21.350300000000001</v>
      </c>
      <c r="U100">
        <f t="shared" si="2"/>
        <v>-21.350300000000001</v>
      </c>
      <c r="V100" s="30">
        <v>0.38550000000000001</v>
      </c>
    </row>
    <row r="101" spans="17:22" x14ac:dyDescent="0.25">
      <c r="Q101" s="30">
        <v>-198.49260000000001</v>
      </c>
      <c r="R101">
        <f t="shared" si="1"/>
        <v>198.49260000000001</v>
      </c>
      <c r="S101" s="30">
        <v>-828.24180000000001</v>
      </c>
      <c r="T101" s="30">
        <v>-78.296000000000006</v>
      </c>
      <c r="U101">
        <f t="shared" si="2"/>
        <v>78.296000000000006</v>
      </c>
      <c r="V101" s="30">
        <v>-1.1186</v>
      </c>
    </row>
    <row r="102" spans="17:22" x14ac:dyDescent="0.25">
      <c r="Q102" s="30">
        <v>-229.01769999999999</v>
      </c>
      <c r="R102">
        <f t="shared" si="1"/>
        <v>229.01769999999999</v>
      </c>
      <c r="S102" s="30">
        <v>-1536.9867999999999</v>
      </c>
      <c r="T102" s="30">
        <v>-77.292699999999996</v>
      </c>
      <c r="U102">
        <f t="shared" si="2"/>
        <v>77.292699999999996</v>
      </c>
      <c r="V102" s="30">
        <v>-0.77600000000000002</v>
      </c>
    </row>
    <row r="103" spans="17:22" x14ac:dyDescent="0.25">
      <c r="Q103" s="30">
        <v>-197.68279999999999</v>
      </c>
      <c r="R103">
        <f t="shared" si="1"/>
        <v>197.68279999999999</v>
      </c>
      <c r="S103" s="30">
        <v>534.88189999999997</v>
      </c>
      <c r="T103" s="30">
        <v>-65.636200000000002</v>
      </c>
      <c r="U103">
        <f t="shared" si="2"/>
        <v>65.636200000000002</v>
      </c>
      <c r="V103" s="30">
        <v>-0.55649999999999999</v>
      </c>
    </row>
    <row r="104" spans="17:22" x14ac:dyDescent="0.25">
      <c r="Q104" s="30">
        <v>-228.20779999999999</v>
      </c>
      <c r="R104">
        <f t="shared" si="1"/>
        <v>228.20779999999999</v>
      </c>
      <c r="S104" s="30">
        <v>1214.7623000000001</v>
      </c>
      <c r="T104" s="30">
        <v>-64.632900000000006</v>
      </c>
      <c r="U104">
        <f t="shared" si="2"/>
        <v>64.632900000000006</v>
      </c>
      <c r="V104" s="30">
        <v>-0.4204</v>
      </c>
    </row>
    <row r="105" spans="17:22" x14ac:dyDescent="0.25">
      <c r="Q105" s="30">
        <v>-198.49260000000001</v>
      </c>
      <c r="R105">
        <f t="shared" si="1"/>
        <v>198.49260000000001</v>
      </c>
      <c r="S105" s="30">
        <v>-828.24180000000001</v>
      </c>
      <c r="T105" s="30">
        <v>-55.935600000000001</v>
      </c>
      <c r="U105">
        <f t="shared" si="2"/>
        <v>55.935600000000001</v>
      </c>
      <c r="V105" s="30">
        <v>-0.56740000000000002</v>
      </c>
    </row>
    <row r="106" spans="17:22" x14ac:dyDescent="0.25">
      <c r="Q106" s="30">
        <v>-229.01769999999999</v>
      </c>
      <c r="R106">
        <f t="shared" si="1"/>
        <v>229.01769999999999</v>
      </c>
      <c r="S106" s="30">
        <v>-1536.9867999999999</v>
      </c>
      <c r="T106" s="30">
        <v>-54.931899999999999</v>
      </c>
      <c r="U106">
        <f t="shared" si="2"/>
        <v>54.931899999999999</v>
      </c>
      <c r="V106" s="30">
        <v>-0.41189999999999999</v>
      </c>
    </row>
    <row r="107" spans="17:22" x14ac:dyDescent="0.25">
      <c r="Q107" s="30">
        <v>-181.40729999999999</v>
      </c>
      <c r="R107">
        <f t="shared" si="1"/>
        <v>181.40729999999999</v>
      </c>
      <c r="S107" s="30">
        <v>237.6037</v>
      </c>
      <c r="T107" s="30">
        <v>-48.302500000000002</v>
      </c>
      <c r="U107">
        <f t="shared" si="2"/>
        <v>48.302500000000002</v>
      </c>
      <c r="V107" s="30">
        <v>-0.52370000000000005</v>
      </c>
    </row>
    <row r="108" spans="17:22" x14ac:dyDescent="0.25">
      <c r="Q108" s="30">
        <v>-211.9323</v>
      </c>
      <c r="R108">
        <f t="shared" si="1"/>
        <v>211.9323</v>
      </c>
      <c r="S108" s="30">
        <v>682.6576</v>
      </c>
      <c r="T108" s="30">
        <v>-47.299500000000002</v>
      </c>
      <c r="U108">
        <f t="shared" si="2"/>
        <v>47.299500000000002</v>
      </c>
      <c r="V108" s="30">
        <v>-0.26719999999999999</v>
      </c>
    </row>
    <row r="109" spans="17:22" x14ac:dyDescent="0.25">
      <c r="Q109" s="30">
        <v>-181.96709999999999</v>
      </c>
      <c r="R109">
        <f t="shared" si="1"/>
        <v>181.96709999999999</v>
      </c>
      <c r="S109" s="30">
        <v>-674.21299999999997</v>
      </c>
      <c r="T109" s="30">
        <v>47.369700000000002</v>
      </c>
      <c r="U109">
        <f t="shared" si="2"/>
        <v>-47.369700000000002</v>
      </c>
      <c r="V109" s="30">
        <v>1.2949999999999999</v>
      </c>
    </row>
    <row r="110" spans="17:22" x14ac:dyDescent="0.25">
      <c r="Q110" s="30">
        <v>-212.49209999999999</v>
      </c>
      <c r="R110">
        <f t="shared" si="1"/>
        <v>212.49209999999999</v>
      </c>
      <c r="S110" s="30">
        <v>-1165.1773000000001</v>
      </c>
      <c r="T110" s="30">
        <v>48.372999999999998</v>
      </c>
      <c r="U110">
        <f t="shared" si="2"/>
        <v>-48.372999999999998</v>
      </c>
      <c r="V110" s="30">
        <v>0.55110000000000003</v>
      </c>
    </row>
    <row r="111" spans="17:22" x14ac:dyDescent="0.25">
      <c r="Q111" s="30">
        <v>-181.40729999999999</v>
      </c>
      <c r="R111">
        <f t="shared" si="1"/>
        <v>181.40729999999999</v>
      </c>
      <c r="S111" s="30">
        <v>237.6037</v>
      </c>
      <c r="T111" s="30">
        <v>37.552</v>
      </c>
      <c r="U111">
        <f t="shared" si="2"/>
        <v>-37.552</v>
      </c>
      <c r="V111" s="30">
        <v>0.43490000000000001</v>
      </c>
    </row>
    <row r="112" spans="17:22" x14ac:dyDescent="0.25">
      <c r="Q112" s="30">
        <v>-211.9323</v>
      </c>
      <c r="R112">
        <f t="shared" si="1"/>
        <v>211.9323</v>
      </c>
      <c r="S112" s="30">
        <v>682.6576</v>
      </c>
      <c r="T112" s="30">
        <v>38.555300000000003</v>
      </c>
      <c r="U112">
        <f t="shared" si="2"/>
        <v>-38.555300000000003</v>
      </c>
      <c r="V112" s="30">
        <v>0.3795</v>
      </c>
    </row>
    <row r="113" spans="17:22" x14ac:dyDescent="0.25">
      <c r="Q113" s="30">
        <v>-181.96709999999999</v>
      </c>
      <c r="R113">
        <f t="shared" si="1"/>
        <v>181.96709999999999</v>
      </c>
      <c r="S113" s="30">
        <v>-674.21299999999997</v>
      </c>
      <c r="T113" s="30">
        <v>28.757899999999999</v>
      </c>
      <c r="U113">
        <f t="shared" si="2"/>
        <v>-28.757899999999999</v>
      </c>
      <c r="V113" s="30">
        <v>0.41710000000000003</v>
      </c>
    </row>
    <row r="114" spans="17:22" x14ac:dyDescent="0.25">
      <c r="Q114" s="30">
        <v>-212.49209999999999</v>
      </c>
      <c r="R114">
        <f t="shared" si="1"/>
        <v>212.49209999999999</v>
      </c>
      <c r="S114" s="30">
        <v>-1165.1773000000001</v>
      </c>
      <c r="T114" s="30">
        <v>29.761600000000001</v>
      </c>
      <c r="U114">
        <f t="shared" si="2"/>
        <v>-29.761600000000001</v>
      </c>
      <c r="V114" s="30">
        <v>0.42220000000000002</v>
      </c>
    </row>
    <row r="115" spans="17:22" x14ac:dyDescent="0.25">
      <c r="Q115" s="30">
        <v>-181.28229999999999</v>
      </c>
      <c r="R115">
        <f t="shared" si="1"/>
        <v>181.28229999999999</v>
      </c>
      <c r="S115" s="30">
        <v>463.25720000000001</v>
      </c>
      <c r="T115" s="30">
        <v>20.347300000000001</v>
      </c>
      <c r="U115">
        <f t="shared" si="2"/>
        <v>-20.347300000000001</v>
      </c>
      <c r="V115" s="30">
        <v>0.2419</v>
      </c>
    </row>
    <row r="116" spans="17:22" x14ac:dyDescent="0.25">
      <c r="Q116" s="30">
        <v>-211.8073</v>
      </c>
      <c r="R116">
        <f t="shared" si="1"/>
        <v>211.8073</v>
      </c>
      <c r="S116" s="30">
        <v>1134.6147000000001</v>
      </c>
      <c r="T116" s="30">
        <v>21.350300000000001</v>
      </c>
      <c r="U116">
        <f t="shared" si="2"/>
        <v>-21.350300000000001</v>
      </c>
      <c r="V116" s="30">
        <v>0.38550000000000001</v>
      </c>
    </row>
    <row r="117" spans="17:22" x14ac:dyDescent="0.25">
      <c r="Q117" s="30">
        <v>-182.09209999999999</v>
      </c>
      <c r="R117">
        <f t="shared" si="1"/>
        <v>182.09209999999999</v>
      </c>
      <c r="S117" s="30">
        <v>-899.86649999999997</v>
      </c>
      <c r="T117" s="30">
        <v>-78.296000000000006</v>
      </c>
      <c r="U117">
        <f t="shared" si="2"/>
        <v>78.296000000000006</v>
      </c>
      <c r="V117" s="30">
        <v>-1.1186</v>
      </c>
    </row>
    <row r="118" spans="17:22" x14ac:dyDescent="0.25">
      <c r="Q118" s="30">
        <v>-212.61709999999999</v>
      </c>
      <c r="R118">
        <f t="shared" si="1"/>
        <v>212.61709999999999</v>
      </c>
      <c r="S118" s="30">
        <v>-1617.1344999999999</v>
      </c>
      <c r="T118" s="30">
        <v>-77.292699999999996</v>
      </c>
      <c r="U118">
        <f t="shared" si="2"/>
        <v>77.292699999999996</v>
      </c>
      <c r="V118" s="30">
        <v>-0.77600000000000002</v>
      </c>
    </row>
    <row r="119" spans="17:22" x14ac:dyDescent="0.25">
      <c r="Q119" s="30">
        <v>-181.28229999999999</v>
      </c>
      <c r="R119">
        <f t="shared" si="1"/>
        <v>181.28229999999999</v>
      </c>
      <c r="S119" s="30">
        <v>463.25720000000001</v>
      </c>
      <c r="T119" s="30">
        <v>-65.636200000000002</v>
      </c>
      <c r="U119">
        <f t="shared" si="2"/>
        <v>65.636200000000002</v>
      </c>
      <c r="V119" s="30">
        <v>-0.55649999999999999</v>
      </c>
    </row>
    <row r="120" spans="17:22" x14ac:dyDescent="0.25">
      <c r="Q120" s="30">
        <v>-211.8073</v>
      </c>
      <c r="R120">
        <f t="shared" si="1"/>
        <v>211.8073</v>
      </c>
      <c r="S120" s="30">
        <v>1134.6147000000001</v>
      </c>
      <c r="T120" s="30">
        <v>-64.632900000000006</v>
      </c>
      <c r="U120">
        <f t="shared" si="2"/>
        <v>64.632900000000006</v>
      </c>
      <c r="V120" s="30">
        <v>-0.4204</v>
      </c>
    </row>
    <row r="121" spans="17:22" x14ac:dyDescent="0.25">
      <c r="Q121" s="30">
        <v>-182.09209999999999</v>
      </c>
      <c r="R121">
        <f t="shared" si="1"/>
        <v>182.09209999999999</v>
      </c>
      <c r="S121" s="30">
        <v>-899.86649999999997</v>
      </c>
      <c r="T121" s="30">
        <v>-55.935600000000001</v>
      </c>
      <c r="U121">
        <f t="shared" si="2"/>
        <v>55.935600000000001</v>
      </c>
      <c r="V121" s="30">
        <v>-0.56740000000000002</v>
      </c>
    </row>
    <row r="122" spans="17:22" x14ac:dyDescent="0.25">
      <c r="Q122" s="30">
        <v>-212.61709999999999</v>
      </c>
      <c r="R122">
        <f t="shared" si="1"/>
        <v>212.61709999999999</v>
      </c>
      <c r="S122" s="30">
        <v>-1617.1344999999999</v>
      </c>
      <c r="T122" s="30">
        <v>-54.931899999999999</v>
      </c>
      <c r="U122">
        <f t="shared" si="2"/>
        <v>54.931899999999999</v>
      </c>
      <c r="V122" s="30">
        <v>-0.41189999999999999</v>
      </c>
    </row>
    <row r="123" spans="17:22" x14ac:dyDescent="0.25">
      <c r="Q123" s="30">
        <v>-120.3651</v>
      </c>
      <c r="R123">
        <f t="shared" si="1"/>
        <v>120.3651</v>
      </c>
      <c r="S123" s="30">
        <v>351.78800000000001</v>
      </c>
      <c r="T123" s="30">
        <v>-48.302500000000002</v>
      </c>
      <c r="U123">
        <f t="shared" si="2"/>
        <v>48.302500000000002</v>
      </c>
      <c r="V123" s="30">
        <v>-0.52370000000000005</v>
      </c>
    </row>
    <row r="124" spans="17:22" x14ac:dyDescent="0.25">
      <c r="Q124" s="30">
        <v>-142.34309999999999</v>
      </c>
      <c r="R124">
        <f t="shared" si="1"/>
        <v>142.34309999999999</v>
      </c>
      <c r="S124" s="30">
        <v>809.37909999999999</v>
      </c>
      <c r="T124" s="30">
        <v>-47.299500000000002</v>
      </c>
      <c r="U124">
        <f t="shared" si="2"/>
        <v>47.299500000000002</v>
      </c>
      <c r="V124" s="30">
        <v>-0.26719999999999999</v>
      </c>
    </row>
    <row r="125" spans="17:22" x14ac:dyDescent="0.25">
      <c r="Q125" s="30">
        <v>-120.925</v>
      </c>
      <c r="R125">
        <f t="shared" si="1"/>
        <v>120.925</v>
      </c>
      <c r="S125" s="30">
        <v>-560.02880000000005</v>
      </c>
      <c r="T125" s="30">
        <v>78.105099999999993</v>
      </c>
      <c r="U125">
        <f t="shared" si="2"/>
        <v>-78.105099999999993</v>
      </c>
      <c r="V125" s="30">
        <v>1.8782000000000001</v>
      </c>
    </row>
    <row r="126" spans="17:22" x14ac:dyDescent="0.25">
      <c r="Q126" s="30">
        <v>-142.90299999999999</v>
      </c>
      <c r="R126">
        <f t="shared" si="1"/>
        <v>142.90299999999999</v>
      </c>
      <c r="S126" s="30">
        <v>-1038.4558</v>
      </c>
      <c r="T126" s="30">
        <v>79.108400000000003</v>
      </c>
      <c r="U126">
        <f t="shared" si="2"/>
        <v>-79.108400000000003</v>
      </c>
      <c r="V126" s="30">
        <v>0.87119999999999997</v>
      </c>
    </row>
    <row r="127" spans="17:22" x14ac:dyDescent="0.25">
      <c r="Q127" s="30">
        <v>-120.3651</v>
      </c>
      <c r="R127">
        <f t="shared" si="1"/>
        <v>120.3651</v>
      </c>
      <c r="S127" s="30">
        <v>351.78800000000001</v>
      </c>
      <c r="T127" s="30">
        <v>62.871200000000002</v>
      </c>
      <c r="U127">
        <f t="shared" si="2"/>
        <v>-62.871200000000002</v>
      </c>
      <c r="V127" s="30">
        <v>0.6734</v>
      </c>
    </row>
    <row r="128" spans="17:22" x14ac:dyDescent="0.25">
      <c r="Q128" s="30">
        <v>-142.34309999999999</v>
      </c>
      <c r="R128">
        <f t="shared" si="1"/>
        <v>142.34309999999999</v>
      </c>
      <c r="S128" s="30">
        <v>809.37909999999999</v>
      </c>
      <c r="T128" s="30">
        <v>63.874499999999998</v>
      </c>
      <c r="U128">
        <f t="shared" si="2"/>
        <v>-63.874499999999998</v>
      </c>
      <c r="V128" s="30">
        <v>0.57099999999999995</v>
      </c>
    </row>
    <row r="129" spans="17:22" x14ac:dyDescent="0.25">
      <c r="Q129" s="30">
        <v>-120.925</v>
      </c>
      <c r="R129">
        <f t="shared" si="1"/>
        <v>120.925</v>
      </c>
      <c r="S129" s="30">
        <v>-560.02880000000005</v>
      </c>
      <c r="T129" s="30">
        <v>49.624000000000002</v>
      </c>
      <c r="U129">
        <f t="shared" si="2"/>
        <v>-49.624000000000002</v>
      </c>
      <c r="V129" s="30">
        <v>0.6542</v>
      </c>
    </row>
    <row r="130" spans="17:22" x14ac:dyDescent="0.25">
      <c r="Q130" s="30">
        <v>-142.90299999999999</v>
      </c>
      <c r="R130">
        <f t="shared" si="1"/>
        <v>142.90299999999999</v>
      </c>
      <c r="S130" s="30">
        <v>-1038.4558</v>
      </c>
      <c r="T130" s="30">
        <v>50.627600000000001</v>
      </c>
      <c r="U130">
        <f t="shared" si="2"/>
        <v>-50.627600000000001</v>
      </c>
      <c r="V130" s="30">
        <v>0.62229999999999996</v>
      </c>
    </row>
    <row r="131" spans="17:22" x14ac:dyDescent="0.25">
      <c r="Q131" s="30">
        <v>-120.2401</v>
      </c>
      <c r="R131">
        <f t="shared" si="1"/>
        <v>120.2401</v>
      </c>
      <c r="S131" s="30">
        <v>577.44140000000004</v>
      </c>
      <c r="T131" s="30">
        <v>37.333399999999997</v>
      </c>
      <c r="U131">
        <f t="shared" si="2"/>
        <v>-37.333399999999997</v>
      </c>
      <c r="V131" s="30">
        <v>0.42430000000000001</v>
      </c>
    </row>
    <row r="132" spans="17:22" x14ac:dyDescent="0.25">
      <c r="Q132" s="30">
        <v>-142.2182</v>
      </c>
      <c r="R132">
        <f t="shared" si="1"/>
        <v>142.2182</v>
      </c>
      <c r="S132" s="30">
        <v>1261.3362</v>
      </c>
      <c r="T132" s="30">
        <v>38.336399999999998</v>
      </c>
      <c r="U132">
        <f t="shared" si="2"/>
        <v>-38.336399999999998</v>
      </c>
      <c r="V132" s="30">
        <v>0.53749999999999998</v>
      </c>
    </row>
    <row r="133" spans="17:22" x14ac:dyDescent="0.25">
      <c r="Q133" s="30">
        <v>-121.04989999999999</v>
      </c>
      <c r="R133">
        <f t="shared" si="1"/>
        <v>121.04989999999999</v>
      </c>
      <c r="S133" s="30">
        <v>-785.68230000000005</v>
      </c>
      <c r="T133" s="30">
        <v>-109.0314</v>
      </c>
      <c r="U133">
        <f t="shared" si="2"/>
        <v>109.0314</v>
      </c>
      <c r="V133" s="30">
        <v>-1.7018</v>
      </c>
    </row>
    <row r="134" spans="17:22" x14ac:dyDescent="0.25">
      <c r="Q134" s="30">
        <v>-143.02799999999999</v>
      </c>
      <c r="R134">
        <f t="shared" ref="R134:R138" si="5">-Q134</f>
        <v>143.02799999999999</v>
      </c>
      <c r="S134" s="30">
        <v>-1490.413</v>
      </c>
      <c r="T134" s="30">
        <v>-108.02809999999999</v>
      </c>
      <c r="U134">
        <f t="shared" ref="U134:U197" si="6">-T134</f>
        <v>108.02809999999999</v>
      </c>
      <c r="V134" s="30">
        <v>-1.0961000000000001</v>
      </c>
    </row>
    <row r="135" spans="17:22" x14ac:dyDescent="0.25">
      <c r="Q135" s="30">
        <v>-120.2401</v>
      </c>
      <c r="R135">
        <f t="shared" si="5"/>
        <v>120.2401</v>
      </c>
      <c r="S135" s="30">
        <v>577.44140000000004</v>
      </c>
      <c r="T135" s="30">
        <v>-90.955399999999997</v>
      </c>
      <c r="U135">
        <f t="shared" si="6"/>
        <v>90.955399999999997</v>
      </c>
      <c r="V135" s="30">
        <v>-0.79490000000000005</v>
      </c>
    </row>
    <row r="136" spans="17:22" x14ac:dyDescent="0.25">
      <c r="Q136" s="30">
        <v>-142.2182</v>
      </c>
      <c r="R136">
        <f t="shared" si="5"/>
        <v>142.2182</v>
      </c>
      <c r="S136" s="30">
        <v>1261.3362</v>
      </c>
      <c r="T136" s="30">
        <v>-89.952100000000002</v>
      </c>
      <c r="U136">
        <f t="shared" si="6"/>
        <v>89.952100000000002</v>
      </c>
      <c r="V136" s="30">
        <v>-0.6119</v>
      </c>
    </row>
    <row r="137" spans="17:22" x14ac:dyDescent="0.25">
      <c r="Q137" s="30">
        <v>-121.04989999999999</v>
      </c>
      <c r="R137">
        <f t="shared" si="5"/>
        <v>121.04989999999999</v>
      </c>
      <c r="S137" s="30">
        <v>-785.68230000000005</v>
      </c>
      <c r="T137" s="30">
        <v>-76.801599999999993</v>
      </c>
      <c r="U137">
        <f t="shared" si="6"/>
        <v>76.801599999999993</v>
      </c>
      <c r="V137" s="30">
        <v>-0.80449999999999999</v>
      </c>
    </row>
    <row r="138" spans="17:22" x14ac:dyDescent="0.25">
      <c r="Q138" s="30">
        <v>-143.02799999999999</v>
      </c>
      <c r="R138">
        <f t="shared" si="5"/>
        <v>143.02799999999999</v>
      </c>
      <c r="S138" s="30">
        <v>-1490.413</v>
      </c>
      <c r="T138" s="30">
        <v>-75.798000000000002</v>
      </c>
      <c r="U138">
        <f t="shared" si="6"/>
        <v>75.798000000000002</v>
      </c>
      <c r="V138" s="30">
        <v>-0.61199999999999999</v>
      </c>
    </row>
    <row r="139" spans="17:22" x14ac:dyDescent="0.25">
      <c r="T139" s="30">
        <v>-65.288600000000002</v>
      </c>
      <c r="U139">
        <f t="shared" si="6"/>
        <v>65.288600000000002</v>
      </c>
      <c r="V139" s="30">
        <v>-0.70620000000000005</v>
      </c>
    </row>
    <row r="140" spans="17:22" x14ac:dyDescent="0.25">
      <c r="T140" s="30">
        <v>-64.285600000000002</v>
      </c>
      <c r="U140">
        <f t="shared" si="6"/>
        <v>64.285600000000002</v>
      </c>
      <c r="V140" s="30">
        <v>-0.41920000000000002</v>
      </c>
    </row>
    <row r="141" spans="17:22" x14ac:dyDescent="0.25">
      <c r="T141" s="30">
        <v>78.105099999999993</v>
      </c>
      <c r="U141">
        <f t="shared" si="6"/>
        <v>-78.105099999999993</v>
      </c>
      <c r="V141" s="30">
        <v>1.8782000000000001</v>
      </c>
    </row>
    <row r="142" spans="17:22" x14ac:dyDescent="0.25">
      <c r="T142" s="30">
        <v>79.108400000000003</v>
      </c>
      <c r="U142">
        <f t="shared" si="6"/>
        <v>-79.108400000000003</v>
      </c>
      <c r="V142" s="30">
        <v>0.87119999999999997</v>
      </c>
    </row>
    <row r="143" spans="17:22" x14ac:dyDescent="0.25">
      <c r="T143" s="30">
        <v>62.871200000000002</v>
      </c>
      <c r="U143">
        <f t="shared" si="6"/>
        <v>-62.871200000000002</v>
      </c>
      <c r="V143" s="30">
        <v>0.6734</v>
      </c>
    </row>
    <row r="144" spans="17:22" x14ac:dyDescent="0.25">
      <c r="T144" s="30">
        <v>63.874499999999998</v>
      </c>
      <c r="U144">
        <f t="shared" si="6"/>
        <v>-63.874499999999998</v>
      </c>
      <c r="V144" s="30">
        <v>0.57099999999999995</v>
      </c>
    </row>
    <row r="145" spans="20:22" x14ac:dyDescent="0.25">
      <c r="T145" s="30">
        <v>49.624000000000002</v>
      </c>
      <c r="U145">
        <f t="shared" si="6"/>
        <v>-49.624000000000002</v>
      </c>
      <c r="V145" s="30">
        <v>0.6542</v>
      </c>
    </row>
    <row r="146" spans="20:22" x14ac:dyDescent="0.25">
      <c r="T146" s="30">
        <v>50.627600000000001</v>
      </c>
      <c r="U146">
        <f t="shared" si="6"/>
        <v>-50.627600000000001</v>
      </c>
      <c r="V146" s="30">
        <v>0.62229999999999996</v>
      </c>
    </row>
    <row r="147" spans="20:22" x14ac:dyDescent="0.25">
      <c r="T147" s="30">
        <v>37.333399999999997</v>
      </c>
      <c r="U147">
        <f t="shared" si="6"/>
        <v>-37.333399999999997</v>
      </c>
      <c r="V147" s="30">
        <v>0.42430000000000001</v>
      </c>
    </row>
    <row r="148" spans="20:22" x14ac:dyDescent="0.25">
      <c r="T148" s="30">
        <v>38.336399999999998</v>
      </c>
      <c r="U148">
        <f t="shared" si="6"/>
        <v>-38.336399999999998</v>
      </c>
      <c r="V148" s="30">
        <v>0.53749999999999998</v>
      </c>
    </row>
    <row r="149" spans="20:22" x14ac:dyDescent="0.25">
      <c r="T149" s="30">
        <v>-109.0314</v>
      </c>
      <c r="U149">
        <f t="shared" si="6"/>
        <v>109.0314</v>
      </c>
      <c r="V149" s="30">
        <v>-1.7018</v>
      </c>
    </row>
    <row r="150" spans="20:22" x14ac:dyDescent="0.25">
      <c r="T150" s="30">
        <v>-108.02809999999999</v>
      </c>
      <c r="U150">
        <f t="shared" si="6"/>
        <v>108.02809999999999</v>
      </c>
      <c r="V150" s="30">
        <v>-1.0961000000000001</v>
      </c>
    </row>
    <row r="151" spans="20:22" x14ac:dyDescent="0.25">
      <c r="T151" s="30">
        <v>-90.955399999999997</v>
      </c>
      <c r="U151">
        <f t="shared" si="6"/>
        <v>90.955399999999997</v>
      </c>
      <c r="V151" s="30">
        <v>-0.79490000000000005</v>
      </c>
    </row>
    <row r="152" spans="20:22" x14ac:dyDescent="0.25">
      <c r="T152" s="30">
        <v>-89.952100000000002</v>
      </c>
      <c r="U152">
        <f t="shared" si="6"/>
        <v>89.952100000000002</v>
      </c>
      <c r="V152" s="30">
        <v>-0.6119</v>
      </c>
    </row>
    <row r="153" spans="20:22" x14ac:dyDescent="0.25">
      <c r="T153" s="30">
        <v>-76.801599999999993</v>
      </c>
      <c r="U153">
        <f t="shared" si="6"/>
        <v>76.801599999999993</v>
      </c>
      <c r="V153" s="30">
        <v>-0.80449999999999999</v>
      </c>
    </row>
    <row r="154" spans="20:22" x14ac:dyDescent="0.25">
      <c r="T154" s="30">
        <v>-75.798000000000002</v>
      </c>
      <c r="U154">
        <f t="shared" si="6"/>
        <v>75.798000000000002</v>
      </c>
      <c r="V154" s="30">
        <v>-0.61199999999999999</v>
      </c>
    </row>
    <row r="155" spans="20:22" x14ac:dyDescent="0.25">
      <c r="T155" s="30">
        <v>-65.288600000000002</v>
      </c>
      <c r="U155">
        <f t="shared" si="6"/>
        <v>65.288600000000002</v>
      </c>
      <c r="V155" s="30">
        <v>-0.70620000000000005</v>
      </c>
    </row>
    <row r="156" spans="20:22" x14ac:dyDescent="0.25">
      <c r="T156" s="30">
        <v>-64.285600000000002</v>
      </c>
      <c r="U156">
        <f t="shared" si="6"/>
        <v>64.285600000000002</v>
      </c>
      <c r="V156" s="30">
        <v>-0.41920000000000002</v>
      </c>
    </row>
    <row r="157" spans="20:22" x14ac:dyDescent="0.25">
      <c r="T157" s="30">
        <v>43.503399999999999</v>
      </c>
      <c r="U157">
        <f t="shared" si="6"/>
        <v>-43.503399999999999</v>
      </c>
      <c r="V157" s="30">
        <v>1.3382000000000001</v>
      </c>
    </row>
    <row r="158" spans="20:22" x14ac:dyDescent="0.25">
      <c r="T158" s="30">
        <v>44.506700000000002</v>
      </c>
      <c r="U158">
        <f t="shared" si="6"/>
        <v>-44.506700000000002</v>
      </c>
      <c r="V158" s="30">
        <v>0.53259999999999996</v>
      </c>
    </row>
    <row r="159" spans="20:22" x14ac:dyDescent="0.25">
      <c r="T159" s="30">
        <v>34.004899999999999</v>
      </c>
      <c r="U159">
        <f t="shared" si="6"/>
        <v>-34.004899999999999</v>
      </c>
      <c r="V159" s="30">
        <v>0.45050000000000001</v>
      </c>
    </row>
    <row r="160" spans="20:22" x14ac:dyDescent="0.25">
      <c r="T160" s="30">
        <v>35.008200000000002</v>
      </c>
      <c r="U160">
        <f t="shared" si="6"/>
        <v>-35.008200000000002</v>
      </c>
      <c r="V160" s="30">
        <v>0.3735</v>
      </c>
    </row>
    <row r="161" spans="20:22" x14ac:dyDescent="0.25">
      <c r="T161" s="30">
        <v>25.466799999999999</v>
      </c>
      <c r="U161">
        <f t="shared" si="6"/>
        <v>-25.466799999999999</v>
      </c>
      <c r="V161" s="30">
        <v>0.43559999999999999</v>
      </c>
    </row>
    <row r="162" spans="20:22" x14ac:dyDescent="0.25">
      <c r="T162" s="30">
        <v>26.470400000000001</v>
      </c>
      <c r="U162">
        <f t="shared" si="6"/>
        <v>-26.470400000000001</v>
      </c>
      <c r="V162" s="30">
        <v>0.4128</v>
      </c>
    </row>
    <row r="163" spans="20:22" x14ac:dyDescent="0.25">
      <c r="T163" s="30">
        <v>17.263200000000001</v>
      </c>
      <c r="U163">
        <f t="shared" si="6"/>
        <v>-17.263200000000001</v>
      </c>
      <c r="V163" s="30">
        <v>0.25090000000000001</v>
      </c>
    </row>
    <row r="164" spans="20:22" x14ac:dyDescent="0.25">
      <c r="T164" s="30">
        <v>18.266100000000002</v>
      </c>
      <c r="U164">
        <f t="shared" si="6"/>
        <v>-18.266100000000002</v>
      </c>
      <c r="V164" s="30">
        <v>0.39419999999999999</v>
      </c>
    </row>
    <row r="165" spans="20:22" x14ac:dyDescent="0.25">
      <c r="T165" s="30">
        <v>-82.162300000000002</v>
      </c>
      <c r="U165">
        <f t="shared" si="6"/>
        <v>82.162300000000002</v>
      </c>
      <c r="V165" s="30">
        <v>-1.0752999999999999</v>
      </c>
    </row>
    <row r="166" spans="20:22" x14ac:dyDescent="0.25">
      <c r="T166" s="30">
        <v>-81.159000000000006</v>
      </c>
      <c r="U166">
        <f t="shared" si="6"/>
        <v>81.159000000000006</v>
      </c>
      <c r="V166" s="30">
        <v>-0.79449999999999998</v>
      </c>
    </row>
    <row r="167" spans="20:22" x14ac:dyDescent="0.25">
      <c r="T167" s="30">
        <v>-69.183300000000003</v>
      </c>
      <c r="U167">
        <f t="shared" si="6"/>
        <v>69.183300000000003</v>
      </c>
      <c r="V167" s="30">
        <v>-0.54079999999999995</v>
      </c>
    </row>
    <row r="168" spans="20:22" x14ac:dyDescent="0.25">
      <c r="T168" s="30">
        <v>-68.180000000000007</v>
      </c>
      <c r="U168">
        <f t="shared" si="6"/>
        <v>68.180000000000007</v>
      </c>
      <c r="V168" s="30">
        <v>-0.4264</v>
      </c>
    </row>
    <row r="169" spans="20:22" x14ac:dyDescent="0.25">
      <c r="T169" s="30">
        <v>-59.226700000000001</v>
      </c>
      <c r="U169">
        <f t="shared" si="6"/>
        <v>59.226700000000001</v>
      </c>
      <c r="V169" s="30">
        <v>-0.54890000000000005</v>
      </c>
    </row>
    <row r="170" spans="20:22" x14ac:dyDescent="0.25">
      <c r="T170" s="30">
        <v>-58.223100000000002</v>
      </c>
      <c r="U170">
        <f t="shared" si="6"/>
        <v>58.223100000000002</v>
      </c>
      <c r="V170" s="30">
        <v>-0.4214</v>
      </c>
    </row>
    <row r="171" spans="20:22" x14ac:dyDescent="0.25">
      <c r="T171" s="30">
        <v>-51.386600000000001</v>
      </c>
      <c r="U171">
        <f t="shared" si="6"/>
        <v>51.386600000000001</v>
      </c>
      <c r="V171" s="30">
        <v>-0.51470000000000005</v>
      </c>
    </row>
    <row r="172" spans="20:22" x14ac:dyDescent="0.25">
      <c r="T172" s="30">
        <v>-50.383600000000001</v>
      </c>
      <c r="U172">
        <f t="shared" si="6"/>
        <v>50.383600000000001</v>
      </c>
      <c r="V172" s="30">
        <v>-0.25840000000000002</v>
      </c>
    </row>
    <row r="173" spans="20:22" x14ac:dyDescent="0.25">
      <c r="T173" s="30">
        <v>43.503399999999999</v>
      </c>
      <c r="U173">
        <f t="shared" si="6"/>
        <v>-43.503399999999999</v>
      </c>
      <c r="V173" s="30">
        <v>1.3382000000000001</v>
      </c>
    </row>
    <row r="174" spans="20:22" x14ac:dyDescent="0.25">
      <c r="T174" s="30">
        <v>44.506700000000002</v>
      </c>
      <c r="U174">
        <f t="shared" si="6"/>
        <v>-44.506700000000002</v>
      </c>
      <c r="V174" s="30">
        <v>0.53259999999999996</v>
      </c>
    </row>
    <row r="175" spans="20:22" x14ac:dyDescent="0.25">
      <c r="T175" s="30">
        <v>34.004899999999999</v>
      </c>
      <c r="U175">
        <f t="shared" si="6"/>
        <v>-34.004899999999999</v>
      </c>
      <c r="V175" s="30">
        <v>0.45050000000000001</v>
      </c>
    </row>
    <row r="176" spans="20:22" x14ac:dyDescent="0.25">
      <c r="T176" s="30">
        <v>35.008200000000002</v>
      </c>
      <c r="U176">
        <f t="shared" si="6"/>
        <v>-35.008200000000002</v>
      </c>
      <c r="V176" s="30">
        <v>0.3735</v>
      </c>
    </row>
    <row r="177" spans="20:22" x14ac:dyDescent="0.25">
      <c r="T177" s="30">
        <v>25.466799999999999</v>
      </c>
      <c r="U177">
        <f t="shared" si="6"/>
        <v>-25.466799999999999</v>
      </c>
      <c r="V177" s="30">
        <v>0.43559999999999999</v>
      </c>
    </row>
    <row r="178" spans="20:22" x14ac:dyDescent="0.25">
      <c r="T178" s="30">
        <v>26.470400000000001</v>
      </c>
      <c r="U178">
        <f t="shared" si="6"/>
        <v>-26.470400000000001</v>
      </c>
      <c r="V178" s="30">
        <v>0.4128</v>
      </c>
    </row>
    <row r="179" spans="20:22" x14ac:dyDescent="0.25">
      <c r="T179" s="30">
        <v>17.263200000000001</v>
      </c>
      <c r="U179">
        <f t="shared" si="6"/>
        <v>-17.263200000000001</v>
      </c>
      <c r="V179" s="30">
        <v>0.25090000000000001</v>
      </c>
    </row>
    <row r="180" spans="20:22" x14ac:dyDescent="0.25">
      <c r="T180" s="30">
        <v>18.266100000000002</v>
      </c>
      <c r="U180">
        <f t="shared" si="6"/>
        <v>-18.266100000000002</v>
      </c>
      <c r="V180" s="30">
        <v>0.39419999999999999</v>
      </c>
    </row>
    <row r="181" spans="20:22" x14ac:dyDescent="0.25">
      <c r="T181" s="30">
        <v>-82.162300000000002</v>
      </c>
      <c r="U181">
        <f t="shared" si="6"/>
        <v>82.162300000000002</v>
      </c>
      <c r="V181" s="30">
        <v>-1.0752999999999999</v>
      </c>
    </row>
    <row r="182" spans="20:22" x14ac:dyDescent="0.25">
      <c r="T182" s="30">
        <v>-81.159000000000006</v>
      </c>
      <c r="U182">
        <f t="shared" si="6"/>
        <v>81.159000000000006</v>
      </c>
      <c r="V182" s="30">
        <v>-0.79449999999999998</v>
      </c>
    </row>
    <row r="183" spans="20:22" x14ac:dyDescent="0.25">
      <c r="T183" s="30">
        <v>-69.183300000000003</v>
      </c>
      <c r="U183">
        <f t="shared" si="6"/>
        <v>69.183300000000003</v>
      </c>
      <c r="V183" s="30">
        <v>-0.54079999999999995</v>
      </c>
    </row>
    <row r="184" spans="20:22" x14ac:dyDescent="0.25">
      <c r="T184" s="30">
        <v>-68.180000000000007</v>
      </c>
      <c r="U184">
        <f t="shared" si="6"/>
        <v>68.180000000000007</v>
      </c>
      <c r="V184" s="30">
        <v>-0.4264</v>
      </c>
    </row>
    <row r="185" spans="20:22" x14ac:dyDescent="0.25">
      <c r="T185" s="30">
        <v>-59.226700000000001</v>
      </c>
      <c r="U185">
        <f t="shared" si="6"/>
        <v>59.226700000000001</v>
      </c>
      <c r="V185" s="30">
        <v>-0.54890000000000005</v>
      </c>
    </row>
    <row r="186" spans="20:22" x14ac:dyDescent="0.25">
      <c r="T186" s="30">
        <v>-58.223100000000002</v>
      </c>
      <c r="U186">
        <f t="shared" si="6"/>
        <v>58.223100000000002</v>
      </c>
      <c r="V186" s="30">
        <v>-0.4214</v>
      </c>
    </row>
    <row r="187" spans="20:22" x14ac:dyDescent="0.25">
      <c r="T187" s="30">
        <v>-51.386600000000001</v>
      </c>
      <c r="U187">
        <f t="shared" si="6"/>
        <v>51.386600000000001</v>
      </c>
      <c r="V187" s="30">
        <v>-0.51470000000000005</v>
      </c>
    </row>
    <row r="188" spans="20:22" x14ac:dyDescent="0.25">
      <c r="T188" s="30">
        <v>-50.383600000000001</v>
      </c>
      <c r="U188">
        <f t="shared" si="6"/>
        <v>50.383600000000001</v>
      </c>
      <c r="V188" s="30">
        <v>-0.25840000000000002</v>
      </c>
    </row>
    <row r="189" spans="20:22" x14ac:dyDescent="0.25">
      <c r="T189" s="30">
        <v>74.238799999999998</v>
      </c>
      <c r="U189">
        <f t="shared" si="6"/>
        <v>-74.238799999999998</v>
      </c>
      <c r="V189" s="30">
        <v>1.9215</v>
      </c>
    </row>
    <row r="190" spans="20:22" x14ac:dyDescent="0.25">
      <c r="T190" s="30">
        <v>75.242099999999994</v>
      </c>
      <c r="U190">
        <f t="shared" si="6"/>
        <v>-75.242099999999994</v>
      </c>
      <c r="V190" s="30">
        <v>0.85270000000000001</v>
      </c>
    </row>
    <row r="191" spans="20:22" x14ac:dyDescent="0.25">
      <c r="T191" s="30">
        <v>59.324100000000001</v>
      </c>
      <c r="U191">
        <f t="shared" si="6"/>
        <v>-59.324100000000001</v>
      </c>
      <c r="V191" s="30">
        <v>0.68899999999999995</v>
      </c>
    </row>
    <row r="192" spans="20:22" x14ac:dyDescent="0.25">
      <c r="T192" s="30">
        <v>60.327399999999997</v>
      </c>
      <c r="U192">
        <f t="shared" si="6"/>
        <v>-60.327399999999997</v>
      </c>
      <c r="V192" s="30">
        <v>0.56510000000000005</v>
      </c>
    </row>
    <row r="193" spans="20:22" x14ac:dyDescent="0.25">
      <c r="T193" s="30">
        <v>46.332799999999999</v>
      </c>
      <c r="U193">
        <f t="shared" si="6"/>
        <v>-46.332799999999999</v>
      </c>
      <c r="V193" s="30">
        <v>0.67279999999999995</v>
      </c>
    </row>
    <row r="194" spans="20:22" x14ac:dyDescent="0.25">
      <c r="T194" s="30">
        <v>47.336500000000001</v>
      </c>
      <c r="U194">
        <f t="shared" si="6"/>
        <v>-47.336500000000001</v>
      </c>
      <c r="V194" s="30">
        <v>0.6129</v>
      </c>
    </row>
    <row r="195" spans="20:22" x14ac:dyDescent="0.25">
      <c r="T195" s="30">
        <v>34.249299999999998</v>
      </c>
      <c r="U195">
        <f t="shared" si="6"/>
        <v>-34.249299999999998</v>
      </c>
      <c r="V195" s="30">
        <v>0.43330000000000002</v>
      </c>
    </row>
    <row r="196" spans="20:22" x14ac:dyDescent="0.25">
      <c r="T196" s="30">
        <v>35.252200000000002</v>
      </c>
      <c r="U196">
        <f t="shared" si="6"/>
        <v>-35.252200000000002</v>
      </c>
      <c r="V196" s="30">
        <v>0.54630000000000001</v>
      </c>
    </row>
    <row r="197" spans="20:22" x14ac:dyDescent="0.25">
      <c r="T197" s="30">
        <v>-112.8977</v>
      </c>
      <c r="U197">
        <f t="shared" si="6"/>
        <v>112.8977</v>
      </c>
      <c r="V197" s="30">
        <v>-1.6586000000000001</v>
      </c>
    </row>
    <row r="198" spans="20:22" x14ac:dyDescent="0.25">
      <c r="T198" s="30">
        <v>-111.8944</v>
      </c>
      <c r="U198">
        <f t="shared" ref="U198:U261" si="7">-T198</f>
        <v>111.8944</v>
      </c>
      <c r="V198" s="30">
        <v>-1.1146</v>
      </c>
    </row>
    <row r="199" spans="20:22" x14ac:dyDescent="0.25">
      <c r="T199" s="30">
        <v>-94.502499999999998</v>
      </c>
      <c r="U199">
        <f t="shared" si="7"/>
        <v>94.502499999999998</v>
      </c>
      <c r="V199" s="30">
        <v>-0.77929999999999999</v>
      </c>
    </row>
    <row r="200" spans="20:22" x14ac:dyDescent="0.25">
      <c r="T200" s="30">
        <v>-93.499200000000002</v>
      </c>
      <c r="U200">
        <f t="shared" si="7"/>
        <v>93.499200000000002</v>
      </c>
      <c r="V200" s="30">
        <v>-0.6179</v>
      </c>
    </row>
    <row r="201" spans="20:22" x14ac:dyDescent="0.25">
      <c r="T201" s="30">
        <v>-80.092799999999997</v>
      </c>
      <c r="U201">
        <f t="shared" si="7"/>
        <v>80.092799999999997</v>
      </c>
      <c r="V201" s="30">
        <v>-0.78600000000000003</v>
      </c>
    </row>
    <row r="202" spans="20:22" x14ac:dyDescent="0.25">
      <c r="T202" s="30">
        <v>-79.089100000000002</v>
      </c>
      <c r="U202">
        <f t="shared" si="7"/>
        <v>79.089100000000002</v>
      </c>
      <c r="V202" s="30">
        <v>-0.62139999999999995</v>
      </c>
    </row>
    <row r="203" spans="20:22" x14ac:dyDescent="0.25">
      <c r="T203" s="30">
        <v>-68.372699999999995</v>
      </c>
      <c r="U203">
        <f t="shared" si="7"/>
        <v>68.372699999999995</v>
      </c>
      <c r="V203" s="30">
        <v>-0.69710000000000005</v>
      </c>
    </row>
    <row r="204" spans="20:22" x14ac:dyDescent="0.25">
      <c r="T204" s="30">
        <v>-67.369699999999995</v>
      </c>
      <c r="U204">
        <f t="shared" si="7"/>
        <v>67.369699999999995</v>
      </c>
      <c r="V204" s="30">
        <v>-0.41049999999999998</v>
      </c>
    </row>
    <row r="205" spans="20:22" x14ac:dyDescent="0.25">
      <c r="T205" s="30">
        <v>74.238799999999998</v>
      </c>
      <c r="U205">
        <f t="shared" si="7"/>
        <v>-74.238799999999998</v>
      </c>
      <c r="V205" s="30">
        <v>1.9215</v>
      </c>
    </row>
    <row r="206" spans="20:22" x14ac:dyDescent="0.25">
      <c r="T206" s="30">
        <v>75.242099999999994</v>
      </c>
      <c r="U206">
        <f t="shared" si="7"/>
        <v>-75.242099999999994</v>
      </c>
      <c r="V206" s="30">
        <v>0.85270000000000001</v>
      </c>
    </row>
    <row r="207" spans="20:22" x14ac:dyDescent="0.25">
      <c r="T207" s="30">
        <v>59.324100000000001</v>
      </c>
      <c r="U207">
        <f t="shared" si="7"/>
        <v>-59.324100000000001</v>
      </c>
      <c r="V207" s="30">
        <v>0.68899999999999995</v>
      </c>
    </row>
    <row r="208" spans="20:22" x14ac:dyDescent="0.25">
      <c r="T208" s="30">
        <v>60.327399999999997</v>
      </c>
      <c r="U208">
        <f t="shared" si="7"/>
        <v>-60.327399999999997</v>
      </c>
      <c r="V208" s="30">
        <v>0.56510000000000005</v>
      </c>
    </row>
    <row r="209" spans="20:22" x14ac:dyDescent="0.25">
      <c r="T209" s="30">
        <v>46.332799999999999</v>
      </c>
      <c r="U209">
        <f t="shared" si="7"/>
        <v>-46.332799999999999</v>
      </c>
      <c r="V209" s="30">
        <v>0.67279999999999995</v>
      </c>
    </row>
    <row r="210" spans="20:22" x14ac:dyDescent="0.25">
      <c r="T210" s="30">
        <v>47.336500000000001</v>
      </c>
      <c r="U210">
        <f t="shared" si="7"/>
        <v>-47.336500000000001</v>
      </c>
      <c r="V210" s="30">
        <v>0.6129</v>
      </c>
    </row>
    <row r="211" spans="20:22" x14ac:dyDescent="0.25">
      <c r="T211" s="30">
        <v>34.249299999999998</v>
      </c>
      <c r="U211">
        <f t="shared" si="7"/>
        <v>-34.249299999999998</v>
      </c>
      <c r="V211" s="30">
        <v>0.43330000000000002</v>
      </c>
    </row>
    <row r="212" spans="20:22" x14ac:dyDescent="0.25">
      <c r="T212" s="30">
        <v>35.252200000000002</v>
      </c>
      <c r="U212">
        <f t="shared" si="7"/>
        <v>-35.252200000000002</v>
      </c>
      <c r="V212" s="30">
        <v>0.54630000000000001</v>
      </c>
    </row>
    <row r="213" spans="20:22" x14ac:dyDescent="0.25">
      <c r="T213" s="30">
        <v>-112.8977</v>
      </c>
      <c r="U213">
        <f t="shared" si="7"/>
        <v>112.8977</v>
      </c>
      <c r="V213" s="30">
        <v>-1.6586000000000001</v>
      </c>
    </row>
    <row r="214" spans="20:22" x14ac:dyDescent="0.25">
      <c r="T214" s="30">
        <v>-111.8944</v>
      </c>
      <c r="U214">
        <f t="shared" si="7"/>
        <v>111.8944</v>
      </c>
      <c r="V214" s="30">
        <v>-1.1146</v>
      </c>
    </row>
    <row r="215" spans="20:22" x14ac:dyDescent="0.25">
      <c r="T215" s="30">
        <v>-94.502499999999998</v>
      </c>
      <c r="U215">
        <f t="shared" si="7"/>
        <v>94.502499999999998</v>
      </c>
      <c r="V215" s="30">
        <v>-0.77929999999999999</v>
      </c>
    </row>
    <row r="216" spans="20:22" x14ac:dyDescent="0.25">
      <c r="T216" s="30">
        <v>-93.499200000000002</v>
      </c>
      <c r="U216">
        <f t="shared" si="7"/>
        <v>93.499200000000002</v>
      </c>
      <c r="V216" s="30">
        <v>-0.6179</v>
      </c>
    </row>
    <row r="217" spans="20:22" x14ac:dyDescent="0.25">
      <c r="T217" s="30">
        <v>-80.092799999999997</v>
      </c>
      <c r="U217">
        <f t="shared" si="7"/>
        <v>80.092799999999997</v>
      </c>
      <c r="V217" s="30">
        <v>-0.78600000000000003</v>
      </c>
    </row>
    <row r="218" spans="20:22" x14ac:dyDescent="0.25">
      <c r="T218" s="30">
        <v>-79.089100000000002</v>
      </c>
      <c r="U218">
        <f t="shared" si="7"/>
        <v>79.089100000000002</v>
      </c>
      <c r="V218" s="30">
        <v>-0.62139999999999995</v>
      </c>
    </row>
    <row r="219" spans="20:22" x14ac:dyDescent="0.25">
      <c r="T219" s="30">
        <v>-68.372699999999995</v>
      </c>
      <c r="U219">
        <f t="shared" si="7"/>
        <v>68.372699999999995</v>
      </c>
      <c r="V219" s="30">
        <v>-0.69710000000000005</v>
      </c>
    </row>
    <row r="220" spans="20:22" x14ac:dyDescent="0.25">
      <c r="T220" s="30">
        <v>-67.369699999999995</v>
      </c>
      <c r="U220">
        <f t="shared" si="7"/>
        <v>67.369699999999995</v>
      </c>
      <c r="V220" s="30">
        <v>-0.41049999999999998</v>
      </c>
    </row>
    <row r="221" spans="20:22" x14ac:dyDescent="0.25">
      <c r="T221" s="30">
        <v>50.782800000000002</v>
      </c>
      <c r="U221">
        <f t="shared" si="7"/>
        <v>-50.782800000000002</v>
      </c>
      <c r="V221" s="30">
        <v>1.2614000000000001</v>
      </c>
    </row>
    <row r="222" spans="20:22" x14ac:dyDescent="0.25">
      <c r="T222" s="30">
        <v>51.786099999999998</v>
      </c>
      <c r="U222">
        <f t="shared" si="7"/>
        <v>-51.786099999999998</v>
      </c>
      <c r="V222" s="30">
        <v>0.57689999999999997</v>
      </c>
    </row>
    <row r="223" spans="20:22" x14ac:dyDescent="0.25">
      <c r="T223" s="30">
        <v>40.706000000000003</v>
      </c>
      <c r="U223">
        <f t="shared" si="7"/>
        <v>-40.706000000000003</v>
      </c>
      <c r="V223" s="30">
        <v>0.43309999999999998</v>
      </c>
    </row>
    <row r="224" spans="20:22" x14ac:dyDescent="0.25">
      <c r="T224" s="30">
        <v>41.709299999999999</v>
      </c>
      <c r="U224">
        <f t="shared" si="7"/>
        <v>-41.709299999999999</v>
      </c>
      <c r="V224" s="30">
        <v>0.38929999999999998</v>
      </c>
    </row>
    <row r="225" spans="20:22" x14ac:dyDescent="0.25">
      <c r="T225" s="30">
        <v>31.7789</v>
      </c>
      <c r="U225">
        <f t="shared" si="7"/>
        <v>-31.7789</v>
      </c>
      <c r="V225" s="30">
        <v>0.41489999999999999</v>
      </c>
    </row>
    <row r="226" spans="20:22" x14ac:dyDescent="0.25">
      <c r="T226" s="30">
        <v>32.782499999999999</v>
      </c>
      <c r="U226">
        <f t="shared" si="7"/>
        <v>-32.782499999999999</v>
      </c>
      <c r="V226" s="30">
        <v>0.43180000000000002</v>
      </c>
    </row>
    <row r="227" spans="20:22" x14ac:dyDescent="0.25">
      <c r="T227" s="30">
        <v>23.3276</v>
      </c>
      <c r="U227">
        <f t="shared" si="7"/>
        <v>-23.3276</v>
      </c>
      <c r="V227" s="30">
        <v>0.25059999999999999</v>
      </c>
    </row>
    <row r="228" spans="20:22" x14ac:dyDescent="0.25">
      <c r="T228" s="30">
        <v>24.3306</v>
      </c>
      <c r="U228">
        <f t="shared" si="7"/>
        <v>-24.3306</v>
      </c>
      <c r="V228" s="30">
        <v>0.39439999999999997</v>
      </c>
    </row>
    <row r="229" spans="20:22" x14ac:dyDescent="0.25">
      <c r="T229" s="30">
        <v>-74.882900000000006</v>
      </c>
      <c r="U229">
        <f t="shared" si="7"/>
        <v>74.882900000000006</v>
      </c>
      <c r="V229" s="30">
        <v>-1.1520999999999999</v>
      </c>
    </row>
    <row r="230" spans="20:22" x14ac:dyDescent="0.25">
      <c r="T230" s="30">
        <v>-73.879599999999996</v>
      </c>
      <c r="U230">
        <f t="shared" si="7"/>
        <v>73.879599999999996</v>
      </c>
      <c r="V230" s="30">
        <v>-0.75019999999999998</v>
      </c>
    </row>
    <row r="231" spans="20:22" x14ac:dyDescent="0.25">
      <c r="T231" s="30">
        <v>-62.482199999999999</v>
      </c>
      <c r="U231">
        <f t="shared" si="7"/>
        <v>62.482199999999999</v>
      </c>
      <c r="V231" s="30">
        <v>-0.55830000000000002</v>
      </c>
    </row>
    <row r="232" spans="20:22" x14ac:dyDescent="0.25">
      <c r="T232" s="30">
        <v>-61.478900000000003</v>
      </c>
      <c r="U232">
        <f t="shared" si="7"/>
        <v>61.478900000000003</v>
      </c>
      <c r="V232" s="30">
        <v>-0.41060000000000002</v>
      </c>
    </row>
    <row r="233" spans="20:22" x14ac:dyDescent="0.25">
      <c r="T233" s="30">
        <v>-52.9146</v>
      </c>
      <c r="U233">
        <f t="shared" si="7"/>
        <v>52.9146</v>
      </c>
      <c r="V233" s="30">
        <v>-0.5696</v>
      </c>
    </row>
    <row r="234" spans="20:22" x14ac:dyDescent="0.25">
      <c r="T234" s="30">
        <v>-51.911000000000001</v>
      </c>
      <c r="U234">
        <f t="shared" si="7"/>
        <v>51.911000000000001</v>
      </c>
      <c r="V234" s="30">
        <v>-0.40239999999999998</v>
      </c>
    </row>
    <row r="235" spans="20:22" x14ac:dyDescent="0.25">
      <c r="T235" s="30">
        <v>-45.322099999999999</v>
      </c>
      <c r="U235">
        <f t="shared" si="7"/>
        <v>45.322099999999999</v>
      </c>
      <c r="V235" s="30">
        <v>-0.51500000000000001</v>
      </c>
    </row>
    <row r="236" spans="20:22" x14ac:dyDescent="0.25">
      <c r="T236" s="30">
        <v>-44.319200000000002</v>
      </c>
      <c r="U236">
        <f t="shared" si="7"/>
        <v>44.319200000000002</v>
      </c>
      <c r="V236" s="30">
        <v>-0.25819999999999999</v>
      </c>
    </row>
    <row r="237" spans="20:22" x14ac:dyDescent="0.25">
      <c r="T237" s="30">
        <v>50.782800000000002</v>
      </c>
      <c r="U237">
        <f t="shared" si="7"/>
        <v>-50.782800000000002</v>
      </c>
      <c r="V237" s="30">
        <v>1.2614000000000001</v>
      </c>
    </row>
    <row r="238" spans="20:22" x14ac:dyDescent="0.25">
      <c r="T238" s="30">
        <v>51.786099999999998</v>
      </c>
      <c r="U238">
        <f t="shared" si="7"/>
        <v>-51.786099999999998</v>
      </c>
      <c r="V238" s="30">
        <v>0.57689999999999997</v>
      </c>
    </row>
    <row r="239" spans="20:22" x14ac:dyDescent="0.25">
      <c r="T239" s="30">
        <v>40.706000000000003</v>
      </c>
      <c r="U239">
        <f t="shared" si="7"/>
        <v>-40.706000000000003</v>
      </c>
      <c r="V239" s="30">
        <v>0.43309999999999998</v>
      </c>
    </row>
    <row r="240" spans="20:22" x14ac:dyDescent="0.25">
      <c r="T240" s="30">
        <v>41.709299999999999</v>
      </c>
      <c r="U240">
        <f t="shared" si="7"/>
        <v>-41.709299999999999</v>
      </c>
      <c r="V240" s="30">
        <v>0.38929999999999998</v>
      </c>
    </row>
    <row r="241" spans="20:22" x14ac:dyDescent="0.25">
      <c r="T241" s="30">
        <v>31.7789</v>
      </c>
      <c r="U241">
        <f t="shared" si="7"/>
        <v>-31.7789</v>
      </c>
      <c r="V241" s="30">
        <v>0.41489999999999999</v>
      </c>
    </row>
    <row r="242" spans="20:22" x14ac:dyDescent="0.25">
      <c r="T242" s="30">
        <v>32.782499999999999</v>
      </c>
      <c r="U242">
        <f t="shared" si="7"/>
        <v>-32.782499999999999</v>
      </c>
      <c r="V242" s="30">
        <v>0.43180000000000002</v>
      </c>
    </row>
    <row r="243" spans="20:22" x14ac:dyDescent="0.25">
      <c r="T243" s="30">
        <v>23.3276</v>
      </c>
      <c r="U243">
        <f t="shared" si="7"/>
        <v>-23.3276</v>
      </c>
      <c r="V243" s="30">
        <v>0.25059999999999999</v>
      </c>
    </row>
    <row r="244" spans="20:22" x14ac:dyDescent="0.25">
      <c r="T244" s="30">
        <v>24.3306</v>
      </c>
      <c r="U244">
        <f t="shared" si="7"/>
        <v>-24.3306</v>
      </c>
      <c r="V244" s="30">
        <v>0.39439999999999997</v>
      </c>
    </row>
    <row r="245" spans="20:22" x14ac:dyDescent="0.25">
      <c r="T245" s="30">
        <v>-74.882900000000006</v>
      </c>
      <c r="U245">
        <f t="shared" si="7"/>
        <v>74.882900000000006</v>
      </c>
      <c r="V245" s="30">
        <v>-1.1520999999999999</v>
      </c>
    </row>
    <row r="246" spans="20:22" x14ac:dyDescent="0.25">
      <c r="T246" s="30">
        <v>-73.879599999999996</v>
      </c>
      <c r="U246">
        <f t="shared" si="7"/>
        <v>73.879599999999996</v>
      </c>
      <c r="V246" s="30">
        <v>-0.75019999999999998</v>
      </c>
    </row>
    <row r="247" spans="20:22" x14ac:dyDescent="0.25">
      <c r="T247" s="30">
        <v>-62.482199999999999</v>
      </c>
      <c r="U247">
        <f t="shared" si="7"/>
        <v>62.482199999999999</v>
      </c>
      <c r="V247" s="30">
        <v>-0.55830000000000002</v>
      </c>
    </row>
    <row r="248" spans="20:22" x14ac:dyDescent="0.25">
      <c r="T248" s="30">
        <v>-61.478900000000003</v>
      </c>
      <c r="U248">
        <f t="shared" si="7"/>
        <v>61.478900000000003</v>
      </c>
      <c r="V248" s="30">
        <v>-0.41060000000000002</v>
      </c>
    </row>
    <row r="249" spans="20:22" x14ac:dyDescent="0.25">
      <c r="T249" s="30">
        <v>-52.9146</v>
      </c>
      <c r="U249">
        <f t="shared" si="7"/>
        <v>52.9146</v>
      </c>
      <c r="V249" s="30">
        <v>-0.5696</v>
      </c>
    </row>
    <row r="250" spans="20:22" x14ac:dyDescent="0.25">
      <c r="T250" s="30">
        <v>-51.911000000000001</v>
      </c>
      <c r="U250">
        <f t="shared" si="7"/>
        <v>51.911000000000001</v>
      </c>
      <c r="V250" s="30">
        <v>-0.40239999999999998</v>
      </c>
    </row>
    <row r="251" spans="20:22" x14ac:dyDescent="0.25">
      <c r="T251" s="30">
        <v>-45.322099999999999</v>
      </c>
      <c r="U251">
        <f t="shared" si="7"/>
        <v>45.322099999999999</v>
      </c>
      <c r="V251" s="30">
        <v>-0.51500000000000001</v>
      </c>
    </row>
    <row r="252" spans="20:22" x14ac:dyDescent="0.25">
      <c r="T252" s="30">
        <v>-44.319200000000002</v>
      </c>
      <c r="U252">
        <f t="shared" si="7"/>
        <v>44.319200000000002</v>
      </c>
      <c r="V252" s="30">
        <v>-0.25819999999999999</v>
      </c>
    </row>
    <row r="253" spans="20:22" x14ac:dyDescent="0.25">
      <c r="T253" s="30">
        <v>81.518199999999993</v>
      </c>
      <c r="U253">
        <f t="shared" si="7"/>
        <v>-81.518199999999993</v>
      </c>
      <c r="V253" s="30">
        <v>1.8447</v>
      </c>
    </row>
    <row r="254" spans="20:22" x14ac:dyDescent="0.25">
      <c r="T254" s="30">
        <v>82.521500000000003</v>
      </c>
      <c r="U254">
        <f t="shared" si="7"/>
        <v>-82.521500000000003</v>
      </c>
      <c r="V254" s="30">
        <v>0.89700000000000002</v>
      </c>
    </row>
    <row r="255" spans="20:22" x14ac:dyDescent="0.25">
      <c r="T255" s="30">
        <v>66.025199999999998</v>
      </c>
      <c r="U255">
        <f t="shared" si="7"/>
        <v>-66.025199999999998</v>
      </c>
      <c r="V255" s="30">
        <v>0.67159999999999997</v>
      </c>
    </row>
    <row r="256" spans="20:22" x14ac:dyDescent="0.25">
      <c r="T256" s="30">
        <v>67.028499999999994</v>
      </c>
      <c r="U256">
        <f t="shared" si="7"/>
        <v>-67.028499999999994</v>
      </c>
      <c r="V256" s="30">
        <v>0.58079999999999998</v>
      </c>
    </row>
    <row r="257" spans="20:22" x14ac:dyDescent="0.25">
      <c r="T257" s="30">
        <v>52.6449</v>
      </c>
      <c r="U257">
        <f t="shared" si="7"/>
        <v>-52.6449</v>
      </c>
      <c r="V257" s="30">
        <v>0.65200000000000002</v>
      </c>
    </row>
    <row r="258" spans="20:22" x14ac:dyDescent="0.25">
      <c r="T258" s="30">
        <v>53.648600000000002</v>
      </c>
      <c r="U258">
        <f t="shared" si="7"/>
        <v>-53.648600000000002</v>
      </c>
      <c r="V258" s="30">
        <v>0.63190000000000002</v>
      </c>
    </row>
    <row r="259" spans="20:22" x14ac:dyDescent="0.25">
      <c r="T259" s="30">
        <v>40.313699999999997</v>
      </c>
      <c r="U259">
        <f t="shared" si="7"/>
        <v>-40.313699999999997</v>
      </c>
      <c r="V259" s="30">
        <v>0.43309999999999998</v>
      </c>
    </row>
    <row r="260" spans="20:22" x14ac:dyDescent="0.25">
      <c r="T260" s="30">
        <v>41.316699999999997</v>
      </c>
      <c r="U260">
        <f t="shared" si="7"/>
        <v>-41.316699999999997</v>
      </c>
      <c r="V260" s="30">
        <v>0.54649999999999999</v>
      </c>
    </row>
    <row r="261" spans="20:22" x14ac:dyDescent="0.25">
      <c r="T261" s="30">
        <v>-105.6183</v>
      </c>
      <c r="U261">
        <f t="shared" si="7"/>
        <v>105.6183</v>
      </c>
      <c r="V261" s="30">
        <v>-1.7354000000000001</v>
      </c>
    </row>
    <row r="262" spans="20:22" x14ac:dyDescent="0.25">
      <c r="T262" s="30">
        <v>-104.61499999999999</v>
      </c>
      <c r="U262">
        <f t="shared" ref="U262:U325" si="8">-T262</f>
        <v>104.61499999999999</v>
      </c>
      <c r="V262" s="30">
        <v>-1.0703</v>
      </c>
    </row>
    <row r="263" spans="20:22" x14ac:dyDescent="0.25">
      <c r="T263" s="30">
        <v>-87.801400000000001</v>
      </c>
      <c r="U263">
        <f t="shared" si="8"/>
        <v>87.801400000000001</v>
      </c>
      <c r="V263" s="30">
        <v>-0.79679999999999995</v>
      </c>
    </row>
    <row r="264" spans="20:22" x14ac:dyDescent="0.25">
      <c r="T264" s="30">
        <v>-86.798100000000005</v>
      </c>
      <c r="U264">
        <f t="shared" si="8"/>
        <v>86.798100000000005</v>
      </c>
      <c r="V264" s="30">
        <v>-0.60219999999999996</v>
      </c>
    </row>
    <row r="265" spans="20:22" x14ac:dyDescent="0.25">
      <c r="T265" s="30">
        <v>-73.780699999999996</v>
      </c>
      <c r="U265">
        <f t="shared" si="8"/>
        <v>73.780699999999996</v>
      </c>
      <c r="V265" s="30">
        <v>-0.80669999999999997</v>
      </c>
    </row>
    <row r="266" spans="20:22" x14ac:dyDescent="0.25">
      <c r="T266" s="30">
        <v>-72.777000000000001</v>
      </c>
      <c r="U266">
        <f t="shared" si="8"/>
        <v>72.777000000000001</v>
      </c>
      <c r="V266" s="30">
        <v>-0.60240000000000005</v>
      </c>
    </row>
    <row r="267" spans="20:22" x14ac:dyDescent="0.25">
      <c r="T267" s="30">
        <v>-62.308199999999999</v>
      </c>
      <c r="U267">
        <f t="shared" si="8"/>
        <v>62.308199999999999</v>
      </c>
      <c r="V267" s="30">
        <v>-0.69740000000000002</v>
      </c>
    </row>
    <row r="268" spans="20:22" x14ac:dyDescent="0.25">
      <c r="T268" s="30">
        <v>-61.305300000000003</v>
      </c>
      <c r="U268">
        <f t="shared" si="8"/>
        <v>61.305300000000003</v>
      </c>
      <c r="V268" s="30">
        <v>-0.4103</v>
      </c>
    </row>
    <row r="269" spans="20:22" x14ac:dyDescent="0.25">
      <c r="T269" s="30">
        <v>81.518199999999993</v>
      </c>
      <c r="U269">
        <f t="shared" si="8"/>
        <v>-81.518199999999993</v>
      </c>
      <c r="V269" s="30">
        <v>1.8447</v>
      </c>
    </row>
    <row r="270" spans="20:22" x14ac:dyDescent="0.25">
      <c r="T270" s="30">
        <v>82.521500000000003</v>
      </c>
      <c r="U270">
        <f t="shared" si="8"/>
        <v>-82.521500000000003</v>
      </c>
      <c r="V270" s="30">
        <v>0.89700000000000002</v>
      </c>
    </row>
    <row r="271" spans="20:22" x14ac:dyDescent="0.25">
      <c r="T271" s="30">
        <v>66.025199999999998</v>
      </c>
      <c r="U271">
        <f t="shared" si="8"/>
        <v>-66.025199999999998</v>
      </c>
      <c r="V271" s="30">
        <v>0.67159999999999997</v>
      </c>
    </row>
    <row r="272" spans="20:22" x14ac:dyDescent="0.25">
      <c r="T272" s="30">
        <v>67.028499999999994</v>
      </c>
      <c r="U272">
        <f t="shared" si="8"/>
        <v>-67.028499999999994</v>
      </c>
      <c r="V272" s="30">
        <v>0.58079999999999998</v>
      </c>
    </row>
    <row r="273" spans="20:22" x14ac:dyDescent="0.25">
      <c r="T273" s="30">
        <v>52.6449</v>
      </c>
      <c r="U273">
        <f t="shared" si="8"/>
        <v>-52.6449</v>
      </c>
      <c r="V273" s="30">
        <v>0.65200000000000002</v>
      </c>
    </row>
    <row r="274" spans="20:22" x14ac:dyDescent="0.25">
      <c r="T274" s="30">
        <v>53.648600000000002</v>
      </c>
      <c r="U274">
        <f t="shared" si="8"/>
        <v>-53.648600000000002</v>
      </c>
      <c r="V274" s="30">
        <v>0.63190000000000002</v>
      </c>
    </row>
    <row r="275" spans="20:22" x14ac:dyDescent="0.25">
      <c r="T275" s="30">
        <v>40.313699999999997</v>
      </c>
      <c r="U275">
        <f t="shared" si="8"/>
        <v>-40.313699999999997</v>
      </c>
      <c r="V275" s="30">
        <v>0.43309999999999998</v>
      </c>
    </row>
    <row r="276" spans="20:22" x14ac:dyDescent="0.25">
      <c r="T276" s="30">
        <v>41.316699999999997</v>
      </c>
      <c r="U276">
        <f t="shared" si="8"/>
        <v>-41.316699999999997</v>
      </c>
      <c r="V276" s="30">
        <v>0.54649999999999999</v>
      </c>
    </row>
    <row r="277" spans="20:22" x14ac:dyDescent="0.25">
      <c r="T277" s="30">
        <v>-105.6183</v>
      </c>
      <c r="U277">
        <f t="shared" si="8"/>
        <v>105.6183</v>
      </c>
      <c r="V277" s="30">
        <v>-1.7354000000000001</v>
      </c>
    </row>
    <row r="278" spans="20:22" x14ac:dyDescent="0.25">
      <c r="T278" s="30">
        <v>-104.61499999999999</v>
      </c>
      <c r="U278">
        <f t="shared" si="8"/>
        <v>104.61499999999999</v>
      </c>
      <c r="V278" s="30">
        <v>-1.0703</v>
      </c>
    </row>
    <row r="279" spans="20:22" x14ac:dyDescent="0.25">
      <c r="T279" s="30">
        <v>-87.801400000000001</v>
      </c>
      <c r="U279">
        <f t="shared" si="8"/>
        <v>87.801400000000001</v>
      </c>
      <c r="V279" s="30">
        <v>-0.79679999999999995</v>
      </c>
    </row>
    <row r="280" spans="20:22" x14ac:dyDescent="0.25">
      <c r="T280" s="30">
        <v>-86.798100000000005</v>
      </c>
      <c r="U280">
        <f t="shared" si="8"/>
        <v>86.798100000000005</v>
      </c>
      <c r="V280" s="30">
        <v>-0.60219999999999996</v>
      </c>
    </row>
    <row r="281" spans="20:22" x14ac:dyDescent="0.25">
      <c r="T281" s="30">
        <v>-73.780699999999996</v>
      </c>
      <c r="U281">
        <f t="shared" si="8"/>
        <v>73.780699999999996</v>
      </c>
      <c r="V281" s="30">
        <v>-0.80669999999999997</v>
      </c>
    </row>
    <row r="282" spans="20:22" x14ac:dyDescent="0.25">
      <c r="T282" s="30">
        <v>-72.777000000000001</v>
      </c>
      <c r="U282">
        <f t="shared" si="8"/>
        <v>72.777000000000001</v>
      </c>
      <c r="V282" s="30">
        <v>-0.60240000000000005</v>
      </c>
    </row>
    <row r="283" spans="20:22" x14ac:dyDescent="0.25">
      <c r="T283" s="30">
        <v>-62.308199999999999</v>
      </c>
      <c r="U283">
        <f t="shared" si="8"/>
        <v>62.308199999999999</v>
      </c>
      <c r="V283" s="30">
        <v>-0.69740000000000002</v>
      </c>
    </row>
    <row r="284" spans="20:22" x14ac:dyDescent="0.25">
      <c r="T284" s="30">
        <v>-61.305300000000003</v>
      </c>
      <c r="U284">
        <f t="shared" si="8"/>
        <v>61.305300000000003</v>
      </c>
      <c r="V284" s="30">
        <v>-0.4103</v>
      </c>
    </row>
    <row r="285" spans="20:22" x14ac:dyDescent="0.25">
      <c r="T285" s="30">
        <v>51.613100000000003</v>
      </c>
      <c r="U285">
        <f t="shared" si="8"/>
        <v>-51.613100000000003</v>
      </c>
      <c r="V285" s="30">
        <v>1.2754000000000001</v>
      </c>
    </row>
    <row r="286" spans="20:22" x14ac:dyDescent="0.25">
      <c r="T286" s="30">
        <v>52.335500000000003</v>
      </c>
      <c r="U286">
        <f t="shared" si="8"/>
        <v>-52.335500000000003</v>
      </c>
      <c r="V286" s="30">
        <v>0.58960000000000001</v>
      </c>
    </row>
    <row r="287" spans="20:22" x14ac:dyDescent="0.25">
      <c r="T287" s="30">
        <v>41.430199999999999</v>
      </c>
      <c r="U287">
        <f t="shared" si="8"/>
        <v>-41.430199999999999</v>
      </c>
      <c r="V287" s="30">
        <v>0.46250000000000002</v>
      </c>
    </row>
    <row r="288" spans="20:22" x14ac:dyDescent="0.25">
      <c r="T288" s="30">
        <v>42.1526</v>
      </c>
      <c r="U288">
        <f t="shared" si="8"/>
        <v>-42.1526</v>
      </c>
      <c r="V288" s="30">
        <v>0.38829999999999998</v>
      </c>
    </row>
    <row r="289" spans="20:22" x14ac:dyDescent="0.25">
      <c r="T289" s="30">
        <v>32.603400000000001</v>
      </c>
      <c r="U289">
        <f t="shared" si="8"/>
        <v>-32.603400000000001</v>
      </c>
      <c r="V289" s="30">
        <v>0.45079999999999998</v>
      </c>
    </row>
    <row r="290" spans="20:22" x14ac:dyDescent="0.25">
      <c r="T290" s="30">
        <v>33.326000000000001</v>
      </c>
      <c r="U290">
        <f t="shared" si="8"/>
        <v>-33.326000000000001</v>
      </c>
      <c r="V290" s="30">
        <v>0.4209</v>
      </c>
    </row>
    <row r="291" spans="20:22" x14ac:dyDescent="0.25">
      <c r="T291" s="30">
        <v>24.4434</v>
      </c>
      <c r="U291">
        <f t="shared" si="8"/>
        <v>-24.4434</v>
      </c>
      <c r="V291" s="30">
        <v>0.2964</v>
      </c>
    </row>
    <row r="292" spans="20:22" x14ac:dyDescent="0.25">
      <c r="T292" s="30">
        <v>25.165600000000001</v>
      </c>
      <c r="U292">
        <f t="shared" si="8"/>
        <v>-25.165600000000001</v>
      </c>
      <c r="V292" s="30">
        <v>0.37930000000000003</v>
      </c>
    </row>
    <row r="293" spans="20:22" x14ac:dyDescent="0.25">
      <c r="T293" s="30">
        <v>-74.052599999999998</v>
      </c>
      <c r="U293">
        <f t="shared" si="8"/>
        <v>74.052599999999998</v>
      </c>
      <c r="V293" s="30">
        <v>-1.1380999999999999</v>
      </c>
    </row>
    <row r="294" spans="20:22" x14ac:dyDescent="0.25">
      <c r="T294" s="30">
        <v>-73.330200000000005</v>
      </c>
      <c r="U294">
        <f t="shared" si="8"/>
        <v>73.330200000000005</v>
      </c>
      <c r="V294" s="30">
        <v>-0.73750000000000004</v>
      </c>
    </row>
    <row r="295" spans="20:22" x14ac:dyDescent="0.25">
      <c r="T295" s="30">
        <v>-61.758000000000003</v>
      </c>
      <c r="U295">
        <f t="shared" si="8"/>
        <v>61.758000000000003</v>
      </c>
      <c r="V295" s="30">
        <v>-0.52890000000000004</v>
      </c>
    </row>
    <row r="296" spans="20:22" x14ac:dyDescent="0.25">
      <c r="T296" s="30">
        <v>-61.035600000000002</v>
      </c>
      <c r="U296">
        <f t="shared" si="8"/>
        <v>61.035600000000002</v>
      </c>
      <c r="V296" s="30">
        <v>-0.41149999999999998</v>
      </c>
    </row>
    <row r="297" spans="20:22" x14ac:dyDescent="0.25">
      <c r="T297" s="30">
        <v>-52.0901</v>
      </c>
      <c r="U297">
        <f t="shared" si="8"/>
        <v>52.0901</v>
      </c>
      <c r="V297" s="30">
        <v>-0.53369999999999995</v>
      </c>
    </row>
    <row r="298" spans="20:22" x14ac:dyDescent="0.25">
      <c r="T298" s="30">
        <v>-51.3675</v>
      </c>
      <c r="U298">
        <f t="shared" si="8"/>
        <v>51.3675</v>
      </c>
      <c r="V298" s="30">
        <v>-0.4133</v>
      </c>
    </row>
    <row r="299" spans="20:22" x14ac:dyDescent="0.25">
      <c r="T299" s="30">
        <v>-44.206299999999999</v>
      </c>
      <c r="U299">
        <f t="shared" si="8"/>
        <v>44.206299999999999</v>
      </c>
      <c r="V299" s="30">
        <v>-0.46910000000000002</v>
      </c>
    </row>
    <row r="300" spans="20:22" x14ac:dyDescent="0.25">
      <c r="T300" s="30">
        <v>-43.484200000000001</v>
      </c>
      <c r="U300">
        <f t="shared" si="8"/>
        <v>43.484200000000001</v>
      </c>
      <c r="V300" s="30">
        <v>-0.27329999999999999</v>
      </c>
    </row>
    <row r="301" spans="20:22" x14ac:dyDescent="0.25">
      <c r="T301" s="30">
        <v>51.613100000000003</v>
      </c>
      <c r="U301">
        <f t="shared" si="8"/>
        <v>-51.613100000000003</v>
      </c>
      <c r="V301" s="30">
        <v>1.2754000000000001</v>
      </c>
    </row>
    <row r="302" spans="20:22" x14ac:dyDescent="0.25">
      <c r="T302" s="30">
        <v>52.335500000000003</v>
      </c>
      <c r="U302">
        <f t="shared" si="8"/>
        <v>-52.335500000000003</v>
      </c>
      <c r="V302" s="30">
        <v>0.58960000000000001</v>
      </c>
    </row>
    <row r="303" spans="20:22" x14ac:dyDescent="0.25">
      <c r="T303" s="30">
        <v>41.430199999999999</v>
      </c>
      <c r="U303">
        <f t="shared" si="8"/>
        <v>-41.430199999999999</v>
      </c>
      <c r="V303" s="30">
        <v>0.46250000000000002</v>
      </c>
    </row>
    <row r="304" spans="20:22" x14ac:dyDescent="0.25">
      <c r="T304" s="30">
        <v>42.1526</v>
      </c>
      <c r="U304">
        <f t="shared" si="8"/>
        <v>-42.1526</v>
      </c>
      <c r="V304" s="30">
        <v>0.38829999999999998</v>
      </c>
    </row>
    <row r="305" spans="20:22" x14ac:dyDescent="0.25">
      <c r="T305" s="30">
        <v>32.603400000000001</v>
      </c>
      <c r="U305">
        <f t="shared" si="8"/>
        <v>-32.603400000000001</v>
      </c>
      <c r="V305" s="30">
        <v>0.45079999999999998</v>
      </c>
    </row>
    <row r="306" spans="20:22" x14ac:dyDescent="0.25">
      <c r="T306" s="30">
        <v>33.326000000000001</v>
      </c>
      <c r="U306">
        <f t="shared" si="8"/>
        <v>-33.326000000000001</v>
      </c>
      <c r="V306" s="30">
        <v>0.4209</v>
      </c>
    </row>
    <row r="307" spans="20:22" x14ac:dyDescent="0.25">
      <c r="T307" s="30">
        <v>24.4434</v>
      </c>
      <c r="U307">
        <f t="shared" si="8"/>
        <v>-24.4434</v>
      </c>
      <c r="V307" s="30">
        <v>0.2964</v>
      </c>
    </row>
    <row r="308" spans="20:22" x14ac:dyDescent="0.25">
      <c r="T308" s="30">
        <v>25.165600000000001</v>
      </c>
      <c r="U308">
        <f t="shared" si="8"/>
        <v>-25.165600000000001</v>
      </c>
      <c r="V308" s="30">
        <v>0.37930000000000003</v>
      </c>
    </row>
    <row r="309" spans="20:22" x14ac:dyDescent="0.25">
      <c r="T309" s="30">
        <v>-74.052599999999998</v>
      </c>
      <c r="U309">
        <f t="shared" si="8"/>
        <v>74.052599999999998</v>
      </c>
      <c r="V309" s="30">
        <v>-1.1380999999999999</v>
      </c>
    </row>
    <row r="310" spans="20:22" x14ac:dyDescent="0.25">
      <c r="T310" s="30">
        <v>-73.330200000000005</v>
      </c>
      <c r="U310">
        <f t="shared" si="8"/>
        <v>73.330200000000005</v>
      </c>
      <c r="V310" s="30">
        <v>-0.73750000000000004</v>
      </c>
    </row>
    <row r="311" spans="20:22" x14ac:dyDescent="0.25">
      <c r="T311" s="30">
        <v>-61.758000000000003</v>
      </c>
      <c r="U311">
        <f t="shared" si="8"/>
        <v>61.758000000000003</v>
      </c>
      <c r="V311" s="30">
        <v>-0.52890000000000004</v>
      </c>
    </row>
    <row r="312" spans="20:22" x14ac:dyDescent="0.25">
      <c r="T312" s="30">
        <v>-61.035600000000002</v>
      </c>
      <c r="U312">
        <f t="shared" si="8"/>
        <v>61.035600000000002</v>
      </c>
      <c r="V312" s="30">
        <v>-0.41149999999999998</v>
      </c>
    </row>
    <row r="313" spans="20:22" x14ac:dyDescent="0.25">
      <c r="T313" s="30">
        <v>-52.0901</v>
      </c>
      <c r="U313">
        <f t="shared" si="8"/>
        <v>52.0901</v>
      </c>
      <c r="V313" s="30">
        <v>-0.53369999999999995</v>
      </c>
    </row>
    <row r="314" spans="20:22" x14ac:dyDescent="0.25">
      <c r="T314" s="30">
        <v>-51.3675</v>
      </c>
      <c r="U314">
        <f t="shared" si="8"/>
        <v>51.3675</v>
      </c>
      <c r="V314" s="30">
        <v>-0.4133</v>
      </c>
    </row>
    <row r="315" spans="20:22" x14ac:dyDescent="0.25">
      <c r="T315" s="30">
        <v>-44.206299999999999</v>
      </c>
      <c r="U315">
        <f t="shared" si="8"/>
        <v>44.206299999999999</v>
      </c>
      <c r="V315" s="30">
        <v>-0.46910000000000002</v>
      </c>
    </row>
    <row r="316" spans="20:22" x14ac:dyDescent="0.25">
      <c r="T316" s="30">
        <v>-43.484200000000001</v>
      </c>
      <c r="U316">
        <f t="shared" si="8"/>
        <v>43.484200000000001</v>
      </c>
      <c r="V316" s="30">
        <v>-0.27329999999999999</v>
      </c>
    </row>
    <row r="317" spans="20:22" x14ac:dyDescent="0.25">
      <c r="T317" s="30">
        <v>82.348500000000001</v>
      </c>
      <c r="U317">
        <f t="shared" si="8"/>
        <v>-82.348500000000001</v>
      </c>
      <c r="V317" s="30">
        <v>1.8587</v>
      </c>
    </row>
    <row r="318" spans="20:22" x14ac:dyDescent="0.25">
      <c r="T318" s="30">
        <v>83.070899999999995</v>
      </c>
      <c r="U318">
        <f t="shared" si="8"/>
        <v>-83.070899999999995</v>
      </c>
      <c r="V318" s="30">
        <v>0.90969999999999995</v>
      </c>
    </row>
    <row r="319" spans="20:22" x14ac:dyDescent="0.25">
      <c r="T319" s="30">
        <v>66.749399999999994</v>
      </c>
      <c r="U319">
        <f t="shared" si="8"/>
        <v>-66.749399999999994</v>
      </c>
      <c r="V319" s="30">
        <v>0.70089999999999997</v>
      </c>
    </row>
    <row r="320" spans="20:22" x14ac:dyDescent="0.25">
      <c r="T320" s="30">
        <v>67.471800000000002</v>
      </c>
      <c r="U320">
        <f t="shared" si="8"/>
        <v>-67.471800000000002</v>
      </c>
      <c r="V320" s="30">
        <v>0.57989999999999997</v>
      </c>
    </row>
    <row r="321" spans="20:22" x14ac:dyDescent="0.25">
      <c r="T321" s="30">
        <v>53.4694</v>
      </c>
      <c r="U321">
        <f t="shared" si="8"/>
        <v>-53.4694</v>
      </c>
      <c r="V321" s="30">
        <v>0.68789999999999996</v>
      </c>
    </row>
    <row r="322" spans="20:22" x14ac:dyDescent="0.25">
      <c r="T322" s="30">
        <v>54.192100000000003</v>
      </c>
      <c r="U322">
        <f t="shared" si="8"/>
        <v>-54.192100000000003</v>
      </c>
      <c r="V322" s="30">
        <v>0.621</v>
      </c>
    </row>
    <row r="323" spans="20:22" x14ac:dyDescent="0.25">
      <c r="T323" s="30">
        <v>41.429499999999997</v>
      </c>
      <c r="U323">
        <f t="shared" si="8"/>
        <v>-41.429499999999997</v>
      </c>
      <c r="V323" s="30">
        <v>0.47889999999999999</v>
      </c>
    </row>
    <row r="324" spans="20:22" x14ac:dyDescent="0.25">
      <c r="T324" s="30">
        <v>42.151699999999998</v>
      </c>
      <c r="U324">
        <f t="shared" si="8"/>
        <v>-42.151699999999998</v>
      </c>
      <c r="V324" s="30">
        <v>0.53139999999999998</v>
      </c>
    </row>
    <row r="325" spans="20:22" x14ac:dyDescent="0.25">
      <c r="T325" s="30">
        <v>-104.788</v>
      </c>
      <c r="U325">
        <f t="shared" si="8"/>
        <v>104.788</v>
      </c>
      <c r="V325" s="30">
        <v>-1.7214</v>
      </c>
    </row>
    <row r="326" spans="20:22" x14ac:dyDescent="0.25">
      <c r="T326" s="30">
        <v>-104.0656</v>
      </c>
      <c r="U326">
        <f t="shared" ref="U326:U389" si="9">-T326</f>
        <v>104.0656</v>
      </c>
      <c r="V326" s="30">
        <v>-1.0576000000000001</v>
      </c>
    </row>
    <row r="327" spans="20:22" x14ac:dyDescent="0.25">
      <c r="T327" s="30">
        <v>-87.077200000000005</v>
      </c>
      <c r="U327">
        <f t="shared" si="9"/>
        <v>87.077200000000005</v>
      </c>
      <c r="V327" s="30">
        <v>-0.76739999999999997</v>
      </c>
    </row>
    <row r="328" spans="20:22" x14ac:dyDescent="0.25">
      <c r="T328" s="30">
        <v>-86.354799999999997</v>
      </c>
      <c r="U328">
        <f t="shared" si="9"/>
        <v>86.354799999999997</v>
      </c>
      <c r="V328" s="30">
        <v>-0.60309999999999997</v>
      </c>
    </row>
    <row r="329" spans="20:22" x14ac:dyDescent="0.25">
      <c r="T329" s="30">
        <v>-72.956199999999995</v>
      </c>
      <c r="U329">
        <f t="shared" si="9"/>
        <v>72.956199999999995</v>
      </c>
      <c r="V329" s="30">
        <v>-0.77080000000000004</v>
      </c>
    </row>
    <row r="330" spans="20:22" x14ac:dyDescent="0.25">
      <c r="T330" s="30">
        <v>-72.233500000000006</v>
      </c>
      <c r="U330">
        <f t="shared" si="9"/>
        <v>72.233500000000006</v>
      </c>
      <c r="V330" s="30">
        <v>-0.61329999999999996</v>
      </c>
    </row>
    <row r="331" spans="20:22" x14ac:dyDescent="0.25">
      <c r="T331" s="30">
        <v>-61.192500000000003</v>
      </c>
      <c r="U331">
        <f t="shared" si="9"/>
        <v>61.192500000000003</v>
      </c>
      <c r="V331" s="30">
        <v>-0.65159999999999996</v>
      </c>
    </row>
    <row r="332" spans="20:22" x14ac:dyDescent="0.25">
      <c r="T332" s="30">
        <v>-60.470300000000002</v>
      </c>
      <c r="U332">
        <f t="shared" si="9"/>
        <v>60.470300000000002</v>
      </c>
      <c r="V332" s="30">
        <v>-0.4254</v>
      </c>
    </row>
    <row r="333" spans="20:22" x14ac:dyDescent="0.25">
      <c r="T333" s="30">
        <v>82.348500000000001</v>
      </c>
      <c r="U333">
        <f t="shared" si="9"/>
        <v>-82.348500000000001</v>
      </c>
      <c r="V333" s="30">
        <v>1.8587</v>
      </c>
    </row>
    <row r="334" spans="20:22" x14ac:dyDescent="0.25">
      <c r="T334" s="30">
        <v>83.070899999999995</v>
      </c>
      <c r="U334">
        <f t="shared" si="9"/>
        <v>-83.070899999999995</v>
      </c>
      <c r="V334" s="30">
        <v>0.90969999999999995</v>
      </c>
    </row>
    <row r="335" spans="20:22" x14ac:dyDescent="0.25">
      <c r="T335" s="30">
        <v>66.749399999999994</v>
      </c>
      <c r="U335">
        <f t="shared" si="9"/>
        <v>-66.749399999999994</v>
      </c>
      <c r="V335" s="30">
        <v>0.70089999999999997</v>
      </c>
    </row>
    <row r="336" spans="20:22" x14ac:dyDescent="0.25">
      <c r="T336" s="30">
        <v>67.471800000000002</v>
      </c>
      <c r="U336">
        <f t="shared" si="9"/>
        <v>-67.471800000000002</v>
      </c>
      <c r="V336" s="30">
        <v>0.57989999999999997</v>
      </c>
    </row>
    <row r="337" spans="20:22" x14ac:dyDescent="0.25">
      <c r="T337" s="30">
        <v>53.4694</v>
      </c>
      <c r="U337">
        <f t="shared" si="9"/>
        <v>-53.4694</v>
      </c>
      <c r="V337" s="30">
        <v>0.68789999999999996</v>
      </c>
    </row>
    <row r="338" spans="20:22" x14ac:dyDescent="0.25">
      <c r="T338" s="30">
        <v>54.192100000000003</v>
      </c>
      <c r="U338">
        <f t="shared" si="9"/>
        <v>-54.192100000000003</v>
      </c>
      <c r="V338" s="30">
        <v>0.621</v>
      </c>
    </row>
    <row r="339" spans="20:22" x14ac:dyDescent="0.25">
      <c r="T339" s="30">
        <v>41.429499999999997</v>
      </c>
      <c r="U339">
        <f t="shared" si="9"/>
        <v>-41.429499999999997</v>
      </c>
      <c r="V339" s="30">
        <v>0.47889999999999999</v>
      </c>
    </row>
    <row r="340" spans="20:22" x14ac:dyDescent="0.25">
      <c r="T340" s="30">
        <v>42.151699999999998</v>
      </c>
      <c r="U340">
        <f t="shared" si="9"/>
        <v>-42.151699999999998</v>
      </c>
      <c r="V340" s="30">
        <v>0.53139999999999998</v>
      </c>
    </row>
    <row r="341" spans="20:22" x14ac:dyDescent="0.25">
      <c r="T341" s="30">
        <v>-104.788</v>
      </c>
      <c r="U341">
        <f t="shared" si="9"/>
        <v>104.788</v>
      </c>
      <c r="V341" s="30">
        <v>-1.7214</v>
      </c>
    </row>
    <row r="342" spans="20:22" x14ac:dyDescent="0.25">
      <c r="T342" s="30">
        <v>-104.0656</v>
      </c>
      <c r="U342">
        <f t="shared" si="9"/>
        <v>104.0656</v>
      </c>
      <c r="V342" s="30">
        <v>-1.0576000000000001</v>
      </c>
    </row>
    <row r="343" spans="20:22" x14ac:dyDescent="0.25">
      <c r="T343" s="30">
        <v>-87.077200000000005</v>
      </c>
      <c r="U343">
        <f t="shared" si="9"/>
        <v>87.077200000000005</v>
      </c>
      <c r="V343" s="30">
        <v>-0.76739999999999997</v>
      </c>
    </row>
    <row r="344" spans="20:22" x14ac:dyDescent="0.25">
      <c r="T344" s="30">
        <v>-86.354799999999997</v>
      </c>
      <c r="U344">
        <f t="shared" si="9"/>
        <v>86.354799999999997</v>
      </c>
      <c r="V344" s="30">
        <v>-0.60309999999999997</v>
      </c>
    </row>
    <row r="345" spans="20:22" x14ac:dyDescent="0.25">
      <c r="T345" s="30">
        <v>-72.956199999999995</v>
      </c>
      <c r="U345">
        <f t="shared" si="9"/>
        <v>72.956199999999995</v>
      </c>
      <c r="V345" s="30">
        <v>-0.77080000000000004</v>
      </c>
    </row>
    <row r="346" spans="20:22" x14ac:dyDescent="0.25">
      <c r="T346" s="30">
        <v>-72.233500000000006</v>
      </c>
      <c r="U346">
        <f t="shared" si="9"/>
        <v>72.233500000000006</v>
      </c>
      <c r="V346" s="30">
        <v>-0.61329999999999996</v>
      </c>
    </row>
    <row r="347" spans="20:22" x14ac:dyDescent="0.25">
      <c r="T347" s="30">
        <v>-61.192500000000003</v>
      </c>
      <c r="U347">
        <f t="shared" si="9"/>
        <v>61.192500000000003</v>
      </c>
      <c r="V347" s="30">
        <v>-0.65159999999999996</v>
      </c>
    </row>
    <row r="348" spans="20:22" x14ac:dyDescent="0.25">
      <c r="T348" s="30">
        <v>-60.470300000000002</v>
      </c>
      <c r="U348">
        <f t="shared" si="9"/>
        <v>60.470300000000002</v>
      </c>
      <c r="V348" s="30">
        <v>-0.4254</v>
      </c>
    </row>
    <row r="349" spans="20:22" x14ac:dyDescent="0.25">
      <c r="T349" s="30">
        <v>-56.440399999999997</v>
      </c>
      <c r="U349">
        <f t="shared" si="9"/>
        <v>56.440399999999997</v>
      </c>
      <c r="V349" s="30">
        <v>-0.40279999999999999</v>
      </c>
    </row>
    <row r="350" spans="20:22" x14ac:dyDescent="0.25">
      <c r="T350" s="30">
        <v>-55.316699999999997</v>
      </c>
      <c r="U350">
        <f t="shared" si="9"/>
        <v>55.316699999999997</v>
      </c>
      <c r="V350" s="30">
        <v>0.25740000000000002</v>
      </c>
    </row>
    <row r="351" spans="20:22" x14ac:dyDescent="0.25">
      <c r="T351" s="30">
        <v>-53.366</v>
      </c>
      <c r="U351">
        <f t="shared" si="9"/>
        <v>53.366</v>
      </c>
      <c r="V351" s="30">
        <v>1.2999999999999999E-2</v>
      </c>
    </row>
    <row r="352" spans="20:22" x14ac:dyDescent="0.25">
      <c r="T352" s="30">
        <v>-52.2423</v>
      </c>
      <c r="U352">
        <f t="shared" si="9"/>
        <v>52.2423</v>
      </c>
      <c r="V352" s="30">
        <v>8.0000000000000002E-3</v>
      </c>
    </row>
    <row r="353" spans="20:22" x14ac:dyDescent="0.25">
      <c r="T353" s="30">
        <v>-53.034300000000002</v>
      </c>
      <c r="U353">
        <f t="shared" si="9"/>
        <v>53.034300000000002</v>
      </c>
      <c r="V353" s="30">
        <v>8.7800000000000003E-2</v>
      </c>
    </row>
    <row r="354" spans="20:22" x14ac:dyDescent="0.25">
      <c r="T354" s="30">
        <v>-51.910200000000003</v>
      </c>
      <c r="U354">
        <f t="shared" si="9"/>
        <v>51.910200000000003</v>
      </c>
      <c r="V354" s="30">
        <v>6.13E-2</v>
      </c>
    </row>
    <row r="355" spans="20:22" x14ac:dyDescent="0.25">
      <c r="T355" s="30">
        <v>-56.542200000000001</v>
      </c>
      <c r="U355">
        <f t="shared" si="9"/>
        <v>56.542200000000001</v>
      </c>
      <c r="V355" s="30">
        <v>0.64119999999999999</v>
      </c>
    </row>
    <row r="356" spans="20:22" x14ac:dyDescent="0.25">
      <c r="T356" s="30">
        <v>-55.418900000000001</v>
      </c>
      <c r="U356">
        <f t="shared" si="9"/>
        <v>55.418900000000001</v>
      </c>
      <c r="V356" s="30">
        <v>-2.1025</v>
      </c>
    </row>
    <row r="357" spans="20:22" x14ac:dyDescent="0.25">
      <c r="T357" s="30">
        <v>-47.181600000000003</v>
      </c>
      <c r="U357">
        <f t="shared" si="9"/>
        <v>47.181600000000003</v>
      </c>
      <c r="V357" s="30">
        <v>-0.3458</v>
      </c>
    </row>
    <row r="358" spans="20:22" x14ac:dyDescent="0.25">
      <c r="T358" s="30">
        <v>-46.057899999999997</v>
      </c>
      <c r="U358">
        <f t="shared" si="9"/>
        <v>46.057899999999997</v>
      </c>
      <c r="V358" s="30">
        <v>0.23330000000000001</v>
      </c>
    </row>
    <row r="359" spans="20:22" x14ac:dyDescent="0.25">
      <c r="T359" s="30">
        <v>-44.239899999999999</v>
      </c>
      <c r="U359">
        <f t="shared" si="9"/>
        <v>44.239899999999999</v>
      </c>
      <c r="V359" s="30">
        <v>1.4500000000000001E-2</v>
      </c>
    </row>
    <row r="360" spans="20:22" x14ac:dyDescent="0.25">
      <c r="T360" s="30">
        <v>-43.116199999999999</v>
      </c>
      <c r="U360">
        <f t="shared" si="9"/>
        <v>43.116199999999999</v>
      </c>
      <c r="V360" s="30">
        <v>2.1999999999999999E-2</v>
      </c>
    </row>
    <row r="361" spans="20:22" x14ac:dyDescent="0.25">
      <c r="T361" s="30">
        <v>-43.432899999999997</v>
      </c>
      <c r="U361">
        <f t="shared" si="9"/>
        <v>43.432899999999997</v>
      </c>
      <c r="V361" s="30">
        <v>5.5800000000000002E-2</v>
      </c>
    </row>
    <row r="362" spans="20:22" x14ac:dyDescent="0.25">
      <c r="T362" s="30">
        <v>-42.308799999999998</v>
      </c>
      <c r="U362">
        <f t="shared" si="9"/>
        <v>42.308799999999998</v>
      </c>
      <c r="V362" s="30">
        <v>4.53E-2</v>
      </c>
    </row>
    <row r="363" spans="20:22" x14ac:dyDescent="0.25">
      <c r="T363" s="30">
        <v>-45.2547</v>
      </c>
      <c r="U363">
        <f t="shared" si="9"/>
        <v>45.2547</v>
      </c>
      <c r="V363" s="30">
        <v>0.4133</v>
      </c>
    </row>
    <row r="364" spans="20:22" x14ac:dyDescent="0.25">
      <c r="T364" s="30">
        <v>-44.131399999999999</v>
      </c>
      <c r="U364">
        <f t="shared" si="9"/>
        <v>44.131399999999999</v>
      </c>
      <c r="V364" s="30">
        <v>-1.1934</v>
      </c>
    </row>
    <row r="365" spans="20:22" x14ac:dyDescent="0.25">
      <c r="T365" s="30">
        <v>-52.162100000000002</v>
      </c>
      <c r="U365">
        <f t="shared" si="9"/>
        <v>52.162100000000002</v>
      </c>
      <c r="V365" s="30">
        <v>-0.35920000000000002</v>
      </c>
    </row>
    <row r="366" spans="20:22" x14ac:dyDescent="0.25">
      <c r="T366" s="30">
        <v>-51.0383</v>
      </c>
      <c r="U366">
        <f t="shared" si="9"/>
        <v>51.0383</v>
      </c>
      <c r="V366" s="30">
        <v>0.223</v>
      </c>
    </row>
    <row r="367" spans="20:22" x14ac:dyDescent="0.25">
      <c r="T367" s="30">
        <v>-49.438200000000002</v>
      </c>
      <c r="U367">
        <f t="shared" si="9"/>
        <v>49.438200000000002</v>
      </c>
      <c r="V367" s="30">
        <v>1.54E-2</v>
      </c>
    </row>
    <row r="368" spans="20:22" x14ac:dyDescent="0.25">
      <c r="T368" s="30">
        <v>-48.314500000000002</v>
      </c>
      <c r="U368">
        <f t="shared" si="9"/>
        <v>48.314500000000002</v>
      </c>
      <c r="V368" s="30">
        <v>-6.0000000000000001E-3</v>
      </c>
    </row>
    <row r="369" spans="20:22" x14ac:dyDescent="0.25">
      <c r="T369" s="30">
        <v>-49.313899999999997</v>
      </c>
      <c r="U369">
        <f t="shared" si="9"/>
        <v>49.313899999999997</v>
      </c>
      <c r="V369" s="30">
        <v>9.2700000000000005E-2</v>
      </c>
    </row>
    <row r="370" spans="20:22" x14ac:dyDescent="0.25">
      <c r="T370" s="30">
        <v>-48.189799999999998</v>
      </c>
      <c r="U370">
        <f t="shared" si="9"/>
        <v>48.189799999999998</v>
      </c>
      <c r="V370" s="30">
        <v>4.99E-2</v>
      </c>
    </row>
    <row r="371" spans="20:22" x14ac:dyDescent="0.25">
      <c r="T371" s="30">
        <v>-52.968600000000002</v>
      </c>
      <c r="U371">
        <f t="shared" si="9"/>
        <v>52.968600000000002</v>
      </c>
      <c r="V371" s="30">
        <v>0.64329999999999998</v>
      </c>
    </row>
    <row r="372" spans="20:22" x14ac:dyDescent="0.25">
      <c r="T372" s="30">
        <v>-51.845199999999998</v>
      </c>
      <c r="U372">
        <f t="shared" si="9"/>
        <v>51.845199999999998</v>
      </c>
      <c r="V372" s="30">
        <v>-2.1724999999999999</v>
      </c>
    </row>
    <row r="373" spans="20:22" x14ac:dyDescent="0.25">
      <c r="T373" s="30">
        <v>14.7605</v>
      </c>
      <c r="U373">
        <f t="shared" si="9"/>
        <v>-14.7605</v>
      </c>
      <c r="V373" s="30">
        <v>0.86480000000000001</v>
      </c>
    </row>
    <row r="374" spans="20:22" x14ac:dyDescent="0.25">
      <c r="T374" s="30">
        <v>15.7638</v>
      </c>
      <c r="U374">
        <f t="shared" si="9"/>
        <v>-15.7638</v>
      </c>
      <c r="V374" s="30">
        <v>0.88370000000000004</v>
      </c>
    </row>
    <row r="375" spans="20:22" x14ac:dyDescent="0.25">
      <c r="T375" s="30">
        <v>6.1780999999999997</v>
      </c>
      <c r="U375">
        <f t="shared" si="9"/>
        <v>-6.1780999999999997</v>
      </c>
      <c r="V375" s="30">
        <v>0.5081</v>
      </c>
    </row>
    <row r="376" spans="20:22" x14ac:dyDescent="0.25">
      <c r="T376" s="30">
        <v>7.1814</v>
      </c>
      <c r="U376">
        <f t="shared" si="9"/>
        <v>-7.1814</v>
      </c>
      <c r="V376" s="30">
        <v>0.40760000000000002</v>
      </c>
    </row>
    <row r="377" spans="20:22" x14ac:dyDescent="0.25">
      <c r="T377" s="30">
        <v>-2.7467999999999999</v>
      </c>
      <c r="U377">
        <f t="shared" si="9"/>
        <v>2.7467999999999999</v>
      </c>
      <c r="V377" s="30">
        <v>0.56779999999999997</v>
      </c>
    </row>
    <row r="378" spans="20:22" x14ac:dyDescent="0.25">
      <c r="T378" s="30">
        <v>-1.7432000000000001</v>
      </c>
      <c r="U378">
        <f t="shared" si="9"/>
        <v>1.7432000000000001</v>
      </c>
      <c r="V378" s="30">
        <v>0.46689999999999998</v>
      </c>
    </row>
    <row r="379" spans="20:22" x14ac:dyDescent="0.25">
      <c r="T379" s="30">
        <v>-13.6975</v>
      </c>
      <c r="U379">
        <f t="shared" si="9"/>
        <v>13.6975</v>
      </c>
      <c r="V379" s="30">
        <v>0.92620000000000002</v>
      </c>
    </row>
    <row r="380" spans="20:22" x14ac:dyDescent="0.25">
      <c r="T380" s="30">
        <v>-12.694599999999999</v>
      </c>
      <c r="U380">
        <f t="shared" si="9"/>
        <v>12.694599999999999</v>
      </c>
      <c r="V380" s="30">
        <v>-1.3889</v>
      </c>
    </row>
    <row r="381" spans="20:22" x14ac:dyDescent="0.25">
      <c r="T381" s="30">
        <v>-110.90689999999999</v>
      </c>
      <c r="U381">
        <f t="shared" si="9"/>
        <v>110.90689999999999</v>
      </c>
      <c r="V381" s="30">
        <v>-1.5499000000000001</v>
      </c>
    </row>
    <row r="382" spans="20:22" x14ac:dyDescent="0.25">
      <c r="T382" s="30">
        <v>-109.9036</v>
      </c>
      <c r="U382">
        <f t="shared" si="9"/>
        <v>109.9036</v>
      </c>
      <c r="V382" s="30">
        <v>-0.44409999999999999</v>
      </c>
    </row>
    <row r="383" spans="20:22" x14ac:dyDescent="0.25">
      <c r="T383" s="30">
        <v>-96.997600000000006</v>
      </c>
      <c r="U383">
        <f t="shared" si="9"/>
        <v>96.997600000000006</v>
      </c>
      <c r="V383" s="30">
        <v>-0.4839</v>
      </c>
    </row>
    <row r="384" spans="20:22" x14ac:dyDescent="0.25">
      <c r="T384" s="30">
        <v>-95.994299999999996</v>
      </c>
      <c r="U384">
        <f t="shared" si="9"/>
        <v>95.994299999999996</v>
      </c>
      <c r="V384" s="30">
        <v>-0.39329999999999998</v>
      </c>
    </row>
    <row r="385" spans="20:22" x14ac:dyDescent="0.25">
      <c r="T385" s="30">
        <v>-87.393000000000001</v>
      </c>
      <c r="U385">
        <f t="shared" si="9"/>
        <v>87.393000000000001</v>
      </c>
      <c r="V385" s="30">
        <v>-0.41980000000000001</v>
      </c>
    </row>
    <row r="386" spans="20:22" x14ac:dyDescent="0.25">
      <c r="T386" s="30">
        <v>-86.389399999999995</v>
      </c>
      <c r="U386">
        <f t="shared" si="9"/>
        <v>86.389399999999995</v>
      </c>
      <c r="V386" s="30">
        <v>-0.36609999999999998</v>
      </c>
    </row>
    <row r="387" spans="20:22" x14ac:dyDescent="0.25">
      <c r="T387" s="30">
        <v>-82.204800000000006</v>
      </c>
      <c r="U387">
        <f t="shared" si="9"/>
        <v>82.204800000000006</v>
      </c>
      <c r="V387" s="30">
        <v>0.1459</v>
      </c>
    </row>
    <row r="388" spans="20:22" x14ac:dyDescent="0.25">
      <c r="T388" s="30">
        <v>-81.201800000000006</v>
      </c>
      <c r="U388">
        <f t="shared" si="9"/>
        <v>81.201800000000006</v>
      </c>
      <c r="V388" s="30">
        <v>-2.0985</v>
      </c>
    </row>
    <row r="389" spans="20:22" x14ac:dyDescent="0.25">
      <c r="T389" s="30">
        <v>14.7605</v>
      </c>
      <c r="U389">
        <f t="shared" si="9"/>
        <v>-14.7605</v>
      </c>
      <c r="V389" s="30">
        <v>0.86480000000000001</v>
      </c>
    </row>
    <row r="390" spans="20:22" x14ac:dyDescent="0.25">
      <c r="T390" s="30">
        <v>15.7638</v>
      </c>
      <c r="U390">
        <f t="shared" ref="U390:U453" si="10">-T390</f>
        <v>-15.7638</v>
      </c>
      <c r="V390" s="30">
        <v>0.88370000000000004</v>
      </c>
    </row>
    <row r="391" spans="20:22" x14ac:dyDescent="0.25">
      <c r="T391" s="30">
        <v>6.1780999999999997</v>
      </c>
      <c r="U391">
        <f t="shared" si="10"/>
        <v>-6.1780999999999997</v>
      </c>
      <c r="V391" s="30">
        <v>0.5081</v>
      </c>
    </row>
    <row r="392" spans="20:22" x14ac:dyDescent="0.25">
      <c r="T392" s="30">
        <v>7.1814</v>
      </c>
      <c r="U392">
        <f t="shared" si="10"/>
        <v>-7.1814</v>
      </c>
      <c r="V392" s="30">
        <v>0.40760000000000002</v>
      </c>
    </row>
    <row r="393" spans="20:22" x14ac:dyDescent="0.25">
      <c r="T393" s="30">
        <v>-2.7467999999999999</v>
      </c>
      <c r="U393">
        <f t="shared" si="10"/>
        <v>2.7467999999999999</v>
      </c>
      <c r="V393" s="30">
        <v>0.56779999999999997</v>
      </c>
    </row>
    <row r="394" spans="20:22" x14ac:dyDescent="0.25">
      <c r="T394" s="30">
        <v>-1.7432000000000001</v>
      </c>
      <c r="U394">
        <f t="shared" si="10"/>
        <v>1.7432000000000001</v>
      </c>
      <c r="V394" s="30">
        <v>0.46689999999999998</v>
      </c>
    </row>
    <row r="395" spans="20:22" x14ac:dyDescent="0.25">
      <c r="T395" s="30">
        <v>-13.6975</v>
      </c>
      <c r="U395">
        <f t="shared" si="10"/>
        <v>13.6975</v>
      </c>
      <c r="V395" s="30">
        <v>0.92620000000000002</v>
      </c>
    </row>
    <row r="396" spans="20:22" x14ac:dyDescent="0.25">
      <c r="T396" s="30">
        <v>-12.694599999999999</v>
      </c>
      <c r="U396">
        <f t="shared" si="10"/>
        <v>12.694599999999999</v>
      </c>
      <c r="V396" s="30">
        <v>-1.3889</v>
      </c>
    </row>
    <row r="397" spans="20:22" x14ac:dyDescent="0.25">
      <c r="T397" s="30">
        <v>-110.90689999999999</v>
      </c>
      <c r="U397">
        <f t="shared" si="10"/>
        <v>110.90689999999999</v>
      </c>
      <c r="V397" s="30">
        <v>-1.5499000000000001</v>
      </c>
    </row>
    <row r="398" spans="20:22" x14ac:dyDescent="0.25">
      <c r="T398" s="30">
        <v>-109.9036</v>
      </c>
      <c r="U398">
        <f t="shared" si="10"/>
        <v>109.9036</v>
      </c>
      <c r="V398" s="30">
        <v>-0.44409999999999999</v>
      </c>
    </row>
    <row r="399" spans="20:22" x14ac:dyDescent="0.25">
      <c r="T399" s="30">
        <v>-96.997600000000006</v>
      </c>
      <c r="U399">
        <f t="shared" si="10"/>
        <v>96.997600000000006</v>
      </c>
      <c r="V399" s="30">
        <v>-0.4839</v>
      </c>
    </row>
    <row r="400" spans="20:22" x14ac:dyDescent="0.25">
      <c r="T400" s="30">
        <v>-95.994299999999996</v>
      </c>
      <c r="U400">
        <f t="shared" si="10"/>
        <v>95.994299999999996</v>
      </c>
      <c r="V400" s="30">
        <v>-0.39329999999999998</v>
      </c>
    </row>
    <row r="401" spans="20:22" x14ac:dyDescent="0.25">
      <c r="T401" s="30">
        <v>-87.393000000000001</v>
      </c>
      <c r="U401">
        <f t="shared" si="10"/>
        <v>87.393000000000001</v>
      </c>
      <c r="V401" s="30">
        <v>-0.41980000000000001</v>
      </c>
    </row>
    <row r="402" spans="20:22" x14ac:dyDescent="0.25">
      <c r="T402" s="30">
        <v>-86.389399999999995</v>
      </c>
      <c r="U402">
        <f t="shared" si="10"/>
        <v>86.389399999999995</v>
      </c>
      <c r="V402" s="30">
        <v>-0.36609999999999998</v>
      </c>
    </row>
    <row r="403" spans="20:22" x14ac:dyDescent="0.25">
      <c r="T403" s="30">
        <v>-82.204800000000006</v>
      </c>
      <c r="U403">
        <f t="shared" si="10"/>
        <v>82.204800000000006</v>
      </c>
      <c r="V403" s="30">
        <v>0.1459</v>
      </c>
    </row>
    <row r="404" spans="20:22" x14ac:dyDescent="0.25">
      <c r="T404" s="30">
        <v>-81.201800000000006</v>
      </c>
      <c r="U404">
        <f t="shared" si="10"/>
        <v>81.201800000000006</v>
      </c>
      <c r="V404" s="30">
        <v>-2.0985</v>
      </c>
    </row>
    <row r="405" spans="20:22" x14ac:dyDescent="0.25">
      <c r="T405" s="30">
        <v>45.497199999999999</v>
      </c>
      <c r="U405">
        <f t="shared" si="10"/>
        <v>-45.497199999999999</v>
      </c>
      <c r="V405" s="30">
        <v>1.4482999999999999</v>
      </c>
    </row>
    <row r="406" spans="20:22" x14ac:dyDescent="0.25">
      <c r="T406" s="30">
        <v>46.500500000000002</v>
      </c>
      <c r="U406">
        <f t="shared" si="10"/>
        <v>-46.500500000000002</v>
      </c>
      <c r="V406" s="30">
        <v>1.204</v>
      </c>
    </row>
    <row r="407" spans="20:22" x14ac:dyDescent="0.25">
      <c r="T407" s="30">
        <v>31.494700000000002</v>
      </c>
      <c r="U407">
        <f t="shared" si="10"/>
        <v>-31.494700000000002</v>
      </c>
      <c r="V407" s="30">
        <v>0.74670000000000003</v>
      </c>
    </row>
    <row r="408" spans="20:22" x14ac:dyDescent="0.25">
      <c r="T408" s="30">
        <v>32.497999999999998</v>
      </c>
      <c r="U408">
        <f t="shared" si="10"/>
        <v>-32.497999999999998</v>
      </c>
      <c r="V408" s="30">
        <v>0.59930000000000005</v>
      </c>
    </row>
    <row r="409" spans="20:22" x14ac:dyDescent="0.25">
      <c r="T409" s="30">
        <v>18.107099999999999</v>
      </c>
      <c r="U409">
        <f t="shared" si="10"/>
        <v>-18.107099999999999</v>
      </c>
      <c r="V409" s="30">
        <v>0.80569999999999997</v>
      </c>
    </row>
    <row r="410" spans="20:22" x14ac:dyDescent="0.25">
      <c r="T410" s="30">
        <v>19.110800000000001</v>
      </c>
      <c r="U410">
        <f t="shared" si="10"/>
        <v>-19.110800000000001</v>
      </c>
      <c r="V410" s="30">
        <v>0.66669999999999996</v>
      </c>
    </row>
    <row r="411" spans="20:22" x14ac:dyDescent="0.25">
      <c r="T411" s="30">
        <v>3.2505000000000002</v>
      </c>
      <c r="U411">
        <f t="shared" si="10"/>
        <v>-3.2505000000000002</v>
      </c>
      <c r="V411" s="30">
        <v>1.1123000000000001</v>
      </c>
    </row>
    <row r="412" spans="20:22" x14ac:dyDescent="0.25">
      <c r="T412" s="30">
        <v>4.2534000000000001</v>
      </c>
      <c r="U412">
        <f t="shared" si="10"/>
        <v>-4.2534000000000001</v>
      </c>
      <c r="V412" s="30">
        <v>-1.2224999999999999</v>
      </c>
    </row>
    <row r="413" spans="20:22" x14ac:dyDescent="0.25">
      <c r="T413" s="30">
        <v>-141.64349999999999</v>
      </c>
      <c r="U413">
        <f t="shared" si="10"/>
        <v>141.64349999999999</v>
      </c>
      <c r="V413" s="30">
        <v>-2.1335000000000002</v>
      </c>
    </row>
    <row r="414" spans="20:22" x14ac:dyDescent="0.25">
      <c r="T414" s="30">
        <v>-140.64019999999999</v>
      </c>
      <c r="U414">
        <f t="shared" si="10"/>
        <v>140.64019999999999</v>
      </c>
      <c r="V414" s="30">
        <v>-0.76439999999999997</v>
      </c>
    </row>
    <row r="415" spans="20:22" x14ac:dyDescent="0.25">
      <c r="T415" s="30">
        <v>-122.3142</v>
      </c>
      <c r="U415">
        <f t="shared" si="10"/>
        <v>122.3142</v>
      </c>
      <c r="V415" s="30">
        <v>-0.72250000000000003</v>
      </c>
    </row>
    <row r="416" spans="20:22" x14ac:dyDescent="0.25">
      <c r="T416" s="30">
        <v>-121.3109</v>
      </c>
      <c r="U416">
        <f t="shared" si="10"/>
        <v>121.3109</v>
      </c>
      <c r="V416" s="30">
        <v>-0.58499999999999996</v>
      </c>
    </row>
    <row r="417" spans="20:22" x14ac:dyDescent="0.25">
      <c r="T417" s="30">
        <v>-108.2469</v>
      </c>
      <c r="U417">
        <f t="shared" si="10"/>
        <v>108.2469</v>
      </c>
      <c r="V417" s="30">
        <v>-0.65780000000000005</v>
      </c>
    </row>
    <row r="418" spans="20:22" x14ac:dyDescent="0.25">
      <c r="T418" s="30">
        <v>-107.2433</v>
      </c>
      <c r="U418">
        <f t="shared" si="10"/>
        <v>107.2433</v>
      </c>
      <c r="V418" s="30">
        <v>-0.56579999999999997</v>
      </c>
    </row>
    <row r="419" spans="20:22" x14ac:dyDescent="0.25">
      <c r="T419" s="30">
        <v>-99.152699999999996</v>
      </c>
      <c r="U419">
        <f t="shared" si="10"/>
        <v>99.152699999999996</v>
      </c>
      <c r="V419" s="30">
        <v>-4.0300000000000002E-2</v>
      </c>
    </row>
    <row r="420" spans="20:22" x14ac:dyDescent="0.25">
      <c r="T420" s="30">
        <v>-98.149799999999999</v>
      </c>
      <c r="U420">
        <f t="shared" si="10"/>
        <v>98.149799999999999</v>
      </c>
      <c r="V420" s="30">
        <v>-2.2648999999999999</v>
      </c>
    </row>
    <row r="421" spans="20:22" x14ac:dyDescent="0.25">
      <c r="T421" s="30">
        <v>45.497199999999999</v>
      </c>
      <c r="U421">
        <f t="shared" si="10"/>
        <v>-45.497199999999999</v>
      </c>
      <c r="V421" s="30">
        <v>1.4482999999999999</v>
      </c>
    </row>
    <row r="422" spans="20:22" x14ac:dyDescent="0.25">
      <c r="T422" s="30">
        <v>46.500500000000002</v>
      </c>
      <c r="U422">
        <f t="shared" si="10"/>
        <v>-46.500500000000002</v>
      </c>
      <c r="V422" s="30">
        <v>1.204</v>
      </c>
    </row>
    <row r="423" spans="20:22" x14ac:dyDescent="0.25">
      <c r="T423" s="30">
        <v>31.494700000000002</v>
      </c>
      <c r="U423">
        <f t="shared" si="10"/>
        <v>-31.494700000000002</v>
      </c>
      <c r="V423" s="30">
        <v>0.74670000000000003</v>
      </c>
    </row>
    <row r="424" spans="20:22" x14ac:dyDescent="0.25">
      <c r="T424" s="30">
        <v>32.497999999999998</v>
      </c>
      <c r="U424">
        <f t="shared" si="10"/>
        <v>-32.497999999999998</v>
      </c>
      <c r="V424" s="30">
        <v>0.59930000000000005</v>
      </c>
    </row>
    <row r="425" spans="20:22" x14ac:dyDescent="0.25">
      <c r="T425" s="30">
        <v>18.107099999999999</v>
      </c>
      <c r="U425">
        <f t="shared" si="10"/>
        <v>-18.107099999999999</v>
      </c>
      <c r="V425" s="30">
        <v>0.80569999999999997</v>
      </c>
    </row>
    <row r="426" spans="20:22" x14ac:dyDescent="0.25">
      <c r="T426" s="30">
        <v>19.110800000000001</v>
      </c>
      <c r="U426">
        <f t="shared" si="10"/>
        <v>-19.110800000000001</v>
      </c>
      <c r="V426" s="30">
        <v>0.66669999999999996</v>
      </c>
    </row>
    <row r="427" spans="20:22" x14ac:dyDescent="0.25">
      <c r="T427" s="30">
        <v>3.2505000000000002</v>
      </c>
      <c r="U427">
        <f t="shared" si="10"/>
        <v>-3.2505000000000002</v>
      </c>
      <c r="V427" s="30">
        <v>1.1123000000000001</v>
      </c>
    </row>
    <row r="428" spans="20:22" x14ac:dyDescent="0.25">
      <c r="T428" s="30">
        <v>4.2534000000000001</v>
      </c>
      <c r="U428">
        <f t="shared" si="10"/>
        <v>-4.2534000000000001</v>
      </c>
      <c r="V428" s="30">
        <v>-1.2224999999999999</v>
      </c>
    </row>
    <row r="429" spans="20:22" x14ac:dyDescent="0.25">
      <c r="T429" s="30">
        <v>-141.64349999999999</v>
      </c>
      <c r="U429">
        <f t="shared" si="10"/>
        <v>141.64349999999999</v>
      </c>
      <c r="V429" s="30">
        <v>-2.1335000000000002</v>
      </c>
    </row>
    <row r="430" spans="20:22" x14ac:dyDescent="0.25">
      <c r="T430" s="30">
        <v>-140.64019999999999</v>
      </c>
      <c r="U430">
        <f t="shared" si="10"/>
        <v>140.64019999999999</v>
      </c>
      <c r="V430" s="30">
        <v>-0.76439999999999997</v>
      </c>
    </row>
    <row r="431" spans="20:22" x14ac:dyDescent="0.25">
      <c r="T431" s="30">
        <v>-122.3142</v>
      </c>
      <c r="U431">
        <f t="shared" si="10"/>
        <v>122.3142</v>
      </c>
      <c r="V431" s="30">
        <v>-0.72250000000000003</v>
      </c>
    </row>
    <row r="432" spans="20:22" x14ac:dyDescent="0.25">
      <c r="T432" s="30">
        <v>-121.3109</v>
      </c>
      <c r="U432">
        <f t="shared" si="10"/>
        <v>121.3109</v>
      </c>
      <c r="V432" s="30">
        <v>-0.58499999999999996</v>
      </c>
    </row>
    <row r="433" spans="20:22" x14ac:dyDescent="0.25">
      <c r="T433" s="30">
        <v>-108.2469</v>
      </c>
      <c r="U433">
        <f t="shared" si="10"/>
        <v>108.2469</v>
      </c>
      <c r="V433" s="30">
        <v>-0.65780000000000005</v>
      </c>
    </row>
    <row r="434" spans="20:22" x14ac:dyDescent="0.25">
      <c r="T434" s="30">
        <v>-107.2433</v>
      </c>
      <c r="U434">
        <f t="shared" si="10"/>
        <v>107.2433</v>
      </c>
      <c r="V434" s="30">
        <v>-0.56579999999999997</v>
      </c>
    </row>
    <row r="435" spans="20:22" x14ac:dyDescent="0.25">
      <c r="T435" s="30">
        <v>-99.152699999999996</v>
      </c>
      <c r="U435">
        <f t="shared" si="10"/>
        <v>99.152699999999996</v>
      </c>
      <c r="V435" s="30">
        <v>-4.0300000000000002E-2</v>
      </c>
    </row>
    <row r="436" spans="20:22" x14ac:dyDescent="0.25">
      <c r="T436" s="30">
        <v>-98.149799999999999</v>
      </c>
      <c r="U436">
        <f t="shared" si="10"/>
        <v>98.149799999999999</v>
      </c>
      <c r="V436" s="30">
        <v>-2.2648999999999999</v>
      </c>
    </row>
    <row r="437" spans="20:22" x14ac:dyDescent="0.25">
      <c r="T437" s="30">
        <v>21.5684</v>
      </c>
      <c r="U437">
        <f t="shared" si="10"/>
        <v>-21.5684</v>
      </c>
      <c r="V437" s="30">
        <v>0.90669999999999995</v>
      </c>
    </row>
    <row r="438" spans="20:22" x14ac:dyDescent="0.25">
      <c r="T438" s="30">
        <v>22.5717</v>
      </c>
      <c r="U438">
        <f t="shared" si="10"/>
        <v>-22.5717</v>
      </c>
      <c r="V438" s="30">
        <v>0.86599999999999999</v>
      </c>
    </row>
    <row r="439" spans="20:22" x14ac:dyDescent="0.25">
      <c r="T439" s="30">
        <v>12.888500000000001</v>
      </c>
      <c r="U439">
        <f t="shared" si="10"/>
        <v>-12.888500000000001</v>
      </c>
      <c r="V439" s="30">
        <v>0.50919999999999999</v>
      </c>
    </row>
    <row r="440" spans="20:22" x14ac:dyDescent="0.25">
      <c r="T440" s="30">
        <v>13.8918</v>
      </c>
      <c r="U440">
        <f t="shared" si="10"/>
        <v>-13.8918</v>
      </c>
      <c r="V440" s="30">
        <v>0.4178</v>
      </c>
    </row>
    <row r="441" spans="20:22" x14ac:dyDescent="0.25">
      <c r="T441" s="30">
        <v>4.3131000000000004</v>
      </c>
      <c r="U441">
        <f t="shared" si="10"/>
        <v>-4.3131000000000004</v>
      </c>
      <c r="V441" s="30">
        <v>0.54430000000000001</v>
      </c>
    </row>
    <row r="442" spans="20:22" x14ac:dyDescent="0.25">
      <c r="T442" s="30">
        <v>5.3167</v>
      </c>
      <c r="U442">
        <f t="shared" si="10"/>
        <v>-5.3167</v>
      </c>
      <c r="V442" s="30">
        <v>0.45519999999999999</v>
      </c>
    </row>
    <row r="443" spans="20:22" x14ac:dyDescent="0.25">
      <c r="T443" s="30">
        <v>-5.3978999999999999</v>
      </c>
      <c r="U443">
        <f t="shared" si="10"/>
        <v>5.3978999999999999</v>
      </c>
      <c r="V443" s="30">
        <v>0.75860000000000005</v>
      </c>
    </row>
    <row r="444" spans="20:22" x14ac:dyDescent="0.25">
      <c r="T444" s="30">
        <v>-4.3948999999999998</v>
      </c>
      <c r="U444">
        <f t="shared" si="10"/>
        <v>4.3948999999999998</v>
      </c>
      <c r="V444" s="30">
        <v>-0.72040000000000004</v>
      </c>
    </row>
    <row r="445" spans="20:22" x14ac:dyDescent="0.25">
      <c r="T445" s="30">
        <v>-104.0989</v>
      </c>
      <c r="U445">
        <f t="shared" si="10"/>
        <v>104.0989</v>
      </c>
      <c r="V445" s="30">
        <v>-1.508</v>
      </c>
    </row>
    <row r="446" spans="20:22" x14ac:dyDescent="0.25">
      <c r="T446" s="30">
        <v>-103.0956</v>
      </c>
      <c r="U446">
        <f t="shared" si="10"/>
        <v>103.0956</v>
      </c>
      <c r="V446" s="30">
        <v>-0.46179999999999999</v>
      </c>
    </row>
    <row r="447" spans="20:22" x14ac:dyDescent="0.25">
      <c r="T447" s="30">
        <v>-90.287300000000002</v>
      </c>
      <c r="U447">
        <f t="shared" si="10"/>
        <v>90.287300000000002</v>
      </c>
      <c r="V447" s="30">
        <v>-0.48280000000000001</v>
      </c>
    </row>
    <row r="448" spans="20:22" x14ac:dyDescent="0.25">
      <c r="T448" s="30">
        <v>-89.284000000000006</v>
      </c>
      <c r="U448">
        <f t="shared" si="10"/>
        <v>89.284000000000006</v>
      </c>
      <c r="V448" s="30">
        <v>-0.38300000000000001</v>
      </c>
    </row>
    <row r="449" spans="20:22" x14ac:dyDescent="0.25">
      <c r="T449" s="30">
        <v>-80.333100000000002</v>
      </c>
      <c r="U449">
        <f t="shared" si="10"/>
        <v>80.333100000000002</v>
      </c>
      <c r="V449" s="30">
        <v>-0.44330000000000003</v>
      </c>
    </row>
    <row r="450" spans="20:22" x14ac:dyDescent="0.25">
      <c r="T450" s="30">
        <v>-79.329499999999996</v>
      </c>
      <c r="U450">
        <f t="shared" si="10"/>
        <v>79.329499999999996</v>
      </c>
      <c r="V450" s="30">
        <v>-0.37780000000000002</v>
      </c>
    </row>
    <row r="451" spans="20:22" x14ac:dyDescent="0.25">
      <c r="T451" s="30">
        <v>-73.905100000000004</v>
      </c>
      <c r="U451">
        <f t="shared" si="10"/>
        <v>73.905100000000004</v>
      </c>
      <c r="V451" s="30">
        <v>-2.1700000000000001E-2</v>
      </c>
    </row>
    <row r="452" spans="20:22" x14ac:dyDescent="0.25">
      <c r="T452" s="30">
        <v>-72.902199999999993</v>
      </c>
      <c r="U452">
        <f t="shared" si="10"/>
        <v>72.902199999999993</v>
      </c>
      <c r="V452" s="30">
        <v>-1.43</v>
      </c>
    </row>
    <row r="453" spans="20:22" x14ac:dyDescent="0.25">
      <c r="T453" s="30">
        <v>21.5684</v>
      </c>
      <c r="U453">
        <f t="shared" si="10"/>
        <v>-21.5684</v>
      </c>
      <c r="V453" s="30">
        <v>0.90669999999999995</v>
      </c>
    </row>
    <row r="454" spans="20:22" x14ac:dyDescent="0.25">
      <c r="T454" s="30">
        <v>22.5717</v>
      </c>
      <c r="U454">
        <f t="shared" ref="U454:U517" si="11">-T454</f>
        <v>-22.5717</v>
      </c>
      <c r="V454" s="30">
        <v>0.86599999999999999</v>
      </c>
    </row>
    <row r="455" spans="20:22" x14ac:dyDescent="0.25">
      <c r="T455" s="30">
        <v>12.888500000000001</v>
      </c>
      <c r="U455">
        <f t="shared" si="11"/>
        <v>-12.888500000000001</v>
      </c>
      <c r="V455" s="30">
        <v>0.50919999999999999</v>
      </c>
    </row>
    <row r="456" spans="20:22" x14ac:dyDescent="0.25">
      <c r="T456" s="30">
        <v>13.8918</v>
      </c>
      <c r="U456">
        <f t="shared" si="11"/>
        <v>-13.8918</v>
      </c>
      <c r="V456" s="30">
        <v>0.4178</v>
      </c>
    </row>
    <row r="457" spans="20:22" x14ac:dyDescent="0.25">
      <c r="T457" s="30">
        <v>4.3131000000000004</v>
      </c>
      <c r="U457">
        <f t="shared" si="11"/>
        <v>-4.3131000000000004</v>
      </c>
      <c r="V457" s="30">
        <v>0.54430000000000001</v>
      </c>
    </row>
    <row r="458" spans="20:22" x14ac:dyDescent="0.25">
      <c r="T458" s="30">
        <v>5.3167</v>
      </c>
      <c r="U458">
        <f t="shared" si="11"/>
        <v>-5.3167</v>
      </c>
      <c r="V458" s="30">
        <v>0.45519999999999999</v>
      </c>
    </row>
    <row r="459" spans="20:22" x14ac:dyDescent="0.25">
      <c r="T459" s="30">
        <v>-5.3978999999999999</v>
      </c>
      <c r="U459">
        <f t="shared" si="11"/>
        <v>5.3978999999999999</v>
      </c>
      <c r="V459" s="30">
        <v>0.75860000000000005</v>
      </c>
    </row>
    <row r="460" spans="20:22" x14ac:dyDescent="0.25">
      <c r="T460" s="30">
        <v>-4.3948999999999998</v>
      </c>
      <c r="U460">
        <f t="shared" si="11"/>
        <v>4.3948999999999998</v>
      </c>
      <c r="V460" s="30">
        <v>-0.72040000000000004</v>
      </c>
    </row>
    <row r="461" spans="20:22" x14ac:dyDescent="0.25">
      <c r="T461" s="30">
        <v>-104.0989</v>
      </c>
      <c r="U461">
        <f t="shared" si="11"/>
        <v>104.0989</v>
      </c>
      <c r="V461" s="30">
        <v>-1.508</v>
      </c>
    </row>
    <row r="462" spans="20:22" x14ac:dyDescent="0.25">
      <c r="T462" s="30">
        <v>-103.0956</v>
      </c>
      <c r="U462">
        <f t="shared" si="11"/>
        <v>103.0956</v>
      </c>
      <c r="V462" s="30">
        <v>-0.46179999999999999</v>
      </c>
    </row>
    <row r="463" spans="20:22" x14ac:dyDescent="0.25">
      <c r="T463" s="30">
        <v>-90.287300000000002</v>
      </c>
      <c r="U463">
        <f t="shared" si="11"/>
        <v>90.287300000000002</v>
      </c>
      <c r="V463" s="30">
        <v>-0.48280000000000001</v>
      </c>
    </row>
    <row r="464" spans="20:22" x14ac:dyDescent="0.25">
      <c r="T464" s="30">
        <v>-89.284000000000006</v>
      </c>
      <c r="U464">
        <f t="shared" si="11"/>
        <v>89.284000000000006</v>
      </c>
      <c r="V464" s="30">
        <v>-0.38300000000000001</v>
      </c>
    </row>
    <row r="465" spans="20:22" x14ac:dyDescent="0.25">
      <c r="T465" s="30">
        <v>-80.333100000000002</v>
      </c>
      <c r="U465">
        <f t="shared" si="11"/>
        <v>80.333100000000002</v>
      </c>
      <c r="V465" s="30">
        <v>-0.44330000000000003</v>
      </c>
    </row>
    <row r="466" spans="20:22" x14ac:dyDescent="0.25">
      <c r="T466" s="30">
        <v>-79.329499999999996</v>
      </c>
      <c r="U466">
        <f t="shared" si="11"/>
        <v>79.329499999999996</v>
      </c>
      <c r="V466" s="30">
        <v>-0.37780000000000002</v>
      </c>
    </row>
    <row r="467" spans="20:22" x14ac:dyDescent="0.25">
      <c r="T467" s="30">
        <v>-73.905100000000004</v>
      </c>
      <c r="U467">
        <f t="shared" si="11"/>
        <v>73.905100000000004</v>
      </c>
      <c r="V467" s="30">
        <v>-2.1700000000000001E-2</v>
      </c>
    </row>
    <row r="468" spans="20:22" x14ac:dyDescent="0.25">
      <c r="T468" s="30">
        <v>-72.902199999999993</v>
      </c>
      <c r="U468">
        <f t="shared" si="11"/>
        <v>72.902199999999993</v>
      </c>
      <c r="V468" s="30">
        <v>-1.43</v>
      </c>
    </row>
    <row r="469" spans="20:22" x14ac:dyDescent="0.25">
      <c r="T469" s="30">
        <v>52.305100000000003</v>
      </c>
      <c r="U469">
        <f t="shared" si="11"/>
        <v>-52.305100000000003</v>
      </c>
      <c r="V469" s="30">
        <v>1.4903</v>
      </c>
    </row>
    <row r="470" spans="20:22" x14ac:dyDescent="0.25">
      <c r="T470" s="30">
        <v>53.308399999999999</v>
      </c>
      <c r="U470">
        <f t="shared" si="11"/>
        <v>-53.308399999999999</v>
      </c>
      <c r="V470" s="30">
        <v>1.1862999999999999</v>
      </c>
    </row>
    <row r="471" spans="20:22" x14ac:dyDescent="0.25">
      <c r="T471" s="30">
        <v>38.205100000000002</v>
      </c>
      <c r="U471">
        <f t="shared" si="11"/>
        <v>-38.205100000000002</v>
      </c>
      <c r="V471" s="30">
        <v>0.74790000000000001</v>
      </c>
    </row>
    <row r="472" spans="20:22" x14ac:dyDescent="0.25">
      <c r="T472" s="30">
        <v>39.208399999999997</v>
      </c>
      <c r="U472">
        <f t="shared" si="11"/>
        <v>-39.208399999999997</v>
      </c>
      <c r="V472" s="30">
        <v>0.60960000000000003</v>
      </c>
    </row>
    <row r="473" spans="20:22" x14ac:dyDescent="0.25">
      <c r="T473" s="30">
        <v>25.167000000000002</v>
      </c>
      <c r="U473">
        <f t="shared" si="11"/>
        <v>-25.167000000000002</v>
      </c>
      <c r="V473" s="30">
        <v>0.78220000000000001</v>
      </c>
    </row>
    <row r="474" spans="20:22" x14ac:dyDescent="0.25">
      <c r="T474" s="30">
        <v>26.1706</v>
      </c>
      <c r="U474">
        <f t="shared" si="11"/>
        <v>-26.1706</v>
      </c>
      <c r="V474" s="30">
        <v>0.65500000000000003</v>
      </c>
    </row>
    <row r="475" spans="20:22" x14ac:dyDescent="0.25">
      <c r="T475" s="30">
        <v>11.5501</v>
      </c>
      <c r="U475">
        <f t="shared" si="11"/>
        <v>-11.5501</v>
      </c>
      <c r="V475" s="30">
        <v>0.94479999999999997</v>
      </c>
    </row>
    <row r="476" spans="20:22" x14ac:dyDescent="0.25">
      <c r="T476" s="30">
        <v>12.553100000000001</v>
      </c>
      <c r="U476">
        <f t="shared" si="11"/>
        <v>-12.553100000000001</v>
      </c>
      <c r="V476" s="30">
        <v>-0.55400000000000005</v>
      </c>
    </row>
    <row r="477" spans="20:22" x14ac:dyDescent="0.25">
      <c r="T477" s="30">
        <v>-134.8356</v>
      </c>
      <c r="U477">
        <f t="shared" si="11"/>
        <v>134.8356</v>
      </c>
      <c r="V477" s="30">
        <v>-2.0914999999999999</v>
      </c>
    </row>
    <row r="478" spans="20:22" x14ac:dyDescent="0.25">
      <c r="T478" s="30">
        <v>-133.8323</v>
      </c>
      <c r="U478">
        <f t="shared" si="11"/>
        <v>133.8323</v>
      </c>
      <c r="V478" s="30">
        <v>-0.78210000000000002</v>
      </c>
    </row>
    <row r="479" spans="20:22" x14ac:dyDescent="0.25">
      <c r="T479" s="30">
        <v>-115.6039</v>
      </c>
      <c r="U479">
        <f t="shared" si="11"/>
        <v>115.6039</v>
      </c>
      <c r="V479" s="30">
        <v>-0.72140000000000004</v>
      </c>
    </row>
    <row r="480" spans="20:22" x14ac:dyDescent="0.25">
      <c r="T480" s="30">
        <v>-114.6006</v>
      </c>
      <c r="U480">
        <f t="shared" si="11"/>
        <v>114.6006</v>
      </c>
      <c r="V480" s="30">
        <v>-0.57479999999999998</v>
      </c>
    </row>
    <row r="481" spans="20:22" x14ac:dyDescent="0.25">
      <c r="T481" s="30">
        <v>-101.1871</v>
      </c>
      <c r="U481">
        <f t="shared" si="11"/>
        <v>101.1871</v>
      </c>
      <c r="V481" s="30">
        <v>-0.68130000000000002</v>
      </c>
    </row>
    <row r="482" spans="20:22" x14ac:dyDescent="0.25">
      <c r="T482" s="30">
        <v>-100.18340000000001</v>
      </c>
      <c r="U482">
        <f t="shared" si="11"/>
        <v>100.18340000000001</v>
      </c>
      <c r="V482" s="30">
        <v>-0.57750000000000001</v>
      </c>
    </row>
    <row r="483" spans="20:22" x14ac:dyDescent="0.25">
      <c r="T483" s="30">
        <v>-90.853099999999998</v>
      </c>
      <c r="U483">
        <f t="shared" si="11"/>
        <v>90.853099999999998</v>
      </c>
      <c r="V483" s="30">
        <v>-0.20780000000000001</v>
      </c>
    </row>
    <row r="484" spans="20:22" x14ac:dyDescent="0.25">
      <c r="T484" s="30">
        <v>-89.850099999999998</v>
      </c>
      <c r="U484">
        <f t="shared" si="11"/>
        <v>89.850099999999998</v>
      </c>
      <c r="V484" s="30">
        <v>-1.5964</v>
      </c>
    </row>
    <row r="485" spans="20:22" x14ac:dyDescent="0.25">
      <c r="T485" s="30">
        <v>52.305100000000003</v>
      </c>
      <c r="U485">
        <f t="shared" si="11"/>
        <v>-52.305100000000003</v>
      </c>
      <c r="V485" s="30">
        <v>1.4903</v>
      </c>
    </row>
    <row r="486" spans="20:22" x14ac:dyDescent="0.25">
      <c r="T486" s="30">
        <v>53.308399999999999</v>
      </c>
      <c r="U486">
        <f t="shared" si="11"/>
        <v>-53.308399999999999</v>
      </c>
      <c r="V486" s="30">
        <v>1.1862999999999999</v>
      </c>
    </row>
    <row r="487" spans="20:22" x14ac:dyDescent="0.25">
      <c r="T487" s="30">
        <v>38.205100000000002</v>
      </c>
      <c r="U487">
        <f t="shared" si="11"/>
        <v>-38.205100000000002</v>
      </c>
      <c r="V487" s="30">
        <v>0.74790000000000001</v>
      </c>
    </row>
    <row r="488" spans="20:22" x14ac:dyDescent="0.25">
      <c r="T488" s="30">
        <v>39.208399999999997</v>
      </c>
      <c r="U488">
        <f t="shared" si="11"/>
        <v>-39.208399999999997</v>
      </c>
      <c r="V488" s="30">
        <v>0.60960000000000003</v>
      </c>
    </row>
    <row r="489" spans="20:22" x14ac:dyDescent="0.25">
      <c r="T489" s="30">
        <v>25.167000000000002</v>
      </c>
      <c r="U489">
        <f t="shared" si="11"/>
        <v>-25.167000000000002</v>
      </c>
      <c r="V489" s="30">
        <v>0.78220000000000001</v>
      </c>
    </row>
    <row r="490" spans="20:22" x14ac:dyDescent="0.25">
      <c r="T490" s="30">
        <v>26.1706</v>
      </c>
      <c r="U490">
        <f t="shared" si="11"/>
        <v>-26.1706</v>
      </c>
      <c r="V490" s="30">
        <v>0.65500000000000003</v>
      </c>
    </row>
    <row r="491" spans="20:22" x14ac:dyDescent="0.25">
      <c r="T491" s="30">
        <v>11.5501</v>
      </c>
      <c r="U491">
        <f t="shared" si="11"/>
        <v>-11.5501</v>
      </c>
      <c r="V491" s="30">
        <v>0.94479999999999997</v>
      </c>
    </row>
    <row r="492" spans="20:22" x14ac:dyDescent="0.25">
      <c r="T492" s="30">
        <v>12.553100000000001</v>
      </c>
      <c r="U492">
        <f t="shared" si="11"/>
        <v>-12.553100000000001</v>
      </c>
      <c r="V492" s="30">
        <v>-0.55400000000000005</v>
      </c>
    </row>
    <row r="493" spans="20:22" x14ac:dyDescent="0.25">
      <c r="T493" s="30">
        <v>-134.8356</v>
      </c>
      <c r="U493">
        <f t="shared" si="11"/>
        <v>134.8356</v>
      </c>
      <c r="V493" s="30">
        <v>-2.0914999999999999</v>
      </c>
    </row>
    <row r="494" spans="20:22" x14ac:dyDescent="0.25">
      <c r="T494" s="30">
        <v>-133.8323</v>
      </c>
      <c r="U494">
        <f t="shared" si="11"/>
        <v>133.8323</v>
      </c>
      <c r="V494" s="30">
        <v>-0.78210000000000002</v>
      </c>
    </row>
    <row r="495" spans="20:22" x14ac:dyDescent="0.25">
      <c r="T495" s="30">
        <v>-115.6039</v>
      </c>
      <c r="U495">
        <f t="shared" si="11"/>
        <v>115.6039</v>
      </c>
      <c r="V495" s="30">
        <v>-0.72140000000000004</v>
      </c>
    </row>
    <row r="496" spans="20:22" x14ac:dyDescent="0.25">
      <c r="T496" s="30">
        <v>-114.6006</v>
      </c>
      <c r="U496">
        <f t="shared" si="11"/>
        <v>114.6006</v>
      </c>
      <c r="V496" s="30">
        <v>-0.57479999999999998</v>
      </c>
    </row>
    <row r="497" spans="20:22" x14ac:dyDescent="0.25">
      <c r="T497" s="30">
        <v>-101.1871</v>
      </c>
      <c r="U497">
        <f t="shared" si="11"/>
        <v>101.1871</v>
      </c>
      <c r="V497" s="30">
        <v>-0.68130000000000002</v>
      </c>
    </row>
    <row r="498" spans="20:22" x14ac:dyDescent="0.25">
      <c r="T498" s="30">
        <v>-100.18340000000001</v>
      </c>
      <c r="U498">
        <f t="shared" si="11"/>
        <v>100.18340000000001</v>
      </c>
      <c r="V498" s="30">
        <v>-0.57750000000000001</v>
      </c>
    </row>
    <row r="499" spans="20:22" x14ac:dyDescent="0.25">
      <c r="T499" s="30">
        <v>-90.853099999999998</v>
      </c>
      <c r="U499">
        <f t="shared" si="11"/>
        <v>90.853099999999998</v>
      </c>
      <c r="V499" s="30">
        <v>-0.20780000000000001</v>
      </c>
    </row>
    <row r="500" spans="20:22" x14ac:dyDescent="0.25">
      <c r="T500" s="30">
        <v>-89.850099999999998</v>
      </c>
      <c r="U500">
        <f t="shared" si="11"/>
        <v>89.850099999999998</v>
      </c>
      <c r="V500" s="30">
        <v>-1.5964</v>
      </c>
    </row>
    <row r="501" spans="20:22" x14ac:dyDescent="0.25">
      <c r="T501" s="30">
        <v>17.906300000000002</v>
      </c>
      <c r="U501">
        <f t="shared" si="11"/>
        <v>-17.906300000000002</v>
      </c>
      <c r="V501" s="30">
        <v>0.89680000000000004</v>
      </c>
    </row>
    <row r="502" spans="20:22" x14ac:dyDescent="0.25">
      <c r="T502" s="30">
        <v>18.909700000000001</v>
      </c>
      <c r="U502">
        <f t="shared" si="11"/>
        <v>-18.909700000000001</v>
      </c>
      <c r="V502" s="30">
        <v>0.85840000000000005</v>
      </c>
    </row>
    <row r="503" spans="20:22" x14ac:dyDescent="0.25">
      <c r="T503" s="30">
        <v>9.0662000000000003</v>
      </c>
      <c r="U503">
        <f t="shared" si="11"/>
        <v>-9.0662000000000003</v>
      </c>
      <c r="V503" s="30">
        <v>0.50980000000000003</v>
      </c>
    </row>
    <row r="504" spans="20:22" x14ac:dyDescent="0.25">
      <c r="T504" s="30">
        <v>10.0695</v>
      </c>
      <c r="U504">
        <f t="shared" si="11"/>
        <v>-10.0695</v>
      </c>
      <c r="V504" s="30">
        <v>0.3972</v>
      </c>
    </row>
    <row r="505" spans="20:22" x14ac:dyDescent="0.25">
      <c r="T505" s="30">
        <v>-1.12E-2</v>
      </c>
      <c r="U505">
        <f t="shared" si="11"/>
        <v>1.12E-2</v>
      </c>
      <c r="V505" s="30">
        <v>0.57140000000000002</v>
      </c>
    </row>
    <row r="506" spans="20:22" x14ac:dyDescent="0.25">
      <c r="T506" s="30">
        <v>0.99239999999999995</v>
      </c>
      <c r="U506">
        <f t="shared" si="11"/>
        <v>-0.99239999999999995</v>
      </c>
      <c r="V506" s="30">
        <v>0.45860000000000001</v>
      </c>
    </row>
    <row r="507" spans="20:22" x14ac:dyDescent="0.25">
      <c r="T507" s="30">
        <v>-11.069800000000001</v>
      </c>
      <c r="U507">
        <f t="shared" si="11"/>
        <v>11.069800000000001</v>
      </c>
      <c r="V507" s="30">
        <v>0.92769999999999997</v>
      </c>
    </row>
    <row r="508" spans="20:22" x14ac:dyDescent="0.25">
      <c r="T508" s="30">
        <v>-10.0669</v>
      </c>
      <c r="U508">
        <f t="shared" si="11"/>
        <v>10.0669</v>
      </c>
      <c r="V508" s="30">
        <v>-1.4403999999999999</v>
      </c>
    </row>
    <row r="509" spans="20:22" x14ac:dyDescent="0.25">
      <c r="T509" s="30">
        <v>-107.761</v>
      </c>
      <c r="U509">
        <f t="shared" si="11"/>
        <v>107.761</v>
      </c>
      <c r="V509" s="30">
        <v>-1.5178</v>
      </c>
    </row>
    <row r="510" spans="20:22" x14ac:dyDescent="0.25">
      <c r="T510" s="30">
        <v>-106.7577</v>
      </c>
      <c r="U510">
        <f t="shared" si="11"/>
        <v>106.7577</v>
      </c>
      <c r="V510" s="30">
        <v>-0.46939999999999998</v>
      </c>
    </row>
    <row r="511" spans="20:22" x14ac:dyDescent="0.25">
      <c r="T511" s="30">
        <v>-94.1096</v>
      </c>
      <c r="U511">
        <f t="shared" si="11"/>
        <v>94.1096</v>
      </c>
      <c r="V511" s="30">
        <v>-0.48220000000000002</v>
      </c>
    </row>
    <row r="512" spans="20:22" x14ac:dyDescent="0.25">
      <c r="T512" s="30">
        <v>-93.106200000000001</v>
      </c>
      <c r="U512">
        <f t="shared" si="11"/>
        <v>93.106200000000001</v>
      </c>
      <c r="V512" s="30">
        <v>-0.40360000000000001</v>
      </c>
    </row>
    <row r="513" spans="20:22" x14ac:dyDescent="0.25">
      <c r="T513" s="30">
        <v>-84.657399999999996</v>
      </c>
      <c r="U513">
        <f t="shared" si="11"/>
        <v>84.657399999999996</v>
      </c>
      <c r="V513" s="30">
        <v>-0.41620000000000001</v>
      </c>
    </row>
    <row r="514" spans="20:22" x14ac:dyDescent="0.25">
      <c r="T514" s="30">
        <v>-83.653700000000001</v>
      </c>
      <c r="U514">
        <f t="shared" si="11"/>
        <v>83.653700000000001</v>
      </c>
      <c r="V514" s="30">
        <v>-0.37440000000000001</v>
      </c>
    </row>
    <row r="515" spans="20:22" x14ac:dyDescent="0.25">
      <c r="T515" s="30">
        <v>-79.577100000000002</v>
      </c>
      <c r="U515">
        <f t="shared" si="11"/>
        <v>79.577100000000002</v>
      </c>
      <c r="V515" s="30">
        <v>0.1474</v>
      </c>
    </row>
    <row r="516" spans="20:22" x14ac:dyDescent="0.25">
      <c r="T516" s="30">
        <v>-78.574100000000001</v>
      </c>
      <c r="U516">
        <f t="shared" si="11"/>
        <v>78.574100000000001</v>
      </c>
      <c r="V516" s="30">
        <v>-2.15</v>
      </c>
    </row>
    <row r="517" spans="20:22" x14ac:dyDescent="0.25">
      <c r="T517" s="30">
        <v>17.906300000000002</v>
      </c>
      <c r="U517">
        <f t="shared" si="11"/>
        <v>-17.906300000000002</v>
      </c>
      <c r="V517" s="30">
        <v>0.89680000000000004</v>
      </c>
    </row>
    <row r="518" spans="20:22" x14ac:dyDescent="0.25">
      <c r="T518" s="30">
        <v>18.909700000000001</v>
      </c>
      <c r="U518">
        <f t="shared" ref="U518:U581" si="12">-T518</f>
        <v>-18.909700000000001</v>
      </c>
      <c r="V518" s="30">
        <v>0.85840000000000005</v>
      </c>
    </row>
    <row r="519" spans="20:22" x14ac:dyDescent="0.25">
      <c r="T519" s="30">
        <v>9.0662000000000003</v>
      </c>
      <c r="U519">
        <f t="shared" si="12"/>
        <v>-9.0662000000000003</v>
      </c>
      <c r="V519" s="30">
        <v>0.50980000000000003</v>
      </c>
    </row>
    <row r="520" spans="20:22" x14ac:dyDescent="0.25">
      <c r="T520" s="30">
        <v>10.0695</v>
      </c>
      <c r="U520">
        <f t="shared" si="12"/>
        <v>-10.0695</v>
      </c>
      <c r="V520" s="30">
        <v>0.3972</v>
      </c>
    </row>
    <row r="521" spans="20:22" x14ac:dyDescent="0.25">
      <c r="T521" s="30">
        <v>-1.12E-2</v>
      </c>
      <c r="U521">
        <f t="shared" si="12"/>
        <v>1.12E-2</v>
      </c>
      <c r="V521" s="30">
        <v>0.57140000000000002</v>
      </c>
    </row>
    <row r="522" spans="20:22" x14ac:dyDescent="0.25">
      <c r="T522" s="30">
        <v>0.99239999999999995</v>
      </c>
      <c r="U522">
        <f t="shared" si="12"/>
        <v>-0.99239999999999995</v>
      </c>
      <c r="V522" s="30">
        <v>0.45860000000000001</v>
      </c>
    </row>
    <row r="523" spans="20:22" x14ac:dyDescent="0.25">
      <c r="T523" s="30">
        <v>-11.069800000000001</v>
      </c>
      <c r="U523">
        <f t="shared" si="12"/>
        <v>11.069800000000001</v>
      </c>
      <c r="V523" s="30">
        <v>0.92769999999999997</v>
      </c>
    </row>
    <row r="524" spans="20:22" x14ac:dyDescent="0.25">
      <c r="T524" s="30">
        <v>-10.0669</v>
      </c>
      <c r="U524">
        <f t="shared" si="12"/>
        <v>10.0669</v>
      </c>
      <c r="V524" s="30">
        <v>-1.4403999999999999</v>
      </c>
    </row>
    <row r="525" spans="20:22" x14ac:dyDescent="0.25">
      <c r="T525" s="30">
        <v>-107.761</v>
      </c>
      <c r="U525">
        <f t="shared" si="12"/>
        <v>107.761</v>
      </c>
      <c r="V525" s="30">
        <v>-1.5178</v>
      </c>
    </row>
    <row r="526" spans="20:22" x14ac:dyDescent="0.25">
      <c r="T526" s="30">
        <v>-106.7577</v>
      </c>
      <c r="U526">
        <f t="shared" si="12"/>
        <v>106.7577</v>
      </c>
      <c r="V526" s="30">
        <v>-0.46939999999999998</v>
      </c>
    </row>
    <row r="527" spans="20:22" x14ac:dyDescent="0.25">
      <c r="T527" s="30">
        <v>-94.1096</v>
      </c>
      <c r="U527">
        <f t="shared" si="12"/>
        <v>94.1096</v>
      </c>
      <c r="V527" s="30">
        <v>-0.48220000000000002</v>
      </c>
    </row>
    <row r="528" spans="20:22" x14ac:dyDescent="0.25">
      <c r="T528" s="30">
        <v>-93.106200000000001</v>
      </c>
      <c r="U528">
        <f t="shared" si="12"/>
        <v>93.106200000000001</v>
      </c>
      <c r="V528" s="30">
        <v>-0.40360000000000001</v>
      </c>
    </row>
    <row r="529" spans="20:22" x14ac:dyDescent="0.25">
      <c r="T529" s="30">
        <v>-84.657399999999996</v>
      </c>
      <c r="U529">
        <f t="shared" si="12"/>
        <v>84.657399999999996</v>
      </c>
      <c r="V529" s="30">
        <v>-0.41620000000000001</v>
      </c>
    </row>
    <row r="530" spans="20:22" x14ac:dyDescent="0.25">
      <c r="T530" s="30">
        <v>-83.653700000000001</v>
      </c>
      <c r="U530">
        <f t="shared" si="12"/>
        <v>83.653700000000001</v>
      </c>
      <c r="V530" s="30">
        <v>-0.37440000000000001</v>
      </c>
    </row>
    <row r="531" spans="20:22" x14ac:dyDescent="0.25">
      <c r="T531" s="30">
        <v>-79.577100000000002</v>
      </c>
      <c r="U531">
        <f t="shared" si="12"/>
        <v>79.577100000000002</v>
      </c>
      <c r="V531" s="30">
        <v>0.1474</v>
      </c>
    </row>
    <row r="532" spans="20:22" x14ac:dyDescent="0.25">
      <c r="T532" s="30">
        <v>-78.574100000000001</v>
      </c>
      <c r="U532">
        <f t="shared" si="12"/>
        <v>78.574100000000001</v>
      </c>
      <c r="V532" s="30">
        <v>-2.15</v>
      </c>
    </row>
    <row r="533" spans="20:22" x14ac:dyDescent="0.25">
      <c r="T533" s="30">
        <v>48.643000000000001</v>
      </c>
      <c r="U533">
        <f t="shared" si="12"/>
        <v>-48.643000000000001</v>
      </c>
      <c r="V533" s="30">
        <v>1.4803999999999999</v>
      </c>
    </row>
    <row r="534" spans="20:22" x14ac:dyDescent="0.25">
      <c r="T534" s="30">
        <v>49.646299999999997</v>
      </c>
      <c r="U534">
        <f t="shared" si="12"/>
        <v>-49.646299999999997</v>
      </c>
      <c r="V534" s="30">
        <v>1.1787000000000001</v>
      </c>
    </row>
    <row r="535" spans="20:22" x14ac:dyDescent="0.25">
      <c r="T535" s="30">
        <v>34.382800000000003</v>
      </c>
      <c r="U535">
        <f t="shared" si="12"/>
        <v>-34.382800000000003</v>
      </c>
      <c r="V535" s="30">
        <v>0.74850000000000005</v>
      </c>
    </row>
    <row r="536" spans="20:22" x14ac:dyDescent="0.25">
      <c r="T536" s="30">
        <v>35.386099999999999</v>
      </c>
      <c r="U536">
        <f t="shared" si="12"/>
        <v>-35.386099999999999</v>
      </c>
      <c r="V536" s="30">
        <v>0.58899999999999997</v>
      </c>
    </row>
    <row r="537" spans="20:22" x14ac:dyDescent="0.25">
      <c r="T537" s="30">
        <v>20.842700000000001</v>
      </c>
      <c r="U537">
        <f t="shared" si="12"/>
        <v>-20.842700000000001</v>
      </c>
      <c r="V537" s="30">
        <v>0.80930000000000002</v>
      </c>
    </row>
    <row r="538" spans="20:22" x14ac:dyDescent="0.25">
      <c r="T538" s="30">
        <v>21.846399999999999</v>
      </c>
      <c r="U538">
        <f t="shared" si="12"/>
        <v>-21.846399999999999</v>
      </c>
      <c r="V538" s="30">
        <v>0.6583</v>
      </c>
    </row>
    <row r="539" spans="20:22" x14ac:dyDescent="0.25">
      <c r="T539" s="30">
        <v>5.8780999999999999</v>
      </c>
      <c r="U539">
        <f t="shared" si="12"/>
        <v>-5.8780999999999999</v>
      </c>
      <c r="V539" s="30">
        <v>1.1137999999999999</v>
      </c>
    </row>
    <row r="540" spans="20:22" x14ac:dyDescent="0.25">
      <c r="T540" s="30">
        <v>6.8811</v>
      </c>
      <c r="U540">
        <f t="shared" si="12"/>
        <v>-6.8811</v>
      </c>
      <c r="V540" s="30">
        <v>-1.274</v>
      </c>
    </row>
    <row r="541" spans="20:22" x14ac:dyDescent="0.25">
      <c r="T541" s="30">
        <v>-138.49770000000001</v>
      </c>
      <c r="U541">
        <f t="shared" si="12"/>
        <v>138.49770000000001</v>
      </c>
      <c r="V541" s="30">
        <v>-2.1013999999999999</v>
      </c>
    </row>
    <row r="542" spans="20:22" x14ac:dyDescent="0.25">
      <c r="T542" s="30">
        <v>-137.49440000000001</v>
      </c>
      <c r="U542">
        <f t="shared" si="12"/>
        <v>137.49440000000001</v>
      </c>
      <c r="V542" s="30">
        <v>-0.78969999999999996</v>
      </c>
    </row>
    <row r="543" spans="20:22" x14ac:dyDescent="0.25">
      <c r="T543" s="30">
        <v>-119.42619999999999</v>
      </c>
      <c r="U543">
        <f t="shared" si="12"/>
        <v>119.42619999999999</v>
      </c>
      <c r="V543" s="30">
        <v>-0.7208</v>
      </c>
    </row>
    <row r="544" spans="20:22" x14ac:dyDescent="0.25">
      <c r="T544" s="30">
        <v>-118.4228</v>
      </c>
      <c r="U544">
        <f t="shared" si="12"/>
        <v>118.4228</v>
      </c>
      <c r="V544" s="30">
        <v>-0.59540000000000004</v>
      </c>
    </row>
    <row r="545" spans="20:22" x14ac:dyDescent="0.25">
      <c r="T545" s="30">
        <v>-105.51130000000001</v>
      </c>
      <c r="U545">
        <f t="shared" si="12"/>
        <v>105.51130000000001</v>
      </c>
      <c r="V545" s="30">
        <v>-0.65410000000000001</v>
      </c>
    </row>
    <row r="546" spans="20:22" x14ac:dyDescent="0.25">
      <c r="T546" s="30">
        <v>-104.5077</v>
      </c>
      <c r="U546">
        <f t="shared" si="12"/>
        <v>104.5077</v>
      </c>
      <c r="V546" s="30">
        <v>-0.57420000000000004</v>
      </c>
    </row>
    <row r="547" spans="20:22" x14ac:dyDescent="0.25">
      <c r="T547" s="30">
        <v>-96.525000000000006</v>
      </c>
      <c r="U547">
        <f t="shared" si="12"/>
        <v>96.525000000000006</v>
      </c>
      <c r="V547" s="30">
        <v>-3.8800000000000001E-2</v>
      </c>
    </row>
    <row r="548" spans="20:22" x14ac:dyDescent="0.25">
      <c r="T548" s="30">
        <v>-95.522099999999995</v>
      </c>
      <c r="U548">
        <f t="shared" si="12"/>
        <v>95.522099999999995</v>
      </c>
      <c r="V548" s="30">
        <v>-2.3163999999999998</v>
      </c>
    </row>
    <row r="549" spans="20:22" x14ac:dyDescent="0.25">
      <c r="T549" s="30">
        <v>48.643000000000001</v>
      </c>
      <c r="U549">
        <f t="shared" si="12"/>
        <v>-48.643000000000001</v>
      </c>
      <c r="V549" s="30">
        <v>1.4803999999999999</v>
      </c>
    </row>
    <row r="550" spans="20:22" x14ac:dyDescent="0.25">
      <c r="T550" s="30">
        <v>49.646299999999997</v>
      </c>
      <c r="U550">
        <f t="shared" si="12"/>
        <v>-49.646299999999997</v>
      </c>
      <c r="V550" s="30">
        <v>1.1787000000000001</v>
      </c>
    </row>
    <row r="551" spans="20:22" x14ac:dyDescent="0.25">
      <c r="T551" s="30">
        <v>34.382800000000003</v>
      </c>
      <c r="U551">
        <f t="shared" si="12"/>
        <v>-34.382800000000003</v>
      </c>
      <c r="V551" s="30">
        <v>0.74850000000000005</v>
      </c>
    </row>
    <row r="552" spans="20:22" x14ac:dyDescent="0.25">
      <c r="T552" s="30">
        <v>35.386099999999999</v>
      </c>
      <c r="U552">
        <f t="shared" si="12"/>
        <v>-35.386099999999999</v>
      </c>
      <c r="V552" s="30">
        <v>0.58899999999999997</v>
      </c>
    </row>
    <row r="553" spans="20:22" x14ac:dyDescent="0.25">
      <c r="T553" s="30">
        <v>20.842700000000001</v>
      </c>
      <c r="U553">
        <f t="shared" si="12"/>
        <v>-20.842700000000001</v>
      </c>
      <c r="V553" s="30">
        <v>0.80930000000000002</v>
      </c>
    </row>
    <row r="554" spans="20:22" x14ac:dyDescent="0.25">
      <c r="T554" s="30">
        <v>21.846399999999999</v>
      </c>
      <c r="U554">
        <f t="shared" si="12"/>
        <v>-21.846399999999999</v>
      </c>
      <c r="V554" s="30">
        <v>0.6583</v>
      </c>
    </row>
    <row r="555" spans="20:22" x14ac:dyDescent="0.25">
      <c r="T555" s="30">
        <v>5.8780999999999999</v>
      </c>
      <c r="U555">
        <f t="shared" si="12"/>
        <v>-5.8780999999999999</v>
      </c>
      <c r="V555" s="30">
        <v>1.1137999999999999</v>
      </c>
    </row>
    <row r="556" spans="20:22" x14ac:dyDescent="0.25">
      <c r="T556" s="30">
        <v>6.8811</v>
      </c>
      <c r="U556">
        <f t="shared" si="12"/>
        <v>-6.8811</v>
      </c>
      <c r="V556" s="30">
        <v>-1.274</v>
      </c>
    </row>
    <row r="557" spans="20:22" x14ac:dyDescent="0.25">
      <c r="T557" s="30">
        <v>-138.49770000000001</v>
      </c>
      <c r="U557">
        <f t="shared" si="12"/>
        <v>138.49770000000001</v>
      </c>
      <c r="V557" s="30">
        <v>-2.1013999999999999</v>
      </c>
    </row>
    <row r="558" spans="20:22" x14ac:dyDescent="0.25">
      <c r="T558" s="30">
        <v>-137.49440000000001</v>
      </c>
      <c r="U558">
        <f t="shared" si="12"/>
        <v>137.49440000000001</v>
      </c>
      <c r="V558" s="30">
        <v>-0.78969999999999996</v>
      </c>
    </row>
    <row r="559" spans="20:22" x14ac:dyDescent="0.25">
      <c r="T559" s="30">
        <v>-119.42619999999999</v>
      </c>
      <c r="U559">
        <f t="shared" si="12"/>
        <v>119.42619999999999</v>
      </c>
      <c r="V559" s="30">
        <v>-0.7208</v>
      </c>
    </row>
    <row r="560" spans="20:22" x14ac:dyDescent="0.25">
      <c r="T560" s="30">
        <v>-118.4228</v>
      </c>
      <c r="U560">
        <f t="shared" si="12"/>
        <v>118.4228</v>
      </c>
      <c r="V560" s="30">
        <v>-0.59540000000000004</v>
      </c>
    </row>
    <row r="561" spans="20:22" x14ac:dyDescent="0.25">
      <c r="T561" s="30">
        <v>-105.51130000000001</v>
      </c>
      <c r="U561">
        <f t="shared" si="12"/>
        <v>105.51130000000001</v>
      </c>
      <c r="V561" s="30">
        <v>-0.65410000000000001</v>
      </c>
    </row>
    <row r="562" spans="20:22" x14ac:dyDescent="0.25">
      <c r="T562" s="30">
        <v>-104.5077</v>
      </c>
      <c r="U562">
        <f t="shared" si="12"/>
        <v>104.5077</v>
      </c>
      <c r="V562" s="30">
        <v>-0.57420000000000004</v>
      </c>
    </row>
    <row r="563" spans="20:22" x14ac:dyDescent="0.25">
      <c r="T563" s="30">
        <v>-96.525000000000006</v>
      </c>
      <c r="U563">
        <f t="shared" si="12"/>
        <v>96.525000000000006</v>
      </c>
      <c r="V563" s="30">
        <v>-3.8800000000000001E-2</v>
      </c>
    </row>
    <row r="564" spans="20:22" x14ac:dyDescent="0.25">
      <c r="T564" s="30">
        <v>-95.522099999999995</v>
      </c>
      <c r="U564">
        <f t="shared" si="12"/>
        <v>95.522099999999995</v>
      </c>
      <c r="V564" s="30">
        <v>-2.3163999999999998</v>
      </c>
    </row>
    <row r="565" spans="20:22" x14ac:dyDescent="0.25">
      <c r="T565" s="30">
        <v>36.016399999999997</v>
      </c>
      <c r="U565">
        <f t="shared" si="12"/>
        <v>-36.016399999999997</v>
      </c>
      <c r="V565" s="30">
        <v>1.0181</v>
      </c>
    </row>
    <row r="566" spans="20:22" x14ac:dyDescent="0.25">
      <c r="T566" s="30">
        <v>36.738700000000001</v>
      </c>
      <c r="U566">
        <f t="shared" si="12"/>
        <v>-36.738700000000001</v>
      </c>
      <c r="V566" s="30">
        <v>0.78859999999999997</v>
      </c>
    </row>
    <row r="567" spans="20:22" x14ac:dyDescent="0.25">
      <c r="T567" s="30">
        <v>26.414100000000001</v>
      </c>
      <c r="U567">
        <f t="shared" si="12"/>
        <v>-26.414100000000001</v>
      </c>
      <c r="V567" s="30">
        <v>0.50639999999999996</v>
      </c>
    </row>
    <row r="568" spans="20:22" x14ac:dyDescent="0.25">
      <c r="T568" s="30">
        <v>27.136500000000002</v>
      </c>
      <c r="U568">
        <f t="shared" si="12"/>
        <v>-27.136500000000002</v>
      </c>
      <c r="V568" s="30">
        <v>0.40560000000000002</v>
      </c>
    </row>
    <row r="569" spans="20:22" x14ac:dyDescent="0.25">
      <c r="T569" s="30">
        <v>17.540900000000001</v>
      </c>
      <c r="U569">
        <f t="shared" si="12"/>
        <v>-17.540900000000001</v>
      </c>
      <c r="V569" s="30">
        <v>0.53239999999999998</v>
      </c>
    </row>
    <row r="570" spans="20:22" x14ac:dyDescent="0.25">
      <c r="T570" s="30">
        <v>18.263500000000001</v>
      </c>
      <c r="U570">
        <f t="shared" si="12"/>
        <v>-18.263500000000001</v>
      </c>
      <c r="V570" s="30">
        <v>0.4385</v>
      </c>
    </row>
    <row r="571" spans="20:22" x14ac:dyDescent="0.25">
      <c r="T571" s="30">
        <v>8.2396999999999991</v>
      </c>
      <c r="U571">
        <f t="shared" si="12"/>
        <v>-8.2396999999999991</v>
      </c>
      <c r="V571" s="30">
        <v>0.65339999999999998</v>
      </c>
    </row>
    <row r="572" spans="20:22" x14ac:dyDescent="0.25">
      <c r="T572" s="30">
        <v>8.9618000000000002</v>
      </c>
      <c r="U572">
        <f t="shared" si="12"/>
        <v>-8.9618000000000002</v>
      </c>
      <c r="V572" s="30">
        <v>-0.45190000000000002</v>
      </c>
    </row>
    <row r="573" spans="20:22" x14ac:dyDescent="0.25">
      <c r="T573" s="30">
        <v>-89.650999999999996</v>
      </c>
      <c r="U573">
        <f t="shared" si="12"/>
        <v>89.650999999999996</v>
      </c>
      <c r="V573" s="30">
        <v>-1.3965000000000001</v>
      </c>
    </row>
    <row r="574" spans="20:22" x14ac:dyDescent="0.25">
      <c r="T574" s="30">
        <v>-88.928600000000003</v>
      </c>
      <c r="U574">
        <f t="shared" si="12"/>
        <v>88.928600000000003</v>
      </c>
      <c r="V574" s="30">
        <v>-0.5393</v>
      </c>
    </row>
    <row r="575" spans="20:22" x14ac:dyDescent="0.25">
      <c r="T575" s="30">
        <v>-76.761600000000001</v>
      </c>
      <c r="U575">
        <f t="shared" si="12"/>
        <v>76.761600000000001</v>
      </c>
      <c r="V575" s="30">
        <v>-0.48559999999999998</v>
      </c>
    </row>
    <row r="576" spans="20:22" x14ac:dyDescent="0.25">
      <c r="T576" s="30">
        <v>-76.039299999999997</v>
      </c>
      <c r="U576">
        <f t="shared" si="12"/>
        <v>76.039299999999997</v>
      </c>
      <c r="V576" s="30">
        <v>-0.39529999999999998</v>
      </c>
    </row>
    <row r="577" spans="20:22" x14ac:dyDescent="0.25">
      <c r="T577" s="30">
        <v>-67.1053</v>
      </c>
      <c r="U577">
        <f t="shared" si="12"/>
        <v>67.1053</v>
      </c>
      <c r="V577" s="30">
        <v>-0.45529999999999998</v>
      </c>
    </row>
    <row r="578" spans="20:22" x14ac:dyDescent="0.25">
      <c r="T578" s="30">
        <v>-66.3827</v>
      </c>
      <c r="U578">
        <f t="shared" si="12"/>
        <v>66.3827</v>
      </c>
      <c r="V578" s="30">
        <v>-0.39450000000000002</v>
      </c>
    </row>
    <row r="579" spans="20:22" x14ac:dyDescent="0.25">
      <c r="T579" s="30">
        <v>-60.267499999999998</v>
      </c>
      <c r="U579">
        <f t="shared" si="12"/>
        <v>60.267499999999998</v>
      </c>
      <c r="V579" s="30">
        <v>-0.12690000000000001</v>
      </c>
    </row>
    <row r="580" spans="20:22" x14ac:dyDescent="0.25">
      <c r="T580" s="30">
        <v>-59.545400000000001</v>
      </c>
      <c r="U580">
        <f t="shared" si="12"/>
        <v>59.545400000000001</v>
      </c>
      <c r="V580" s="30">
        <v>-1.1616</v>
      </c>
    </row>
    <row r="581" spans="20:22" x14ac:dyDescent="0.25">
      <c r="T581" s="30">
        <v>36.016399999999997</v>
      </c>
      <c r="U581">
        <f t="shared" si="12"/>
        <v>-36.016399999999997</v>
      </c>
      <c r="V581" s="30">
        <v>1.0181</v>
      </c>
    </row>
    <row r="582" spans="20:22" x14ac:dyDescent="0.25">
      <c r="T582" s="30">
        <v>36.738700000000001</v>
      </c>
      <c r="U582">
        <f t="shared" ref="U582:U589" si="13">-T582</f>
        <v>-36.738700000000001</v>
      </c>
      <c r="V582" s="30">
        <v>0.78859999999999997</v>
      </c>
    </row>
    <row r="583" spans="20:22" x14ac:dyDescent="0.25">
      <c r="T583" s="30">
        <v>26.414100000000001</v>
      </c>
      <c r="U583">
        <f t="shared" si="13"/>
        <v>-26.414100000000001</v>
      </c>
      <c r="V583" s="30">
        <v>0.50639999999999996</v>
      </c>
    </row>
    <row r="584" spans="20:22" x14ac:dyDescent="0.25">
      <c r="T584" s="30">
        <v>27.136500000000002</v>
      </c>
      <c r="U584">
        <f t="shared" si="13"/>
        <v>-27.136500000000002</v>
      </c>
      <c r="V584" s="30">
        <v>0.40560000000000002</v>
      </c>
    </row>
    <row r="585" spans="20:22" x14ac:dyDescent="0.25">
      <c r="T585" s="30">
        <v>17.540900000000001</v>
      </c>
      <c r="U585">
        <f t="shared" si="13"/>
        <v>-17.540900000000001</v>
      </c>
      <c r="V585" s="30">
        <v>0.53239999999999998</v>
      </c>
    </row>
    <row r="586" spans="20:22" x14ac:dyDescent="0.25">
      <c r="T586" s="30">
        <v>18.263500000000001</v>
      </c>
      <c r="U586">
        <f t="shared" si="13"/>
        <v>-18.263500000000001</v>
      </c>
      <c r="V586" s="30">
        <v>0.4385</v>
      </c>
    </row>
    <row r="587" spans="20:22" x14ac:dyDescent="0.25">
      <c r="T587" s="30">
        <v>8.2396999999999991</v>
      </c>
      <c r="U587">
        <f t="shared" si="13"/>
        <v>-8.2396999999999991</v>
      </c>
      <c r="V587" s="30">
        <v>0.65339999999999998</v>
      </c>
    </row>
    <row r="588" spans="20:22" x14ac:dyDescent="0.25">
      <c r="T588" s="30">
        <v>8.9618000000000002</v>
      </c>
      <c r="U588">
        <f t="shared" si="13"/>
        <v>-8.9618000000000002</v>
      </c>
      <c r="V588" s="30">
        <v>-0.45190000000000002</v>
      </c>
    </row>
    <row r="589" spans="20:22" x14ac:dyDescent="0.25">
      <c r="T589" s="30">
        <v>-89.650999999999996</v>
      </c>
      <c r="U589">
        <f t="shared" si="13"/>
        <v>89.650999999999996</v>
      </c>
      <c r="V589" s="30">
        <v>-1.3965000000000001</v>
      </c>
    </row>
    <row r="590" spans="20:22" x14ac:dyDescent="0.25">
      <c r="T590" s="30">
        <v>-88.928600000000003</v>
      </c>
      <c r="U590">
        <f>-T590</f>
        <v>88.928600000000003</v>
      </c>
      <c r="V590" s="30">
        <v>-0.5393</v>
      </c>
    </row>
    <row r="591" spans="20:22" x14ac:dyDescent="0.25">
      <c r="T591" s="30">
        <v>-76.761600000000001</v>
      </c>
      <c r="U591">
        <f t="shared" ref="U591:U628" si="14">-T591</f>
        <v>76.761600000000001</v>
      </c>
      <c r="V591" s="30">
        <v>-0.48559999999999998</v>
      </c>
    </row>
    <row r="592" spans="20:22" x14ac:dyDescent="0.25">
      <c r="T592" s="30">
        <v>-76.039299999999997</v>
      </c>
      <c r="U592">
        <f t="shared" si="14"/>
        <v>76.039299999999997</v>
      </c>
      <c r="V592" s="30">
        <v>-0.39529999999999998</v>
      </c>
    </row>
    <row r="593" spans="20:22" x14ac:dyDescent="0.25">
      <c r="T593" s="30">
        <v>-67.1053</v>
      </c>
      <c r="U593">
        <f t="shared" si="14"/>
        <v>67.1053</v>
      </c>
      <c r="V593" s="30">
        <v>-0.45529999999999998</v>
      </c>
    </row>
    <row r="594" spans="20:22" x14ac:dyDescent="0.25">
      <c r="T594" s="30">
        <v>-66.3827</v>
      </c>
      <c r="U594">
        <f t="shared" si="14"/>
        <v>66.3827</v>
      </c>
      <c r="V594" s="30">
        <v>-0.39450000000000002</v>
      </c>
    </row>
    <row r="595" spans="20:22" x14ac:dyDescent="0.25">
      <c r="T595" s="30">
        <v>-60.267499999999998</v>
      </c>
      <c r="U595">
        <f t="shared" si="14"/>
        <v>60.267499999999998</v>
      </c>
      <c r="V595" s="30">
        <v>-0.12690000000000001</v>
      </c>
    </row>
    <row r="596" spans="20:22" x14ac:dyDescent="0.25">
      <c r="T596" s="30">
        <v>-59.545400000000001</v>
      </c>
      <c r="U596">
        <f t="shared" si="14"/>
        <v>59.545400000000001</v>
      </c>
      <c r="V596" s="30">
        <v>-1.1616</v>
      </c>
    </row>
    <row r="597" spans="20:22" x14ac:dyDescent="0.25">
      <c r="T597" s="30">
        <v>66.753</v>
      </c>
      <c r="U597">
        <f t="shared" si="14"/>
        <v>-66.753</v>
      </c>
      <c r="V597" s="30">
        <v>1.6016999999999999</v>
      </c>
    </row>
    <row r="598" spans="20:22" x14ac:dyDescent="0.25">
      <c r="T598" s="30">
        <v>67.475399999999993</v>
      </c>
      <c r="U598">
        <f t="shared" si="14"/>
        <v>-67.475399999999993</v>
      </c>
      <c r="V598" s="30">
        <v>1.1088</v>
      </c>
    </row>
    <row r="599" spans="20:22" x14ac:dyDescent="0.25">
      <c r="T599" s="30">
        <v>51.730699999999999</v>
      </c>
      <c r="U599">
        <f t="shared" si="14"/>
        <v>-51.730699999999999</v>
      </c>
      <c r="V599" s="30">
        <v>0.745</v>
      </c>
    </row>
    <row r="600" spans="20:22" x14ac:dyDescent="0.25">
      <c r="T600" s="30">
        <v>52.453099999999999</v>
      </c>
      <c r="U600">
        <f t="shared" si="14"/>
        <v>-52.453099999999999</v>
      </c>
      <c r="V600" s="30">
        <v>0.59730000000000005</v>
      </c>
    </row>
    <row r="601" spans="20:22" x14ac:dyDescent="0.25">
      <c r="T601" s="30">
        <v>38.394799999999996</v>
      </c>
      <c r="U601">
        <f t="shared" si="14"/>
        <v>-38.394799999999996</v>
      </c>
      <c r="V601" s="30">
        <v>0.77029999999999998</v>
      </c>
    </row>
    <row r="602" spans="20:22" x14ac:dyDescent="0.25">
      <c r="T602" s="30">
        <v>39.117400000000004</v>
      </c>
      <c r="U602">
        <f t="shared" si="14"/>
        <v>-39.117400000000004</v>
      </c>
      <c r="V602" s="30">
        <v>0.63819999999999999</v>
      </c>
    </row>
    <row r="603" spans="20:22" x14ac:dyDescent="0.25">
      <c r="T603" s="30">
        <v>25.1877</v>
      </c>
      <c r="U603">
        <f t="shared" si="14"/>
        <v>-25.1877</v>
      </c>
      <c r="V603" s="30">
        <v>0.83960000000000001</v>
      </c>
    </row>
    <row r="604" spans="20:22" x14ac:dyDescent="0.25">
      <c r="T604" s="30">
        <v>25.909800000000001</v>
      </c>
      <c r="U604">
        <f t="shared" si="14"/>
        <v>-25.909800000000001</v>
      </c>
      <c r="V604" s="30">
        <v>-0.28549999999999998</v>
      </c>
    </row>
    <row r="605" spans="20:22" x14ac:dyDescent="0.25">
      <c r="T605" s="30">
        <v>-120.3877</v>
      </c>
      <c r="U605">
        <f t="shared" si="14"/>
        <v>120.3877</v>
      </c>
      <c r="V605" s="30">
        <v>-1.9801</v>
      </c>
    </row>
    <row r="606" spans="20:22" x14ac:dyDescent="0.25">
      <c r="T606" s="30">
        <v>-119.6653</v>
      </c>
      <c r="U606">
        <f t="shared" si="14"/>
        <v>119.6653</v>
      </c>
      <c r="V606" s="30">
        <v>-0.85960000000000003</v>
      </c>
    </row>
    <row r="607" spans="20:22" x14ac:dyDescent="0.25">
      <c r="T607" s="30">
        <v>-102.0782</v>
      </c>
      <c r="U607">
        <f t="shared" si="14"/>
        <v>102.0782</v>
      </c>
      <c r="V607" s="30">
        <v>-0.72430000000000005</v>
      </c>
    </row>
    <row r="608" spans="20:22" x14ac:dyDescent="0.25">
      <c r="T608" s="30">
        <v>-101.35590000000001</v>
      </c>
      <c r="U608">
        <f t="shared" si="14"/>
        <v>101.35590000000001</v>
      </c>
      <c r="V608" s="30">
        <v>-0.58699999999999997</v>
      </c>
    </row>
    <row r="609" spans="20:22" x14ac:dyDescent="0.25">
      <c r="T609" s="30">
        <v>-87.959299999999999</v>
      </c>
      <c r="U609">
        <f t="shared" si="14"/>
        <v>87.959299999999999</v>
      </c>
      <c r="V609" s="30">
        <v>-0.69320000000000004</v>
      </c>
    </row>
    <row r="610" spans="20:22" x14ac:dyDescent="0.25">
      <c r="T610" s="30">
        <v>-87.236599999999996</v>
      </c>
      <c r="U610">
        <f t="shared" si="14"/>
        <v>87.236599999999996</v>
      </c>
      <c r="V610" s="30">
        <v>-0.59430000000000005</v>
      </c>
    </row>
    <row r="611" spans="20:22" x14ac:dyDescent="0.25">
      <c r="T611" s="30">
        <v>-77.215500000000006</v>
      </c>
      <c r="U611">
        <f t="shared" si="14"/>
        <v>77.215500000000006</v>
      </c>
      <c r="V611" s="30">
        <v>-0.313</v>
      </c>
    </row>
    <row r="612" spans="20:22" x14ac:dyDescent="0.25">
      <c r="T612" s="30">
        <v>-76.493399999999994</v>
      </c>
      <c r="U612">
        <f t="shared" si="14"/>
        <v>76.493399999999994</v>
      </c>
      <c r="V612" s="30">
        <v>-1.3280000000000001</v>
      </c>
    </row>
    <row r="613" spans="20:22" x14ac:dyDescent="0.25">
      <c r="T613" s="30">
        <v>66.753</v>
      </c>
      <c r="U613">
        <f t="shared" si="14"/>
        <v>-66.753</v>
      </c>
      <c r="V613" s="30">
        <v>1.6016999999999999</v>
      </c>
    </row>
    <row r="614" spans="20:22" x14ac:dyDescent="0.25">
      <c r="T614" s="30">
        <v>67.475399999999993</v>
      </c>
      <c r="U614">
        <f t="shared" si="14"/>
        <v>-67.475399999999993</v>
      </c>
      <c r="V614" s="30">
        <v>1.1088</v>
      </c>
    </row>
    <row r="615" spans="20:22" x14ac:dyDescent="0.25">
      <c r="T615" s="30">
        <v>51.730699999999999</v>
      </c>
      <c r="U615">
        <f t="shared" si="14"/>
        <v>-51.730699999999999</v>
      </c>
      <c r="V615" s="30">
        <v>0.745</v>
      </c>
    </row>
    <row r="616" spans="20:22" x14ac:dyDescent="0.25">
      <c r="T616" s="30">
        <v>52.453099999999999</v>
      </c>
      <c r="U616">
        <f t="shared" si="14"/>
        <v>-52.453099999999999</v>
      </c>
      <c r="V616" s="30">
        <v>0.59730000000000005</v>
      </c>
    </row>
    <row r="617" spans="20:22" x14ac:dyDescent="0.25">
      <c r="T617" s="30">
        <v>38.394799999999996</v>
      </c>
      <c r="U617">
        <f t="shared" si="14"/>
        <v>-38.394799999999996</v>
      </c>
      <c r="V617" s="30">
        <v>0.77029999999999998</v>
      </c>
    </row>
    <row r="618" spans="20:22" x14ac:dyDescent="0.25">
      <c r="T618" s="30">
        <v>39.117400000000004</v>
      </c>
      <c r="U618">
        <f t="shared" si="14"/>
        <v>-39.117400000000004</v>
      </c>
      <c r="V618" s="30">
        <v>0.63819999999999999</v>
      </c>
    </row>
    <row r="619" spans="20:22" x14ac:dyDescent="0.25">
      <c r="T619" s="30">
        <v>25.1877</v>
      </c>
      <c r="U619">
        <f t="shared" si="14"/>
        <v>-25.1877</v>
      </c>
      <c r="V619" s="30">
        <v>0.83960000000000001</v>
      </c>
    </row>
    <row r="620" spans="20:22" x14ac:dyDescent="0.25">
      <c r="T620" s="30">
        <v>25.909800000000001</v>
      </c>
      <c r="U620">
        <f t="shared" si="14"/>
        <v>-25.909800000000001</v>
      </c>
      <c r="V620" s="30">
        <v>-0.28549999999999998</v>
      </c>
    </row>
    <row r="621" spans="20:22" x14ac:dyDescent="0.25">
      <c r="T621" s="30">
        <v>-120.3877</v>
      </c>
      <c r="U621">
        <f t="shared" si="14"/>
        <v>120.3877</v>
      </c>
      <c r="V621" s="30">
        <v>-1.9801</v>
      </c>
    </row>
    <row r="622" spans="20:22" x14ac:dyDescent="0.25">
      <c r="T622" s="30">
        <v>-119.6653</v>
      </c>
      <c r="U622">
        <f t="shared" si="14"/>
        <v>119.6653</v>
      </c>
      <c r="V622" s="30">
        <v>-0.85960000000000003</v>
      </c>
    </row>
    <row r="623" spans="20:22" x14ac:dyDescent="0.25">
      <c r="T623" s="30">
        <v>-102.0782</v>
      </c>
      <c r="U623">
        <f t="shared" si="14"/>
        <v>102.0782</v>
      </c>
      <c r="V623" s="30">
        <v>-0.72430000000000005</v>
      </c>
    </row>
    <row r="624" spans="20:22" x14ac:dyDescent="0.25">
      <c r="T624" s="30">
        <v>-101.35590000000001</v>
      </c>
      <c r="U624">
        <f t="shared" si="14"/>
        <v>101.35590000000001</v>
      </c>
      <c r="V624" s="30">
        <v>-0.58699999999999997</v>
      </c>
    </row>
    <row r="625" spans="20:22" x14ac:dyDescent="0.25">
      <c r="T625" s="30">
        <v>-87.959299999999999</v>
      </c>
      <c r="U625">
        <f t="shared" si="14"/>
        <v>87.959299999999999</v>
      </c>
      <c r="V625" s="30">
        <v>-0.69320000000000004</v>
      </c>
    </row>
    <row r="626" spans="20:22" x14ac:dyDescent="0.25">
      <c r="T626" s="30">
        <v>-87.236599999999996</v>
      </c>
      <c r="U626">
        <f t="shared" si="14"/>
        <v>87.236599999999996</v>
      </c>
      <c r="V626" s="30">
        <v>-0.59430000000000005</v>
      </c>
    </row>
    <row r="627" spans="20:22" x14ac:dyDescent="0.25">
      <c r="T627" s="30">
        <v>-77.215500000000006</v>
      </c>
      <c r="U627">
        <f t="shared" si="14"/>
        <v>77.215500000000006</v>
      </c>
      <c r="V627" s="30">
        <v>-0.313</v>
      </c>
    </row>
    <row r="628" spans="20:22" x14ac:dyDescent="0.25">
      <c r="T628" s="30">
        <v>-76.493399999999994</v>
      </c>
      <c r="U628">
        <f t="shared" si="14"/>
        <v>76.493399999999994</v>
      </c>
      <c r="V628" s="30">
        <v>-1.3280000000000001</v>
      </c>
    </row>
  </sheetData>
  <mergeCells count="3">
    <mergeCell ref="Q66:S66"/>
    <mergeCell ref="T66:V66"/>
    <mergeCell ref="Q65:V6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9CA8-66BA-4404-BE5B-F0BA15B3223C}">
  <dimension ref="B2:H60"/>
  <sheetViews>
    <sheetView tabSelected="1" zoomScale="110" zoomScaleNormal="110" workbookViewId="0">
      <selection activeCell="D69" sqref="D69"/>
    </sheetView>
  </sheetViews>
  <sheetFormatPr baseColWidth="10" defaultRowHeight="15" x14ac:dyDescent="0.25"/>
  <sheetData>
    <row r="2" spans="2:8" x14ac:dyDescent="0.25">
      <c r="B2" s="11" t="s">
        <v>349</v>
      </c>
      <c r="C2" s="3"/>
      <c r="F2" s="18" t="s">
        <v>227</v>
      </c>
      <c r="G2" s="18" t="s">
        <v>228</v>
      </c>
      <c r="H2" s="89" t="s">
        <v>350</v>
      </c>
    </row>
    <row r="3" spans="2:8" x14ac:dyDescent="0.25">
      <c r="B3" s="4"/>
      <c r="F3" s="19" t="s">
        <v>351</v>
      </c>
      <c r="G3" s="37">
        <v>0.32</v>
      </c>
      <c r="H3" s="38">
        <v>0.64</v>
      </c>
    </row>
    <row r="4" spans="2:8" x14ac:dyDescent="0.25">
      <c r="B4" s="4" t="s">
        <v>352</v>
      </c>
      <c r="F4" s="19" t="s">
        <v>230</v>
      </c>
      <c r="G4" s="37">
        <v>0.71</v>
      </c>
      <c r="H4" s="38">
        <v>0.95</v>
      </c>
    </row>
    <row r="5" spans="2:8" x14ac:dyDescent="0.25">
      <c r="B5" t="s">
        <v>221</v>
      </c>
      <c r="C5">
        <v>20</v>
      </c>
      <c r="D5" t="s">
        <v>223</v>
      </c>
      <c r="F5" s="19" t="s">
        <v>231</v>
      </c>
      <c r="G5" s="37">
        <v>1.29</v>
      </c>
      <c r="H5" s="38">
        <v>1.27</v>
      </c>
    </row>
    <row r="6" spans="2:8" x14ac:dyDescent="0.25">
      <c r="B6" t="s">
        <v>222</v>
      </c>
      <c r="C6">
        <v>40</v>
      </c>
      <c r="D6" t="s">
        <v>223</v>
      </c>
      <c r="F6" s="19" t="s">
        <v>232</v>
      </c>
      <c r="G6" s="37">
        <v>1.98</v>
      </c>
      <c r="H6" s="38">
        <v>1.59</v>
      </c>
    </row>
    <row r="7" spans="2:8" x14ac:dyDescent="0.25">
      <c r="B7" t="s">
        <v>353</v>
      </c>
      <c r="C7">
        <f>2*10</f>
        <v>20</v>
      </c>
      <c r="D7" t="s">
        <v>223</v>
      </c>
      <c r="F7" s="19" t="s">
        <v>233</v>
      </c>
      <c r="G7" s="37">
        <v>2.85</v>
      </c>
      <c r="H7" s="38">
        <v>1.91</v>
      </c>
    </row>
    <row r="8" spans="2:8" x14ac:dyDescent="0.25">
      <c r="B8" t="s">
        <v>354</v>
      </c>
      <c r="C8">
        <f>MIN(C6:C7)</f>
        <v>20</v>
      </c>
      <c r="D8" t="s">
        <v>223</v>
      </c>
      <c r="F8" s="19" t="s">
        <v>234</v>
      </c>
      <c r="G8" s="37">
        <v>5.07</v>
      </c>
      <c r="H8" s="38">
        <v>2.54</v>
      </c>
    </row>
    <row r="9" spans="2:8" x14ac:dyDescent="0.25">
      <c r="B9" t="s">
        <v>226</v>
      </c>
      <c r="C9" s="1">
        <f>C5-2-H5/2</f>
        <v>17.364999999999998</v>
      </c>
      <c r="D9" t="s">
        <v>223</v>
      </c>
    </row>
    <row r="10" spans="2:8" x14ac:dyDescent="0.25">
      <c r="B10" t="s">
        <v>240</v>
      </c>
      <c r="C10" s="2">
        <f>0.7*SQRT(210)/4200</f>
        <v>2.4152294576982396E-3</v>
      </c>
    </row>
    <row r="11" spans="2:8" x14ac:dyDescent="0.25">
      <c r="B11" t="s">
        <v>242</v>
      </c>
      <c r="C11" s="1">
        <f>C10*C8*C9</f>
        <v>0.8388091906585986</v>
      </c>
      <c r="D11" t="s">
        <v>238</v>
      </c>
      <c r="E11" s="90" t="s">
        <v>355</v>
      </c>
    </row>
    <row r="13" spans="2:8" x14ac:dyDescent="0.25">
      <c r="B13" s="4" t="s">
        <v>356</v>
      </c>
    </row>
    <row r="15" spans="2:8" x14ac:dyDescent="0.25">
      <c r="B15" t="s">
        <v>221</v>
      </c>
      <c r="C15">
        <v>20</v>
      </c>
      <c r="D15" t="s">
        <v>223</v>
      </c>
    </row>
    <row r="16" spans="2:8" x14ac:dyDescent="0.25">
      <c r="B16" t="s">
        <v>357</v>
      </c>
      <c r="C16">
        <v>10</v>
      </c>
      <c r="D16" t="s">
        <v>223</v>
      </c>
    </row>
    <row r="17" spans="2:5" x14ac:dyDescent="0.25">
      <c r="B17" t="s">
        <v>226</v>
      </c>
      <c r="C17" s="1">
        <f>C15-2-H5/2</f>
        <v>17.364999999999998</v>
      </c>
      <c r="D17" t="s">
        <v>223</v>
      </c>
    </row>
    <row r="18" spans="2:5" x14ac:dyDescent="0.25">
      <c r="B18" t="s">
        <v>240</v>
      </c>
      <c r="C18" s="2">
        <f>0.7*SQRT(210)/4200</f>
        <v>2.4152294576982396E-3</v>
      </c>
    </row>
    <row r="19" spans="2:5" x14ac:dyDescent="0.25">
      <c r="B19" t="s">
        <v>242</v>
      </c>
      <c r="C19" s="1">
        <f>C18*C16*C17</f>
        <v>0.4194045953292993</v>
      </c>
      <c r="D19" t="s">
        <v>238</v>
      </c>
      <c r="E19" s="33" t="s">
        <v>358</v>
      </c>
    </row>
    <row r="21" spans="2:5" x14ac:dyDescent="0.25">
      <c r="B21" s="91" t="s">
        <v>359</v>
      </c>
    </row>
    <row r="23" spans="2:5" x14ac:dyDescent="0.25">
      <c r="B23" t="s">
        <v>218</v>
      </c>
      <c r="C23">
        <v>0.67</v>
      </c>
      <c r="D23" t="s">
        <v>219</v>
      </c>
    </row>
    <row r="24" spans="2:5" x14ac:dyDescent="0.25">
      <c r="B24" t="s">
        <v>220</v>
      </c>
      <c r="C24">
        <v>210</v>
      </c>
      <c r="D24" t="s">
        <v>237</v>
      </c>
    </row>
    <row r="25" spans="2:5" x14ac:dyDescent="0.25">
      <c r="B25" t="s">
        <v>225</v>
      </c>
      <c r="C25">
        <v>4200</v>
      </c>
      <c r="D25" t="s">
        <v>237</v>
      </c>
    </row>
    <row r="26" spans="2:5" x14ac:dyDescent="0.25">
      <c r="B26" t="s">
        <v>221</v>
      </c>
      <c r="C26">
        <v>20</v>
      </c>
      <c r="D26" t="s">
        <v>223</v>
      </c>
    </row>
    <row r="27" spans="2:5" x14ac:dyDescent="0.25">
      <c r="B27" t="s">
        <v>222</v>
      </c>
      <c r="C27">
        <v>20</v>
      </c>
      <c r="D27" t="s">
        <v>223</v>
      </c>
    </row>
    <row r="28" spans="2:5" x14ac:dyDescent="0.25">
      <c r="B28" t="s">
        <v>224</v>
      </c>
      <c r="C28">
        <v>2</v>
      </c>
      <c r="D28" t="s">
        <v>223</v>
      </c>
    </row>
    <row r="29" spans="2:5" x14ac:dyDescent="0.25">
      <c r="B29" t="s">
        <v>226</v>
      </c>
      <c r="C29" s="1">
        <f>C26-C28-H5/2</f>
        <v>17.364999999999998</v>
      </c>
      <c r="D29" t="s">
        <v>223</v>
      </c>
    </row>
    <row r="30" spans="2:5" x14ac:dyDescent="0.25">
      <c r="B30" s="92" t="s">
        <v>361</v>
      </c>
      <c r="C30" s="1">
        <v>0.9</v>
      </c>
    </row>
    <row r="31" spans="2:5" x14ac:dyDescent="0.25">
      <c r="B31" t="s">
        <v>235</v>
      </c>
      <c r="C31" s="1">
        <f>C29-SQRT((C29^2)-((2*C23*10^5)/(0.85*C24*C30*C27)))</f>
        <v>1.2455194288815825</v>
      </c>
      <c r="D31" t="s">
        <v>223</v>
      </c>
    </row>
    <row r="32" spans="2:5" x14ac:dyDescent="0.25">
      <c r="B32" t="s">
        <v>236</v>
      </c>
      <c r="C32" s="1">
        <f>(C23*10^5)/(C30*C25*(C29-C31/2))</f>
        <v>1.0586915145493445</v>
      </c>
      <c r="D32" t="s">
        <v>238</v>
      </c>
      <c r="E32" s="90" t="s">
        <v>355</v>
      </c>
    </row>
    <row r="34" spans="2:4" x14ac:dyDescent="0.25">
      <c r="B34" t="s">
        <v>236</v>
      </c>
      <c r="C34" s="1">
        <f>G5</f>
        <v>1.29</v>
      </c>
      <c r="D34" t="s">
        <v>238</v>
      </c>
    </row>
    <row r="35" spans="2:4" x14ac:dyDescent="0.25">
      <c r="B35" s="3" t="s">
        <v>218</v>
      </c>
      <c r="C35" s="63">
        <f>(C34*C30*C25*(C29-C31/2))*10^-5</f>
        <v>0.81638512080443792</v>
      </c>
      <c r="D35" s="3" t="s">
        <v>219</v>
      </c>
    </row>
    <row r="38" spans="2:4" x14ac:dyDescent="0.25">
      <c r="B38" s="91" t="s">
        <v>362</v>
      </c>
      <c r="C38" s="93"/>
    </row>
    <row r="40" spans="2:4" x14ac:dyDescent="0.25">
      <c r="B40" t="s">
        <v>218</v>
      </c>
      <c r="C40" s="1">
        <v>0.4</v>
      </c>
      <c r="D40" t="s">
        <v>219</v>
      </c>
    </row>
    <row r="41" spans="2:4" x14ac:dyDescent="0.25">
      <c r="B41" t="s">
        <v>360</v>
      </c>
      <c r="C41">
        <v>210</v>
      </c>
      <c r="D41" t="s">
        <v>237</v>
      </c>
    </row>
    <row r="42" spans="2:4" x14ac:dyDescent="0.25">
      <c r="B42" t="s">
        <v>225</v>
      </c>
      <c r="C42">
        <v>4200</v>
      </c>
      <c r="D42" t="s">
        <v>237</v>
      </c>
    </row>
    <row r="43" spans="2:4" x14ac:dyDescent="0.25">
      <c r="B43" t="s">
        <v>221</v>
      </c>
      <c r="C43">
        <v>20</v>
      </c>
      <c r="D43" t="s">
        <v>223</v>
      </c>
    </row>
    <row r="44" spans="2:4" x14ac:dyDescent="0.25">
      <c r="B44" t="s">
        <v>222</v>
      </c>
      <c r="C44">
        <v>10</v>
      </c>
      <c r="D44" t="s">
        <v>223</v>
      </c>
    </row>
    <row r="45" spans="2:4" x14ac:dyDescent="0.25">
      <c r="B45" t="s">
        <v>224</v>
      </c>
      <c r="C45">
        <v>2</v>
      </c>
      <c r="D45" t="s">
        <v>223</v>
      </c>
    </row>
    <row r="46" spans="2:4" x14ac:dyDescent="0.25">
      <c r="B46" t="s">
        <v>226</v>
      </c>
      <c r="C46" s="1">
        <f>C43-C45-H5/2</f>
        <v>17.364999999999998</v>
      </c>
      <c r="D46" t="s">
        <v>223</v>
      </c>
    </row>
    <row r="47" spans="2:4" x14ac:dyDescent="0.25">
      <c r="B47" s="92" t="s">
        <v>361</v>
      </c>
      <c r="C47" s="1">
        <v>0.9</v>
      </c>
    </row>
    <row r="48" spans="2:4" x14ac:dyDescent="0.25">
      <c r="B48" t="s">
        <v>235</v>
      </c>
      <c r="C48" s="1">
        <f>C46-SQRT((C46^2)-((2*C40*10^5)/(0.85*C41*C47*C44)))</f>
        <v>1.4985092681626782</v>
      </c>
      <c r="D48" t="s">
        <v>223</v>
      </c>
    </row>
    <row r="49" spans="2:5" x14ac:dyDescent="0.25">
      <c r="B49" t="s">
        <v>236</v>
      </c>
      <c r="C49" s="1">
        <f>(C40*10^5)/(C47*C42*(C46-C48/2))</f>
        <v>0.63686643896913853</v>
      </c>
      <c r="D49" t="s">
        <v>238</v>
      </c>
      <c r="E49" s="90" t="s">
        <v>358</v>
      </c>
    </row>
    <row r="51" spans="2:5" x14ac:dyDescent="0.25">
      <c r="B51" t="s">
        <v>236</v>
      </c>
      <c r="C51" s="1">
        <f>G4</f>
        <v>0.71</v>
      </c>
      <c r="D51" t="s">
        <v>238</v>
      </c>
    </row>
    <row r="52" spans="2:5" x14ac:dyDescent="0.25">
      <c r="B52" s="3" t="s">
        <v>218</v>
      </c>
      <c r="C52" s="63">
        <f>(C51*C47*C42*(C46-C48/2))*10^-5</f>
        <v>0.44593337413052508</v>
      </c>
      <c r="D52" s="3" t="s">
        <v>219</v>
      </c>
    </row>
    <row r="55" spans="2:5" x14ac:dyDescent="0.25">
      <c r="B55" s="4" t="s">
        <v>363</v>
      </c>
    </row>
    <row r="57" spans="2:5" x14ac:dyDescent="0.25">
      <c r="B57" t="s">
        <v>240</v>
      </c>
      <c r="C57">
        <v>1.8E-3</v>
      </c>
    </row>
    <row r="58" spans="2:5" x14ac:dyDescent="0.25">
      <c r="B58" t="s">
        <v>222</v>
      </c>
      <c r="C58">
        <f>5*5</f>
        <v>25</v>
      </c>
      <c r="D58" t="s">
        <v>223</v>
      </c>
    </row>
    <row r="59" spans="2:5" x14ac:dyDescent="0.25">
      <c r="B59" t="s">
        <v>221</v>
      </c>
      <c r="C59">
        <v>5</v>
      </c>
      <c r="D59" t="s">
        <v>223</v>
      </c>
    </row>
    <row r="60" spans="2:5" x14ac:dyDescent="0.25">
      <c r="B60" t="s">
        <v>242</v>
      </c>
      <c r="C60">
        <f>C57*C58*C59</f>
        <v>0.22499999999999998</v>
      </c>
      <c r="D60" t="s">
        <v>238</v>
      </c>
      <c r="E60" s="90" t="s">
        <v>364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ESPECTRO DISEÑO</vt:lpstr>
      <vt:lpstr>CARGAS</vt:lpstr>
      <vt:lpstr>VERIFICACIONES</vt:lpstr>
      <vt:lpstr>PESO</vt:lpstr>
      <vt:lpstr>VIGAS</vt:lpstr>
      <vt:lpstr>COLUMNAS</vt:lpstr>
      <vt:lpstr>MUROS DE CORTE</vt:lpstr>
      <vt:lpstr>LOSA ALIGERADA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2025-01-12T15:25:38Z</dcterms:created>
  <dcterms:modified xsi:type="dcterms:W3CDTF">2025-02-16T18:22:19Z</dcterms:modified>
</cp:coreProperties>
</file>