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D2A43B54-5E87-4FEC-B0B9-5634FB261946}" xr6:coauthVersionLast="47" xr6:coauthVersionMax="47" xr10:uidLastSave="{00000000-0000-0000-0000-000000000000}"/>
  <bookViews>
    <workbookView xWindow="-108" yWindow="-108" windowWidth="23256" windowHeight="12456" xr2:uid="{84BD41D9-F873-4422-BAAA-BD92BE672800}"/>
  </bookViews>
  <sheets>
    <sheet name="MUROS DE SOTANO ETABS" sheetId="3" r:id="rId1"/>
  </sheets>
  <externalReferences>
    <externalReference r:id="rId2"/>
  </externalReferences>
  <definedNames>
    <definedName name="fy" localSheetId="0">'MUROS DE SOTANO ETABS'!$C$42</definedName>
    <definedName name="parrita" localSheetId="0">'MUROS DE SOTANO ETABS'!$CF$222:$CG$226</definedName>
    <definedName name="parrita">[1]CALCULO!$AY$4:$AZ$8</definedName>
    <definedName name="TABLA" localSheetId="0">'MUROS DE SOTANO ETABS'!$BX$248:$CJ$254</definedName>
    <definedName name="TABLA">[1]CALCULO!$AC$27:$AO$33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AV285" i="3" l="1"/>
  <c r="AU285" i="3"/>
  <c r="AS285" i="3"/>
  <c r="AE216" i="3"/>
  <c r="AE217" i="3"/>
  <c r="AE218" i="3"/>
  <c r="AE215" i="3"/>
  <c r="AQ287" i="3" l="1"/>
  <c r="AD287" i="3"/>
  <c r="AI286" i="3"/>
  <c r="AH286" i="3"/>
  <c r="AD288" i="3" s="1"/>
  <c r="AF286" i="3"/>
  <c r="AQ270" i="3"/>
  <c r="AD270" i="3"/>
  <c r="AV269" i="3"/>
  <c r="AU269" i="3"/>
  <c r="AQ271" i="3" s="1"/>
  <c r="AS269" i="3"/>
  <c r="AI269" i="3"/>
  <c r="AH269" i="3"/>
  <c r="AD271" i="3" s="1"/>
  <c r="AF269" i="3"/>
  <c r="AQ253" i="3"/>
  <c r="AD253" i="3"/>
  <c r="AV252" i="3"/>
  <c r="AU252" i="3"/>
  <c r="AQ254" i="3" s="1"/>
  <c r="AS252" i="3"/>
  <c r="AI252" i="3"/>
  <c r="AH252" i="3"/>
  <c r="AD254" i="3" s="1"/>
  <c r="AF252" i="3"/>
  <c r="AV235" i="3"/>
  <c r="AU235" i="3"/>
  <c r="AQ237" i="3" s="1"/>
  <c r="AS235" i="3"/>
  <c r="AI235" i="3"/>
  <c r="AH235" i="3"/>
  <c r="AD237" i="3" s="1"/>
  <c r="AF235" i="3"/>
  <c r="AQ236" i="3"/>
  <c r="AD236" i="3"/>
  <c r="AE214" i="3" l="1"/>
  <c r="AE213" i="3"/>
  <c r="D78" i="3"/>
  <c r="D68" i="3"/>
  <c r="D39" i="3"/>
  <c r="D132" i="3" s="1"/>
  <c r="D29" i="3"/>
  <c r="D49" i="3" s="1"/>
  <c r="I62" i="3" s="1"/>
  <c r="O52" i="3" s="1"/>
  <c r="AD308" i="3" l="1"/>
  <c r="AL308" i="3"/>
  <c r="AL309" i="3" s="1"/>
  <c r="C281" i="3" s="1"/>
  <c r="C282" i="3" s="1"/>
  <c r="AD313" i="3"/>
  <c r="AD314" i="3" s="1"/>
  <c r="P280" i="3" s="1"/>
  <c r="P281" i="3" s="1"/>
  <c r="AD303" i="3"/>
  <c r="AD304" i="3" s="1"/>
  <c r="P296" i="3" s="1"/>
  <c r="P297" i="3" s="1"/>
  <c r="AL303" i="3"/>
  <c r="AL304" i="3" s="1"/>
  <c r="C289" i="3" s="1"/>
  <c r="C290" i="3" s="1"/>
  <c r="AL318" i="3"/>
  <c r="AL319" i="3" s="1"/>
  <c r="C263" i="3" s="1"/>
  <c r="C264" i="3" s="1"/>
  <c r="AL313" i="3"/>
  <c r="AL314" i="3" s="1"/>
  <c r="C272" i="3" s="1"/>
  <c r="AD318" i="3"/>
  <c r="AD319" i="3" s="1"/>
  <c r="P271" i="3" s="1"/>
  <c r="P272" i="3" s="1"/>
  <c r="AD309" i="3"/>
  <c r="P288" i="3" s="1"/>
  <c r="P289" i="3" s="1"/>
  <c r="AQ272" i="3"/>
  <c r="AQ255" i="3"/>
  <c r="BJ249" i="3" s="1"/>
  <c r="BJ250" i="3" s="1"/>
  <c r="BJ251" i="3" s="1"/>
  <c r="BJ252" i="3" s="1"/>
  <c r="BJ253" i="3" s="1"/>
  <c r="BJ254" i="3" s="1"/>
  <c r="BJ255" i="3" s="1"/>
  <c r="AQ256" i="3" s="1"/>
  <c r="AD255" i="3"/>
  <c r="AD289" i="3"/>
  <c r="BD283" i="3" s="1"/>
  <c r="BD284" i="3" s="1"/>
  <c r="BD285" i="3" s="1"/>
  <c r="BD286" i="3" s="1"/>
  <c r="BD287" i="3" s="1"/>
  <c r="BD288" i="3" s="1"/>
  <c r="BD289" i="3" s="1"/>
  <c r="AD290" i="3" s="1"/>
  <c r="AD238" i="3"/>
  <c r="AE226" i="3"/>
  <c r="D126" i="3"/>
  <c r="AE227" i="3"/>
  <c r="J170" i="3"/>
  <c r="D34" i="3"/>
  <c r="D62" i="3" s="1"/>
  <c r="O62" i="3" s="1"/>
  <c r="D44" i="3"/>
  <c r="D84" i="3"/>
  <c r="D90" i="3" s="1"/>
  <c r="D104" i="3" s="1"/>
  <c r="D97" i="3" l="1"/>
  <c r="BJ266" i="3"/>
  <c r="BJ267" i="3" s="1"/>
  <c r="BJ268" i="3" s="1"/>
  <c r="BJ269" i="3" s="1"/>
  <c r="BJ270" i="3" s="1"/>
  <c r="BJ271" i="3" s="1"/>
  <c r="BJ272" i="3" s="1"/>
  <c r="AQ273" i="3" s="1"/>
  <c r="AQ275" i="3" s="1"/>
  <c r="AQ277" i="3" s="1"/>
  <c r="AQ278" i="3" s="1"/>
  <c r="AQ280" i="3" s="1"/>
  <c r="C222" i="3" s="1"/>
  <c r="BD249" i="3"/>
  <c r="BD250" i="3" s="1"/>
  <c r="BD251" i="3" s="1"/>
  <c r="BD252" i="3" s="1"/>
  <c r="BD253" i="3" s="1"/>
  <c r="BD254" i="3" s="1"/>
  <c r="BD255" i="3" s="1"/>
  <c r="AD256" i="3" s="1"/>
  <c r="AD258" i="3" s="1"/>
  <c r="AD260" i="3" s="1"/>
  <c r="AD261" i="3" s="1"/>
  <c r="AD263" i="3" s="1"/>
  <c r="P237" i="3" s="1"/>
  <c r="AQ238" i="3"/>
  <c r="BJ232" i="3" s="1"/>
  <c r="BJ233" i="3" s="1"/>
  <c r="BJ234" i="3" s="1"/>
  <c r="BJ235" i="3" s="1"/>
  <c r="BJ236" i="3" s="1"/>
  <c r="BJ237" i="3" s="1"/>
  <c r="BJ238" i="3" s="1"/>
  <c r="AQ239" i="3" s="1"/>
  <c r="BD232" i="3"/>
  <c r="BD233" i="3" s="1"/>
  <c r="AD292" i="3"/>
  <c r="AD294" i="3" s="1"/>
  <c r="AD295" i="3" s="1"/>
  <c r="AD297" i="3" s="1"/>
  <c r="P217" i="3" s="1"/>
  <c r="AQ258" i="3"/>
  <c r="AQ260" i="3" s="1"/>
  <c r="AQ261" i="3" s="1"/>
  <c r="C273" i="3"/>
  <c r="D118" i="3"/>
  <c r="D142" i="3" s="1"/>
  <c r="G90" i="3"/>
  <c r="C170" i="3"/>
  <c r="AQ263" i="3" l="1"/>
  <c r="C232" i="3" s="1"/>
  <c r="BD234" i="3"/>
  <c r="BD235" i="3" s="1"/>
  <c r="BD236" i="3" s="1"/>
  <c r="BD237" i="3" s="1"/>
  <c r="BD238" i="3" s="1"/>
  <c r="AQ241" i="3"/>
  <c r="AQ243" i="3" s="1"/>
  <c r="AQ244" i="3" s="1"/>
  <c r="D112" i="3"/>
  <c r="AQ246" i="3" l="1"/>
  <c r="C242" i="3" s="1"/>
  <c r="AD239" i="3"/>
  <c r="AD241" i="3" s="1"/>
  <c r="D138" i="3"/>
  <c r="H146" i="3" s="1"/>
  <c r="S160" i="3" s="1"/>
  <c r="AD243" i="3" l="1"/>
  <c r="AD272" i="3"/>
  <c r="BD266" i="3" l="1"/>
  <c r="BD267" i="3" s="1"/>
  <c r="BD268" i="3" s="1"/>
  <c r="BD269" i="3" s="1"/>
  <c r="BD270" i="3" s="1"/>
  <c r="BD271" i="3" s="1"/>
  <c r="BD272" i="3" s="1"/>
  <c r="AD244" i="3"/>
  <c r="AD246" i="3" s="1"/>
  <c r="P247" i="3" s="1"/>
  <c r="AD273" i="3" l="1"/>
  <c r="AD275" i="3" s="1"/>
  <c r="AD277" i="3" s="1"/>
  <c r="AD278" i="3" s="1"/>
  <c r="AD280" i="3" s="1"/>
  <c r="P227" i="3" s="1"/>
</calcChain>
</file>

<file path=xl/sharedStrings.xml><?xml version="1.0" encoding="utf-8"?>
<sst xmlns="http://schemas.openxmlformats.org/spreadsheetml/2006/main" count="409" uniqueCount="190">
  <si>
    <t>DISEÑO DE MUROS DE SÓTANOS - ELEMENTO VIGA- MONONOBE OKABE</t>
  </si>
  <si>
    <t>1. DATOS :</t>
  </si>
  <si>
    <t>"ESQUEMA DE EMPUJES SIN SISMO"</t>
  </si>
  <si>
    <t xml:space="preserve"> </t>
  </si>
  <si>
    <t>em</t>
  </si>
  <si>
    <t>+</t>
  </si>
  <si>
    <t>=</t>
  </si>
  <si>
    <t>Presión estática del terreno más su efecto dinámico (PAE)</t>
  </si>
  <si>
    <t>"ESQUEMA DE EMPUJES CON SISMO"</t>
  </si>
  <si>
    <t>i =</t>
  </si>
  <si>
    <t>Kh =</t>
  </si>
  <si>
    <t>Kv =</t>
  </si>
  <si>
    <t>KAE =</t>
  </si>
  <si>
    <t>EMPUJE DE SUELO</t>
  </si>
  <si>
    <t>SOBRECARGA</t>
  </si>
  <si>
    <t>SISMO-MONONOBE OKABE</t>
  </si>
  <si>
    <t>DEFORMADA</t>
  </si>
  <si>
    <t>(Se puede Uniformizar el acero vertical para ambas caras)</t>
  </si>
  <si>
    <t>EXTERIOR</t>
  </si>
  <si>
    <t>f'c =</t>
  </si>
  <si>
    <t>f'y =</t>
  </si>
  <si>
    <t>S/C =</t>
  </si>
  <si>
    <t>γs =</t>
  </si>
  <si>
    <t>Ka =</t>
  </si>
  <si>
    <t>H =</t>
  </si>
  <si>
    <t>Factor Z =</t>
  </si>
  <si>
    <t>Ángulo de fricción del terreno</t>
  </si>
  <si>
    <t>Ángulo de fricción entre terreno y muro</t>
  </si>
  <si>
    <t>Pendiente del relleno</t>
  </si>
  <si>
    <t>Pendiente de pantalla con la vertical</t>
  </si>
  <si>
    <t>φ =</t>
  </si>
  <si>
    <t>δ =</t>
  </si>
  <si>
    <t>Coeficientes de Aceleración Horizontal</t>
  </si>
  <si>
    <t>Factor de zona (NTE E-0.30)</t>
  </si>
  <si>
    <t>Coeficientes de Aceleración Vertical</t>
  </si>
  <si>
    <t>β =</t>
  </si>
  <si>
    <t>θ =</t>
  </si>
  <si>
    <t>KPE =</t>
  </si>
  <si>
    <t>Kp =</t>
  </si>
  <si>
    <t>2. PRESIÓN ACTIVA Y PASIVA:</t>
  </si>
  <si>
    <t>3. PARTICIPACIÓN DE SISMO - MONONOBE OKABE:</t>
  </si>
  <si>
    <t>EAE =</t>
  </si>
  <si>
    <t>EPE =</t>
  </si>
  <si>
    <t>EA =</t>
  </si>
  <si>
    <t>EP =</t>
  </si>
  <si>
    <t>Coeficiente de Presión Activa de Rankine</t>
  </si>
  <si>
    <t>Coeficiente de Presión Pasiva de Rankine</t>
  </si>
  <si>
    <t>ERA =</t>
  </si>
  <si>
    <t>ERP =</t>
  </si>
  <si>
    <t xml:space="preserve"> N° Pisos =</t>
  </si>
  <si>
    <t>N° Sótanos =</t>
  </si>
  <si>
    <t>Pa =</t>
  </si>
  <si>
    <t>Pp =</t>
  </si>
  <si>
    <t>P s/c =</t>
  </si>
  <si>
    <t>Presión Pasiva del Terreno</t>
  </si>
  <si>
    <t>Presión Activa del Terreno</t>
  </si>
  <si>
    <t>Numero de pisos de vivienda contigua</t>
  </si>
  <si>
    <t>Presión Activa por Sobrecarga</t>
  </si>
  <si>
    <t>h =</t>
  </si>
  <si>
    <t>Altura total del relleno que contiene el empuje desde la base del cimiento</t>
  </si>
  <si>
    <t>Peso específico del terreno</t>
  </si>
  <si>
    <t>Altura total del relleno que empuja desde la base del cimiento</t>
  </si>
  <si>
    <t>MOMENTOS (ton-m)</t>
  </si>
  <si>
    <t>CORTANTES (ton)</t>
  </si>
  <si>
    <t xml:space="preserve">Numero de sotanos </t>
  </si>
  <si>
    <t>4. PRESIÓN SÍSMICO ACTIVO Y PASIVO:</t>
  </si>
  <si>
    <t>Presión Sísmico Activo</t>
  </si>
  <si>
    <t>5. PRESIÓN ESTÁTICO ACTIVO Y PASIVO:</t>
  </si>
  <si>
    <t>6. PRESIÓN RESULTANTE ACTIVO Y PASIVO:</t>
  </si>
  <si>
    <t>Presión Sísmico Pasivo</t>
  </si>
  <si>
    <t>Presión Estática Activo</t>
  </si>
  <si>
    <t>Presión Estática Pasivo</t>
  </si>
  <si>
    <t>Presión Resultante Activo</t>
  </si>
  <si>
    <t>Presión Resultante Pasivo</t>
  </si>
  <si>
    <t>Coeficiente θ de Aceleración sísmica</t>
  </si>
  <si>
    <t>H</t>
  </si>
  <si>
    <t>h</t>
  </si>
  <si>
    <t>zapata</t>
  </si>
  <si>
    <t>npt</t>
  </si>
  <si>
    <t>relleno / terreno natural</t>
  </si>
  <si>
    <t>S/C</t>
  </si>
  <si>
    <t>Coeficiente Activo de Empuje Sísmico</t>
  </si>
  <si>
    <t>Coeficiente Pasivo de Empuje Sísmico</t>
  </si>
  <si>
    <t>7. RESUMEN DE ESTADOS DE CARGAS:</t>
  </si>
  <si>
    <t>8. DISEÑO EN ETABS :</t>
  </si>
  <si>
    <t>10.VERIFICACIÓN POR CORTANTE:</t>
  </si>
  <si>
    <t>PARA 1 M DE ANCHO MUROS DE SÓTANO</t>
  </si>
  <si>
    <t>ø =</t>
  </si>
  <si>
    <t>Lm =</t>
  </si>
  <si>
    <t>ρvmin =</t>
  </si>
  <si>
    <t>rexte =</t>
  </si>
  <si>
    <t>rinterior =</t>
  </si>
  <si>
    <t>dexte =</t>
  </si>
  <si>
    <t>dint =</t>
  </si>
  <si>
    <t>DATOS:</t>
  </si>
  <si>
    <t>coeficiente por flexion</t>
  </si>
  <si>
    <t>ancho del muro 1m</t>
  </si>
  <si>
    <t>cuantia minima vertical</t>
  </si>
  <si>
    <t>recubrimiento exterior</t>
  </si>
  <si>
    <t>recubrimiento interior</t>
  </si>
  <si>
    <t>ρhmin =</t>
  </si>
  <si>
    <t>cuantia minima horizontal</t>
  </si>
  <si>
    <t>Asv min =</t>
  </si>
  <si>
    <t>Ash min =</t>
  </si>
  <si>
    <t>area acero minimo vertical</t>
  </si>
  <si>
    <t>area acero minimo horizontal</t>
  </si>
  <si>
    <t>"d" exterior</t>
  </si>
  <si>
    <t>"d" interior</t>
  </si>
  <si>
    <t>H1 =</t>
  </si>
  <si>
    <t>Altura primer sotano</t>
  </si>
  <si>
    <t>H2 =</t>
  </si>
  <si>
    <t>H3 =</t>
  </si>
  <si>
    <t>H4 =</t>
  </si>
  <si>
    <t>Altura segundo sotano</t>
  </si>
  <si>
    <t>Altura tercer sotano</t>
  </si>
  <si>
    <t>Altura cuarto sotano</t>
  </si>
  <si>
    <t>H1</t>
  </si>
  <si>
    <t>H2</t>
  </si>
  <si>
    <t>H3</t>
  </si>
  <si>
    <t>H4</t>
  </si>
  <si>
    <t>PRIMER SOTANO</t>
  </si>
  <si>
    <t>Mu =</t>
  </si>
  <si>
    <t>As =</t>
  </si>
  <si>
    <t>a =</t>
  </si>
  <si>
    <t>cm2</t>
  </si>
  <si>
    <t>cm</t>
  </si>
  <si>
    <t>Interior</t>
  </si>
  <si>
    <t>iteracion interior</t>
  </si>
  <si>
    <t>Exterior</t>
  </si>
  <si>
    <t>iteracion exterior</t>
  </si>
  <si>
    <t>dato etabs</t>
  </si>
  <si>
    <t>TABLA 1</t>
  </si>
  <si>
    <t>ACERO DISPONIBLES EN cm2</t>
  </si>
  <si>
    <t>N°</t>
  </si>
  <si>
    <t>DIAMETRO</t>
  </si>
  <si>
    <t>AREA</t>
  </si>
  <si>
    <r>
      <rPr>
        <sz val="10"/>
        <color indexed="8"/>
        <rFont val="Calibri"/>
        <family val="2"/>
      </rPr>
      <t xml:space="preserve">φ </t>
    </r>
    <r>
      <rPr>
        <sz val="11"/>
        <color indexed="8"/>
        <rFont val="Calibri"/>
        <family val="2"/>
      </rPr>
      <t>(pulg)</t>
    </r>
  </si>
  <si>
    <t xml:space="preserve"> Ø 3/8"</t>
  </si>
  <si>
    <t xml:space="preserve"> Ø 1/2"</t>
  </si>
  <si>
    <t xml:space="preserve"> Ø 5/8"</t>
  </si>
  <si>
    <t xml:space="preserve"> Ø 3/4"</t>
  </si>
  <si>
    <t xml:space="preserve"> Ø 7/8"</t>
  </si>
  <si>
    <t xml:space="preserve"> Ø 1"</t>
  </si>
  <si>
    <t xml:space="preserve"> Ø 1 1/8"</t>
  </si>
  <si>
    <t xml:space="preserve"> Ø 1 1/4"</t>
  </si>
  <si>
    <t xml:space="preserve"> Ø 1 3/8"</t>
  </si>
  <si>
    <t>Usar: As =</t>
  </si>
  <si>
    <t>CALCULO ACERO VERTICAL</t>
  </si>
  <si>
    <t>usar: As =</t>
  </si>
  <si>
    <t xml:space="preserve">Usar acero: </t>
  </si>
  <si>
    <t>n =</t>
  </si>
  <si>
    <t>s =</t>
  </si>
  <si>
    <t xml:space="preserve">USAR: </t>
  </si>
  <si>
    <t>a = d/5</t>
  </si>
  <si>
    <t>SEGUNDO SOTANO</t>
  </si>
  <si>
    <t>TERCER SOTANO</t>
  </si>
  <si>
    <t>INTERIOR</t>
  </si>
  <si>
    <t>CUARTO SOTANO</t>
  </si>
  <si>
    <t>coeficiente por cortante</t>
  </si>
  <si>
    <t>TABLA 2</t>
  </si>
  <si>
    <t>Coeficientes  φ  para Diseño</t>
  </si>
  <si>
    <t>Factores φ</t>
  </si>
  <si>
    <t>NTE E.060</t>
  </si>
  <si>
    <t>ACI 318S-08</t>
  </si>
  <si>
    <t>Flexión</t>
  </si>
  <si>
    <t>Compresión</t>
  </si>
  <si>
    <t>Cortante</t>
  </si>
  <si>
    <t>Columnas estribadas</t>
  </si>
  <si>
    <t>Columnas zunchadas</t>
  </si>
  <si>
    <t>CALCULO DE CORTANTE</t>
  </si>
  <si>
    <t>Vc =</t>
  </si>
  <si>
    <t>øVc =</t>
  </si>
  <si>
    <t>em1 =</t>
  </si>
  <si>
    <t>em2 =</t>
  </si>
  <si>
    <t>em3 =</t>
  </si>
  <si>
    <t>em4 =</t>
  </si>
  <si>
    <t>Espesor del muro del segundo sotano</t>
  </si>
  <si>
    <t>Espesor del muro del tercer sotano</t>
  </si>
  <si>
    <t>Espesor del muro del cuarto sotano</t>
  </si>
  <si>
    <t>Espesor del muro del primer sotano</t>
  </si>
  <si>
    <t>espesor del muro del primer sotano</t>
  </si>
  <si>
    <t>espesor del muro del segundo sotano</t>
  </si>
  <si>
    <t>espesor del muro del tercer sotano</t>
  </si>
  <si>
    <t>espesor del muro del cuarto sotano</t>
  </si>
  <si>
    <t>resistencia del concreto</t>
  </si>
  <si>
    <t>limite de fluencia del acero</t>
  </si>
  <si>
    <t>hz</t>
  </si>
  <si>
    <t>techo</t>
  </si>
  <si>
    <t>sobrecarga</t>
  </si>
  <si>
    <t>9. DISEÑO EN ETABS (MOMENTOS):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</si>
</sst>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General\ &quot;kg/cm²&quot;"/>
    <numFmt numFmtId="165" formatCode="General\ &quot;m&quot;"/>
    <numFmt numFmtId="166" formatCode="General&quot;°&quot;"/>
    <numFmt numFmtId="167" formatCode="0.000"/>
    <numFmt numFmtId="168" formatCode="General\ &quot;T/m³&quot;"/>
    <numFmt numFmtId="169" formatCode="General\ &quot;cm²&quot;"/>
    <numFmt numFmtId="170" formatCode="General\ &quot;cm&quot;"/>
    <numFmt numFmtId="171" formatCode="0.000\ &quot;T/m²&quot;"/>
    <numFmt numFmtId="172" formatCode="0.00\ &quot;T/m²&quot;"/>
    <numFmt numFmtId="173" formatCode="0.00&quot;T-m&quot;"/>
    <numFmt numFmtId="174" formatCode="0.000\ &quot;T-m&quot;"/>
    <numFmt numFmtId="175" formatCode="&quot;Ratio=&quot;\ 0.00"/>
    <numFmt numFmtId="176" formatCode="0.00\ &quot;T&quot;"/>
    <numFmt numFmtId="177" formatCode="General\ &quot;T/m2&quot;"/>
    <numFmt numFmtId="178" formatCode="General\ "/>
    <numFmt numFmtId="179" formatCode="&quot;øVc=&quot;\ 0.00\ &quot;T&quot;"/>
  </numFmts>
  <fonts count="19" x14ac:knownFonts="1">
    <font>
      <sz val="11"/>
      <color theme="1"/>
      <name val="Calibri"/>
      <family val="2"/>
      <scheme val="minor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Calibri"/>
      <family val="2"/>
    </font>
    <font>
      <b/>
      <i/>
      <u/>
      <sz val="9"/>
      <color theme="1"/>
      <name val="Times New Roman"/>
      <family val="1"/>
    </font>
    <font>
      <u/>
      <sz val="9"/>
      <color theme="1"/>
      <name val="Times New Roman"/>
      <family val="1"/>
    </font>
    <font>
      <sz val="9"/>
      <name val="Times New Roman"/>
      <family val="1"/>
    </font>
    <font>
      <b/>
      <u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0"/>
      <color rgb="FF0070C0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Calibri"/>
      <family val="2"/>
      <scheme val="minor"/>
    </font>
    <font>
      <b/>
      <i/>
      <u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172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167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7" fontId="2" fillId="0" borderId="0" xfId="0" applyNumberFormat="1" applyFont="1"/>
    <xf numFmtId="0" fontId="3" fillId="0" borderId="0" xfId="0" applyFont="1"/>
    <xf numFmtId="171" fontId="2" fillId="0" borderId="0" xfId="0" applyNumberFormat="1" applyFont="1"/>
    <xf numFmtId="0" fontId="2" fillId="0" borderId="0" xfId="0" applyFont="1" applyAlignment="1">
      <alignment horizontal="right" vertical="center"/>
    </xf>
    <xf numFmtId="0" fontId="7" fillId="0" borderId="0" xfId="0" applyFont="1"/>
    <xf numFmtId="17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0" xfId="0" applyFont="1" applyFill="1"/>
    <xf numFmtId="0" fontId="7" fillId="3" borderId="0" xfId="0" applyFont="1" applyFill="1"/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/>
    </xf>
    <xf numFmtId="0" fontId="4" fillId="0" borderId="0" xfId="0" applyFont="1"/>
    <xf numFmtId="2" fontId="8" fillId="3" borderId="0" xfId="0" quotePrefix="1" applyNumberFormat="1" applyFont="1" applyFill="1" applyAlignment="1">
      <alignment horizontal="right"/>
    </xf>
    <xf numFmtId="174" fontId="2" fillId="0" borderId="0" xfId="0" applyNumberFormat="1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167" fontId="10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49" fontId="10" fillId="3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0" fillId="3" borderId="2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175" fontId="2" fillId="0" borderId="0" xfId="0" applyNumberFormat="1" applyFont="1"/>
    <xf numFmtId="0" fontId="2" fillId="0" borderId="6" xfId="0" applyFont="1" applyBorder="1"/>
    <xf numFmtId="0" fontId="2" fillId="0" borderId="7" xfId="0" applyFont="1" applyBorder="1"/>
    <xf numFmtId="0" fontId="2" fillId="3" borderId="9" xfId="0" applyFont="1" applyFill="1" applyBorder="1"/>
    <xf numFmtId="0" fontId="4" fillId="0" borderId="9" xfId="0" applyFont="1" applyBorder="1"/>
    <xf numFmtId="175" fontId="2" fillId="0" borderId="9" xfId="0" applyNumberFormat="1" applyFont="1" applyBorder="1"/>
    <xf numFmtId="0" fontId="3" fillId="0" borderId="0" xfId="0" applyFont="1" applyAlignment="1">
      <alignment vertical="center"/>
    </xf>
    <xf numFmtId="176" fontId="2" fillId="3" borderId="0" xfId="0" applyNumberFormat="1" applyFont="1" applyFill="1"/>
    <xf numFmtId="0" fontId="3" fillId="3" borderId="0" xfId="0" applyFont="1" applyFill="1" applyAlignment="1">
      <alignment vertical="center"/>
    </xf>
    <xf numFmtId="0" fontId="9" fillId="0" borderId="0" xfId="0" applyFont="1"/>
    <xf numFmtId="0" fontId="16" fillId="0" borderId="0" xfId="0" applyFont="1"/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78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174" fontId="2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177" fontId="2" fillId="2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/>
    <xf numFmtId="16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 vertical="center" textRotation="90"/>
    </xf>
    <xf numFmtId="0" fontId="2" fillId="3" borderId="0" xfId="0" applyFont="1" applyFill="1" applyAlignment="1">
      <alignment horizontal="right"/>
    </xf>
    <xf numFmtId="167" fontId="2" fillId="3" borderId="0" xfId="0" applyNumberFormat="1" applyFont="1" applyFill="1" applyAlignment="1">
      <alignment horizontal="center"/>
    </xf>
    <xf numFmtId="0" fontId="7" fillId="3" borderId="0" xfId="0" applyFont="1" applyFill="1"/>
    <xf numFmtId="2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3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9" fontId="2" fillId="0" borderId="0" xfId="0" applyNumberFormat="1" applyFont="1" applyAlignment="1">
      <alignment horizontal="center"/>
    </xf>
    <xf numFmtId="176" fontId="2" fillId="2" borderId="0" xfId="0" applyNumberFormat="1" applyFont="1" applyFill="1" applyAlignment="1">
      <alignment horizontal="center"/>
    </xf>
    <xf numFmtId="174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4" borderId="0" xfId="0" applyFont="1" applyFill="1"/>
    <xf numFmtId="0" fontId="17" fillId="3" borderId="0" xfId="0" applyFont="1" applyFill="1" applyAlignment="1">
      <alignment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36738</xdr:colOff>
      <xdr:row>52</xdr:row>
      <xdr:rowOff>27213</xdr:rowOff>
    </xdr:from>
    <xdr:to>
      <xdr:col>6</xdr:col>
      <xdr:colOff>87922</xdr:colOff>
      <xdr:row>61</xdr:row>
      <xdr:rowOff>340</xdr:rowOff>
    </xdr:to>
    <xdr:sp macro="" textlink="">
      <xdr:nvSpPr>
        <xdr:cNvPr id="2" name="Triángulo rectángulo 1">
          <a:extLst>
            <a:ext uri="{FF2B5EF4-FFF2-40B4-BE49-F238E27FC236}">
              <a16:creationId xmlns:a16="http://schemas.microsoft.com/office/drawing/2014/main" id="{73F630B3-CF3D-4831-B0A2-AAD484955E32}"/>
            </a:ext>
          </a:extLst>
        </xdr:cNvPr>
        <xdr:cNvSpPr/>
      </xdr:nvSpPr>
      <xdr:spPr>
        <a:xfrm>
          <a:off x="1065438" y="7104288"/>
          <a:ext cx="822709" cy="1354252"/>
        </a:xfrm>
        <a:prstGeom prst="rtTriangl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32659</xdr:colOff>
      <xdr:row>60</xdr:row>
      <xdr:rowOff>15417</xdr:rowOff>
    </xdr:from>
    <xdr:to>
      <xdr:col>6</xdr:col>
      <xdr:colOff>0</xdr:colOff>
      <xdr:row>60</xdr:row>
      <xdr:rowOff>23812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7188860-EB35-44F8-B86F-A87E135E0A57}"/>
            </a:ext>
          </a:extLst>
        </xdr:cNvPr>
        <xdr:cNvCxnSpPr/>
      </xdr:nvCxnSpPr>
      <xdr:spPr>
        <a:xfrm flipH="1" flipV="1">
          <a:off x="1061359" y="8321217"/>
          <a:ext cx="738866" cy="839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27377</xdr:colOff>
      <xdr:row>59</xdr:row>
      <xdr:rowOff>20411</xdr:rowOff>
    </xdr:from>
    <xdr:to>
      <xdr:col>5</xdr:col>
      <xdr:colOff>132670</xdr:colOff>
      <xdr:row>59</xdr:row>
      <xdr:rowOff>22254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3B607F18-F539-4526-BCB1-13BF4F296A8D}"/>
            </a:ext>
          </a:extLst>
        </xdr:cNvPr>
        <xdr:cNvCxnSpPr/>
      </xdr:nvCxnSpPr>
      <xdr:spPr>
        <a:xfrm flipH="1">
          <a:off x="1056077" y="8173811"/>
          <a:ext cx="648218" cy="184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24923</xdr:colOff>
      <xdr:row>58</xdr:row>
      <xdr:rowOff>3402</xdr:rowOff>
    </xdr:from>
    <xdr:to>
      <xdr:col>5</xdr:col>
      <xdr:colOff>34018</xdr:colOff>
      <xdr:row>58</xdr:row>
      <xdr:rowOff>17126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32CB1C3-1514-4623-A394-11D28273C51F}"/>
            </a:ext>
          </a:extLst>
        </xdr:cNvPr>
        <xdr:cNvCxnSpPr/>
      </xdr:nvCxnSpPr>
      <xdr:spPr>
        <a:xfrm flipH="1">
          <a:off x="1053623" y="8004402"/>
          <a:ext cx="552020" cy="1372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35226</xdr:colOff>
      <xdr:row>57</xdr:row>
      <xdr:rowOff>14007</xdr:rowOff>
    </xdr:from>
    <xdr:to>
      <xdr:col>4</xdr:col>
      <xdr:colOff>170892</xdr:colOff>
      <xdr:row>57</xdr:row>
      <xdr:rowOff>23678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5F13733-C391-4487-B8AE-A73F56A7A68D}"/>
            </a:ext>
          </a:extLst>
        </xdr:cNvPr>
        <xdr:cNvCxnSpPr/>
      </xdr:nvCxnSpPr>
      <xdr:spPr>
        <a:xfrm flipH="1">
          <a:off x="1063926" y="7862607"/>
          <a:ext cx="449991" cy="9671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28384</xdr:colOff>
      <xdr:row>55</xdr:row>
      <xdr:rowOff>2904</xdr:rowOff>
    </xdr:from>
    <xdr:to>
      <xdr:col>3</xdr:col>
      <xdr:colOff>368803</xdr:colOff>
      <xdr:row>55</xdr:row>
      <xdr:rowOff>5046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02781A9-98EB-484D-A615-24A02DC2A5D9}"/>
            </a:ext>
          </a:extLst>
        </xdr:cNvPr>
        <xdr:cNvCxnSpPr/>
      </xdr:nvCxnSpPr>
      <xdr:spPr>
        <a:xfrm flipH="1">
          <a:off x="1057084" y="7537179"/>
          <a:ext cx="283269" cy="214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24961</xdr:colOff>
      <xdr:row>54</xdr:row>
      <xdr:rowOff>10205</xdr:rowOff>
    </xdr:from>
    <xdr:to>
      <xdr:col>3</xdr:col>
      <xdr:colOff>210911</xdr:colOff>
      <xdr:row>54</xdr:row>
      <xdr:rowOff>13409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CB8865-24DF-48D5-8942-86136EF3FAE9}"/>
            </a:ext>
          </a:extLst>
        </xdr:cNvPr>
        <xdr:cNvCxnSpPr/>
      </xdr:nvCxnSpPr>
      <xdr:spPr>
        <a:xfrm flipH="1">
          <a:off x="1053661" y="7392080"/>
          <a:ext cx="185950" cy="320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11954</xdr:colOff>
      <xdr:row>51</xdr:row>
      <xdr:rowOff>185854</xdr:rowOff>
    </xdr:from>
    <xdr:to>
      <xdr:col>12</xdr:col>
      <xdr:colOff>1286</xdr:colOff>
      <xdr:row>60</xdr:row>
      <xdr:rowOff>181207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867A248-0822-40D0-B20E-BDC6CA4927F9}"/>
            </a:ext>
          </a:extLst>
        </xdr:cNvPr>
        <xdr:cNvSpPr/>
      </xdr:nvSpPr>
      <xdr:spPr>
        <a:xfrm>
          <a:off x="2459879" y="7072429"/>
          <a:ext cx="751332" cy="1386003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9038</xdr:colOff>
      <xdr:row>60</xdr:row>
      <xdr:rowOff>3596</xdr:rowOff>
    </xdr:from>
    <xdr:to>
      <xdr:col>11</xdr:col>
      <xdr:colOff>228112</xdr:colOff>
      <xdr:row>60</xdr:row>
      <xdr:rowOff>9037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63E0A4D-1390-4353-8248-563376A3EA5F}"/>
            </a:ext>
          </a:extLst>
        </xdr:cNvPr>
        <xdr:cNvCxnSpPr/>
      </xdr:nvCxnSpPr>
      <xdr:spPr>
        <a:xfrm flipH="1" flipV="1">
          <a:off x="2456963" y="8309396"/>
          <a:ext cx="752474" cy="5441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10887</xdr:colOff>
      <xdr:row>59</xdr:row>
      <xdr:rowOff>3699</xdr:rowOff>
    </xdr:from>
    <xdr:to>
      <xdr:col>11</xdr:col>
      <xdr:colOff>229961</xdr:colOff>
      <xdr:row>59</xdr:row>
      <xdr:rowOff>9140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74BA8CAA-109B-48EF-B4F6-F9B037906A9F}"/>
            </a:ext>
          </a:extLst>
        </xdr:cNvPr>
        <xdr:cNvCxnSpPr/>
      </xdr:nvCxnSpPr>
      <xdr:spPr>
        <a:xfrm flipH="1" flipV="1">
          <a:off x="2458812" y="8157099"/>
          <a:ext cx="752474" cy="5441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16330</xdr:colOff>
      <xdr:row>57</xdr:row>
      <xdr:rowOff>185162</xdr:rowOff>
    </xdr:from>
    <xdr:to>
      <xdr:col>11</xdr:col>
      <xdr:colOff>225879</xdr:colOff>
      <xdr:row>58</xdr:row>
      <xdr:rowOff>103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9228BAB6-EC6C-433B-8CDD-71C3ED5A6DED}"/>
            </a:ext>
          </a:extLst>
        </xdr:cNvPr>
        <xdr:cNvCxnSpPr/>
      </xdr:nvCxnSpPr>
      <xdr:spPr>
        <a:xfrm flipH="1" flipV="1">
          <a:off x="2464255" y="8005187"/>
          <a:ext cx="742949" cy="0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12857</xdr:colOff>
      <xdr:row>56</xdr:row>
      <xdr:rowOff>178077</xdr:rowOff>
    </xdr:from>
    <xdr:to>
      <xdr:col>11</xdr:col>
      <xdr:colOff>221122</xdr:colOff>
      <xdr:row>56</xdr:row>
      <xdr:rowOff>183518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90AB5A27-0BD3-40E6-BE30-16EA13B3145D}"/>
            </a:ext>
          </a:extLst>
        </xdr:cNvPr>
        <xdr:cNvCxnSpPr/>
      </xdr:nvCxnSpPr>
      <xdr:spPr>
        <a:xfrm flipH="1" flipV="1">
          <a:off x="2460782" y="7845702"/>
          <a:ext cx="741665" cy="5441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5444</xdr:colOff>
      <xdr:row>55</xdr:row>
      <xdr:rowOff>177664</xdr:rowOff>
    </xdr:from>
    <xdr:to>
      <xdr:col>11</xdr:col>
      <xdr:colOff>224518</xdr:colOff>
      <xdr:row>55</xdr:row>
      <xdr:rowOff>183105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F94F186A-3088-4A94-AD78-F631201C1492}"/>
            </a:ext>
          </a:extLst>
        </xdr:cNvPr>
        <xdr:cNvCxnSpPr/>
      </xdr:nvCxnSpPr>
      <xdr:spPr>
        <a:xfrm flipH="1" flipV="1">
          <a:off x="2453369" y="7683364"/>
          <a:ext cx="752474" cy="5441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10887</xdr:colOff>
      <xdr:row>54</xdr:row>
      <xdr:rowOff>170579</xdr:rowOff>
    </xdr:from>
    <xdr:to>
      <xdr:col>11</xdr:col>
      <xdr:colOff>229961</xdr:colOff>
      <xdr:row>54</xdr:row>
      <xdr:rowOff>176020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AD99CFA5-E7CE-442D-8D6C-1F06AD351BFB}"/>
            </a:ext>
          </a:extLst>
        </xdr:cNvPr>
        <xdr:cNvCxnSpPr/>
      </xdr:nvCxnSpPr>
      <xdr:spPr>
        <a:xfrm flipH="1" flipV="1">
          <a:off x="2458812" y="7533404"/>
          <a:ext cx="752474" cy="5441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16330</xdr:colOff>
      <xdr:row>53</xdr:row>
      <xdr:rowOff>165136</xdr:rowOff>
    </xdr:from>
    <xdr:to>
      <xdr:col>11</xdr:col>
      <xdr:colOff>225879</xdr:colOff>
      <xdr:row>53</xdr:row>
      <xdr:rowOff>170577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33DCD2CB-8E58-49B0-9243-83E3365F47CD}"/>
            </a:ext>
          </a:extLst>
        </xdr:cNvPr>
        <xdr:cNvCxnSpPr/>
      </xdr:nvCxnSpPr>
      <xdr:spPr>
        <a:xfrm flipH="1" flipV="1">
          <a:off x="2464255" y="7385086"/>
          <a:ext cx="742949" cy="0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18179</xdr:colOff>
      <xdr:row>52</xdr:row>
      <xdr:rowOff>165239</xdr:rowOff>
    </xdr:from>
    <xdr:to>
      <xdr:col>11</xdr:col>
      <xdr:colOff>226444</xdr:colOff>
      <xdr:row>52</xdr:row>
      <xdr:rowOff>170680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5340298D-AE4F-497E-883C-01C8630A6886}"/>
            </a:ext>
          </a:extLst>
        </xdr:cNvPr>
        <xdr:cNvCxnSpPr/>
      </xdr:nvCxnSpPr>
      <xdr:spPr>
        <a:xfrm flipH="1" flipV="1">
          <a:off x="2466104" y="7232789"/>
          <a:ext cx="741665" cy="0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54429</xdr:colOff>
      <xdr:row>52</xdr:row>
      <xdr:rowOff>796</xdr:rowOff>
    </xdr:from>
    <xdr:to>
      <xdr:col>15</xdr:col>
      <xdr:colOff>234043</xdr:colOff>
      <xdr:row>61</xdr:row>
      <xdr:rowOff>5443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389FE418-3058-4BD8-8A5E-1AB60B820DF6}"/>
            </a:ext>
          </a:extLst>
        </xdr:cNvPr>
        <xdr:cNvSpPr/>
      </xdr:nvSpPr>
      <xdr:spPr>
        <a:xfrm>
          <a:off x="3721554" y="7077871"/>
          <a:ext cx="398689" cy="1385772"/>
        </a:xfrm>
        <a:prstGeom prst="rect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7985</xdr:colOff>
      <xdr:row>52</xdr:row>
      <xdr:rowOff>21770</xdr:rowOff>
    </xdr:from>
    <xdr:to>
      <xdr:col>20</xdr:col>
      <xdr:colOff>27249</xdr:colOff>
      <xdr:row>61</xdr:row>
      <xdr:rowOff>2661</xdr:rowOff>
    </xdr:to>
    <xdr:sp macro="" textlink="">
      <xdr:nvSpPr>
        <xdr:cNvPr id="19" name="Triángulo rectángulo 18">
          <a:extLst>
            <a:ext uri="{FF2B5EF4-FFF2-40B4-BE49-F238E27FC236}">
              <a16:creationId xmlns:a16="http://schemas.microsoft.com/office/drawing/2014/main" id="{D93B4940-8B63-489E-9A42-521C64C2C4E1}"/>
            </a:ext>
          </a:extLst>
        </xdr:cNvPr>
        <xdr:cNvSpPr/>
      </xdr:nvSpPr>
      <xdr:spPr>
        <a:xfrm>
          <a:off x="4132310" y="7098845"/>
          <a:ext cx="857464" cy="1362016"/>
        </a:xfrm>
        <a:prstGeom prst="rtTriangl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14</xdr:col>
      <xdr:colOff>54429</xdr:colOff>
      <xdr:row>60</xdr:row>
      <xdr:rowOff>15339</xdr:rowOff>
    </xdr:from>
    <xdr:to>
      <xdr:col>19</xdr:col>
      <xdr:colOff>117193</xdr:colOff>
      <xdr:row>60</xdr:row>
      <xdr:rowOff>17454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B6ED697A-447F-4C8E-B08A-F509A0C6EBEB}"/>
            </a:ext>
          </a:extLst>
        </xdr:cNvPr>
        <xdr:cNvCxnSpPr/>
      </xdr:nvCxnSpPr>
      <xdr:spPr>
        <a:xfrm flipH="1" flipV="1">
          <a:off x="3721554" y="8321139"/>
          <a:ext cx="1205764" cy="211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58130</xdr:colOff>
      <xdr:row>58</xdr:row>
      <xdr:rowOff>151412</xdr:rowOff>
    </xdr:from>
    <xdr:to>
      <xdr:col>18</xdr:col>
      <xdr:colOff>214648</xdr:colOff>
      <xdr:row>59</xdr:row>
      <xdr:rowOff>2683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ADC80EA8-20BC-43A3-9C8E-457BE84CD1D6}"/>
            </a:ext>
          </a:extLst>
        </xdr:cNvPr>
        <xdr:cNvCxnSpPr/>
      </xdr:nvCxnSpPr>
      <xdr:spPr>
        <a:xfrm flipH="1" flipV="1">
          <a:off x="3723243" y="8176560"/>
          <a:ext cx="1068771" cy="420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54431</xdr:colOff>
      <xdr:row>57</xdr:row>
      <xdr:rowOff>148442</xdr:rowOff>
    </xdr:from>
    <xdr:to>
      <xdr:col>18</xdr:col>
      <xdr:colOff>110007</xdr:colOff>
      <xdr:row>57</xdr:row>
      <xdr:rowOff>150254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9E3D05D0-85B7-465D-AF4D-384B628919CD}"/>
            </a:ext>
          </a:extLst>
        </xdr:cNvPr>
        <xdr:cNvCxnSpPr/>
      </xdr:nvCxnSpPr>
      <xdr:spPr>
        <a:xfrm flipH="1" flipV="1">
          <a:off x="3719544" y="8020653"/>
          <a:ext cx="967829" cy="181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53405</xdr:colOff>
      <xdr:row>55</xdr:row>
      <xdr:rowOff>144605</xdr:rowOff>
    </xdr:from>
    <xdr:to>
      <xdr:col>17</xdr:col>
      <xdr:colOff>144887</xdr:colOff>
      <xdr:row>55</xdr:row>
      <xdr:rowOff>144887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074E1D0E-10CA-4182-89F1-031268ADF703}"/>
            </a:ext>
          </a:extLst>
        </xdr:cNvPr>
        <xdr:cNvCxnSpPr/>
      </xdr:nvCxnSpPr>
      <xdr:spPr>
        <a:xfrm flipH="1" flipV="1">
          <a:off x="3718518" y="7702894"/>
          <a:ext cx="775672" cy="28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57550</xdr:colOff>
      <xdr:row>54</xdr:row>
      <xdr:rowOff>143774</xdr:rowOff>
    </xdr:from>
    <xdr:to>
      <xdr:col>17</xdr:col>
      <xdr:colOff>43132</xdr:colOff>
      <xdr:row>55</xdr:row>
      <xdr:rowOff>948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C925A914-4858-4337-B952-B745654A635C}"/>
            </a:ext>
          </a:extLst>
        </xdr:cNvPr>
        <xdr:cNvCxnSpPr/>
      </xdr:nvCxnSpPr>
      <xdr:spPr>
        <a:xfrm flipH="1">
          <a:off x="3738154" y="7461849"/>
          <a:ext cx="675695" cy="8137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59556</xdr:colOff>
      <xdr:row>54</xdr:row>
      <xdr:rowOff>5135</xdr:rowOff>
    </xdr:from>
    <xdr:to>
      <xdr:col>16</xdr:col>
      <xdr:colOff>179717</xdr:colOff>
      <xdr:row>54</xdr:row>
      <xdr:rowOff>7189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5A9C61DD-B7FE-49C5-A8B4-AC93A077B6E2}"/>
            </a:ext>
          </a:extLst>
        </xdr:cNvPr>
        <xdr:cNvCxnSpPr/>
      </xdr:nvCxnSpPr>
      <xdr:spPr>
        <a:xfrm flipH="1" flipV="1">
          <a:off x="3740160" y="7323210"/>
          <a:ext cx="580236" cy="205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125802</xdr:colOff>
      <xdr:row>146</xdr:row>
      <xdr:rowOff>33674</xdr:rowOff>
    </xdr:from>
    <xdr:to>
      <xdr:col>11</xdr:col>
      <xdr:colOff>27215</xdr:colOff>
      <xdr:row>154</xdr:row>
      <xdr:rowOff>0</xdr:rowOff>
    </xdr:to>
    <xdr:sp macro="" textlink="">
      <xdr:nvSpPr>
        <xdr:cNvPr id="26" name="Triángulo rectángulo 25">
          <a:extLst>
            <a:ext uri="{FF2B5EF4-FFF2-40B4-BE49-F238E27FC236}">
              <a16:creationId xmlns:a16="http://schemas.microsoft.com/office/drawing/2014/main" id="{DC142895-BF29-4881-876D-C7420E07D73D}"/>
            </a:ext>
          </a:extLst>
        </xdr:cNvPr>
        <xdr:cNvSpPr/>
      </xdr:nvSpPr>
      <xdr:spPr>
        <a:xfrm rot="10800000">
          <a:off x="1926027" y="21141074"/>
          <a:ext cx="1082513" cy="1185526"/>
        </a:xfrm>
        <a:prstGeom prst="rtTriangl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222850</xdr:colOff>
      <xdr:row>146</xdr:row>
      <xdr:rowOff>140181</xdr:rowOff>
    </xdr:from>
    <xdr:to>
      <xdr:col>11</xdr:col>
      <xdr:colOff>25160</xdr:colOff>
      <xdr:row>147</xdr:row>
      <xdr:rowOff>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9DEC168C-14ED-4A88-989D-9936C0805E2E}"/>
            </a:ext>
          </a:extLst>
        </xdr:cNvPr>
        <xdr:cNvCxnSpPr/>
      </xdr:nvCxnSpPr>
      <xdr:spPr>
        <a:xfrm>
          <a:off x="2025630" y="21373961"/>
          <a:ext cx="982481" cy="1314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143775</xdr:colOff>
      <xdr:row>147</xdr:row>
      <xdr:rowOff>141232</xdr:rowOff>
    </xdr:from>
    <xdr:to>
      <xdr:col>11</xdr:col>
      <xdr:colOff>28754</xdr:colOff>
      <xdr:row>147</xdr:row>
      <xdr:rowOff>148420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60FF5E98-53E9-4592-9A32-9FF7D8B5114C}"/>
            </a:ext>
          </a:extLst>
        </xdr:cNvPr>
        <xdr:cNvCxnSpPr/>
      </xdr:nvCxnSpPr>
      <xdr:spPr>
        <a:xfrm>
          <a:off x="2174226" y="21528342"/>
          <a:ext cx="837479" cy="7188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61105</xdr:colOff>
      <xdr:row>149</xdr:row>
      <xdr:rowOff>7188</xdr:rowOff>
    </xdr:from>
    <xdr:to>
      <xdr:col>11</xdr:col>
      <xdr:colOff>25160</xdr:colOff>
      <xdr:row>149</xdr:row>
      <xdr:rowOff>7188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FFC041A4-AEF7-4D9F-856A-82F647548070}"/>
            </a:ext>
          </a:extLst>
        </xdr:cNvPr>
        <xdr:cNvCxnSpPr/>
      </xdr:nvCxnSpPr>
      <xdr:spPr>
        <a:xfrm>
          <a:off x="2319227" y="21700956"/>
          <a:ext cx="688884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51794</xdr:colOff>
      <xdr:row>150</xdr:row>
      <xdr:rowOff>37540</xdr:rowOff>
    </xdr:from>
    <xdr:to>
      <xdr:col>11</xdr:col>
      <xdr:colOff>26629</xdr:colOff>
      <xdr:row>150</xdr:row>
      <xdr:rowOff>37540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17713EF4-924E-40C1-862D-C9CE6EE5F3DC}"/>
            </a:ext>
          </a:extLst>
        </xdr:cNvPr>
        <xdr:cNvCxnSpPr/>
      </xdr:nvCxnSpPr>
      <xdr:spPr>
        <a:xfrm>
          <a:off x="2500416" y="21884638"/>
          <a:ext cx="509164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195146</xdr:colOff>
      <xdr:row>151</xdr:row>
      <xdr:rowOff>50842</xdr:rowOff>
    </xdr:from>
    <xdr:to>
      <xdr:col>11</xdr:col>
      <xdr:colOff>21841</xdr:colOff>
      <xdr:row>151</xdr:row>
      <xdr:rowOff>53915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829A605-CCED-412B-88D5-56CB863A860D}"/>
            </a:ext>
          </a:extLst>
        </xdr:cNvPr>
        <xdr:cNvCxnSpPr/>
      </xdr:nvCxnSpPr>
      <xdr:spPr>
        <a:xfrm>
          <a:off x="2643768" y="22051269"/>
          <a:ext cx="361024" cy="307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35918</xdr:colOff>
      <xdr:row>159</xdr:row>
      <xdr:rowOff>22286</xdr:rowOff>
    </xdr:from>
    <xdr:to>
      <xdr:col>6</xdr:col>
      <xdr:colOff>3073</xdr:colOff>
      <xdr:row>168</xdr:row>
      <xdr:rowOff>139591</xdr:rowOff>
    </xdr:to>
    <xdr:sp macro="" textlink="">
      <xdr:nvSpPr>
        <xdr:cNvPr id="32" name="Triángulo rectángulo 31">
          <a:extLst>
            <a:ext uri="{FF2B5EF4-FFF2-40B4-BE49-F238E27FC236}">
              <a16:creationId xmlns:a16="http://schemas.microsoft.com/office/drawing/2014/main" id="{01B9D3AF-8030-4A75-81A1-B8CB4C7E46B2}"/>
            </a:ext>
          </a:extLst>
        </xdr:cNvPr>
        <xdr:cNvSpPr/>
      </xdr:nvSpPr>
      <xdr:spPr>
        <a:xfrm flipH="1">
          <a:off x="588368" y="23110886"/>
          <a:ext cx="1214930" cy="1527005"/>
        </a:xfrm>
        <a:prstGeom prst="rtTriangl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168190</xdr:colOff>
      <xdr:row>167</xdr:row>
      <xdr:rowOff>127009</xdr:rowOff>
    </xdr:from>
    <xdr:to>
      <xdr:col>6</xdr:col>
      <xdr:colOff>6028</xdr:colOff>
      <xdr:row>167</xdr:row>
      <xdr:rowOff>129612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6ECAAFD-F24E-4CB3-B536-E2B79FC87487}"/>
            </a:ext>
          </a:extLst>
        </xdr:cNvPr>
        <xdr:cNvCxnSpPr/>
      </xdr:nvCxnSpPr>
      <xdr:spPr>
        <a:xfrm>
          <a:off x="720640" y="24472909"/>
          <a:ext cx="1085613" cy="260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123594</xdr:colOff>
      <xdr:row>159</xdr:row>
      <xdr:rowOff>45214</xdr:rowOff>
    </xdr:from>
    <xdr:to>
      <xdr:col>12</xdr:col>
      <xdr:colOff>100892</xdr:colOff>
      <xdr:row>168</xdr:row>
      <xdr:rowOff>152632</xdr:rowOff>
    </xdr:to>
    <xdr:sp macro="" textlink="">
      <xdr:nvSpPr>
        <xdr:cNvPr id="34" name="Rectángulo 33">
          <a:extLst>
            <a:ext uri="{FF2B5EF4-FFF2-40B4-BE49-F238E27FC236}">
              <a16:creationId xmlns:a16="http://schemas.microsoft.com/office/drawing/2014/main" id="{52108E7C-ACEE-4D23-9B2C-86D5ACC98861}"/>
            </a:ext>
          </a:extLst>
        </xdr:cNvPr>
        <xdr:cNvSpPr/>
      </xdr:nvSpPr>
      <xdr:spPr>
        <a:xfrm>
          <a:off x="2571519" y="23133814"/>
          <a:ext cx="739298" cy="151711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16</xdr:col>
      <xdr:colOff>125186</xdr:colOff>
      <xdr:row>160</xdr:row>
      <xdr:rowOff>22788</xdr:rowOff>
    </xdr:from>
    <xdr:to>
      <xdr:col>22</xdr:col>
      <xdr:colOff>5442</xdr:colOff>
      <xdr:row>169</xdr:row>
      <xdr:rowOff>10886</xdr:rowOff>
    </xdr:to>
    <xdr:sp macro="" textlink="">
      <xdr:nvSpPr>
        <xdr:cNvPr id="35" name="Triángulo rectángulo 34">
          <a:extLst>
            <a:ext uri="{FF2B5EF4-FFF2-40B4-BE49-F238E27FC236}">
              <a16:creationId xmlns:a16="http://schemas.microsoft.com/office/drawing/2014/main" id="{4208F9BE-FE34-4189-A9E2-FD5C3CE0D200}"/>
            </a:ext>
          </a:extLst>
        </xdr:cNvPr>
        <xdr:cNvSpPr/>
      </xdr:nvSpPr>
      <xdr:spPr>
        <a:xfrm rot="10800000">
          <a:off x="4291338" y="24100331"/>
          <a:ext cx="1487082" cy="1329881"/>
        </a:xfrm>
        <a:prstGeom prst="rtTriangl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17</xdr:col>
      <xdr:colOff>217170</xdr:colOff>
      <xdr:row>162</xdr:row>
      <xdr:rowOff>7336</xdr:rowOff>
    </xdr:from>
    <xdr:to>
      <xdr:col>22</xdr:col>
      <xdr:colOff>8105</xdr:colOff>
      <xdr:row>162</xdr:row>
      <xdr:rowOff>7620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DA415D2B-C751-4627-95CE-F23708BE7866}"/>
            </a:ext>
          </a:extLst>
        </xdr:cNvPr>
        <xdr:cNvCxnSpPr/>
      </xdr:nvCxnSpPr>
      <xdr:spPr>
        <a:xfrm flipV="1">
          <a:off x="4572000" y="24890446"/>
          <a:ext cx="1162535" cy="28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194310</xdr:colOff>
      <xdr:row>163</xdr:row>
      <xdr:rowOff>57150</xdr:rowOff>
    </xdr:from>
    <xdr:to>
      <xdr:col>22</xdr:col>
      <xdr:colOff>17516</xdr:colOff>
      <xdr:row>163</xdr:row>
      <xdr:rowOff>63384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F8E116B5-52EE-4C17-978B-C572A94AFF7A}"/>
            </a:ext>
          </a:extLst>
        </xdr:cNvPr>
        <xdr:cNvCxnSpPr/>
      </xdr:nvCxnSpPr>
      <xdr:spPr>
        <a:xfrm>
          <a:off x="4777740" y="25092660"/>
          <a:ext cx="966206" cy="623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27214</xdr:colOff>
      <xdr:row>164</xdr:row>
      <xdr:rowOff>93037</xdr:rowOff>
    </xdr:from>
    <xdr:to>
      <xdr:col>22</xdr:col>
      <xdr:colOff>12370</xdr:colOff>
      <xdr:row>164</xdr:row>
      <xdr:rowOff>102241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8E4175EE-4753-41D0-AC8C-5BA97A6018D4}"/>
            </a:ext>
          </a:extLst>
        </xdr:cNvPr>
        <xdr:cNvCxnSpPr>
          <a:stCxn id="35" idx="5"/>
        </xdr:cNvCxnSpPr>
      </xdr:nvCxnSpPr>
      <xdr:spPr>
        <a:xfrm>
          <a:off x="4991644" y="25280947"/>
          <a:ext cx="747156" cy="9204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165</xdr:row>
      <xdr:rowOff>144780</xdr:rowOff>
    </xdr:from>
    <xdr:to>
      <xdr:col>22</xdr:col>
      <xdr:colOff>7422</xdr:colOff>
      <xdr:row>166</xdr:row>
      <xdr:rowOff>1279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442A3FCB-EE28-4DE0-B2E7-93859DCC8106}"/>
            </a:ext>
          </a:extLst>
        </xdr:cNvPr>
        <xdr:cNvCxnSpPr/>
      </xdr:nvCxnSpPr>
      <xdr:spPr>
        <a:xfrm>
          <a:off x="5231130" y="25485090"/>
          <a:ext cx="502722" cy="889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255270</xdr:colOff>
      <xdr:row>167</xdr:row>
      <xdr:rowOff>41910</xdr:rowOff>
    </xdr:from>
    <xdr:to>
      <xdr:col>22</xdr:col>
      <xdr:colOff>14673</xdr:colOff>
      <xdr:row>167</xdr:row>
      <xdr:rowOff>44027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98A5C969-DCFD-4F4F-95DA-A76836F3B484}"/>
            </a:ext>
          </a:extLst>
        </xdr:cNvPr>
        <xdr:cNvCxnSpPr/>
      </xdr:nvCxnSpPr>
      <xdr:spPr>
        <a:xfrm>
          <a:off x="5448300" y="25687020"/>
          <a:ext cx="292803" cy="2117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119842</xdr:colOff>
      <xdr:row>167</xdr:row>
      <xdr:rowOff>132628</xdr:rowOff>
    </xdr:from>
    <xdr:to>
      <xdr:col>12</xdr:col>
      <xdr:colOff>96456</xdr:colOff>
      <xdr:row>167</xdr:row>
      <xdr:rowOff>137772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FDCD6CB7-949C-4F61-A4B6-C526D68820FF}"/>
            </a:ext>
          </a:extLst>
        </xdr:cNvPr>
        <xdr:cNvCxnSpPr/>
      </xdr:nvCxnSpPr>
      <xdr:spPr>
        <a:xfrm flipV="1">
          <a:off x="2567767" y="24478528"/>
          <a:ext cx="738614" cy="5144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314183</xdr:colOff>
      <xdr:row>166</xdr:row>
      <xdr:rowOff>101494</xdr:rowOff>
    </xdr:from>
    <xdr:to>
      <xdr:col>6</xdr:col>
      <xdr:colOff>0</xdr:colOff>
      <xdr:row>166</xdr:row>
      <xdr:rowOff>102484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E548637B-498E-4F19-A789-B6053BD93986}"/>
            </a:ext>
          </a:extLst>
        </xdr:cNvPr>
        <xdr:cNvCxnSpPr/>
      </xdr:nvCxnSpPr>
      <xdr:spPr>
        <a:xfrm>
          <a:off x="866633" y="24294994"/>
          <a:ext cx="933592" cy="99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443853</xdr:colOff>
      <xdr:row>165</xdr:row>
      <xdr:rowOff>72840</xdr:rowOff>
    </xdr:from>
    <xdr:to>
      <xdr:col>6</xdr:col>
      <xdr:colOff>6583</xdr:colOff>
      <xdr:row>165</xdr:row>
      <xdr:rowOff>75526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9FD6E745-7CD6-41ED-9742-6C2BE079DD4F}"/>
            </a:ext>
          </a:extLst>
        </xdr:cNvPr>
        <xdr:cNvCxnSpPr/>
      </xdr:nvCxnSpPr>
      <xdr:spPr>
        <a:xfrm flipV="1">
          <a:off x="996303" y="24113940"/>
          <a:ext cx="810505" cy="268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130126</xdr:colOff>
      <xdr:row>164</xdr:row>
      <xdr:rowOff>36992</xdr:rowOff>
    </xdr:from>
    <xdr:to>
      <xdr:col>6</xdr:col>
      <xdr:colOff>9042</xdr:colOff>
      <xdr:row>164</xdr:row>
      <xdr:rowOff>39185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940D26C2-06EC-42D0-B056-8E5BE2D78188}"/>
            </a:ext>
          </a:extLst>
        </xdr:cNvPr>
        <xdr:cNvCxnSpPr/>
      </xdr:nvCxnSpPr>
      <xdr:spPr>
        <a:xfrm>
          <a:off x="1158826" y="23925692"/>
          <a:ext cx="650441" cy="2193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291185</xdr:colOff>
      <xdr:row>162</xdr:row>
      <xdr:rowOff>135640</xdr:rowOff>
    </xdr:from>
    <xdr:to>
      <xdr:col>6</xdr:col>
      <xdr:colOff>0</xdr:colOff>
      <xdr:row>162</xdr:row>
      <xdr:rowOff>138937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F3ABE84A-ECFE-471F-B097-852DDCC0BA05}"/>
            </a:ext>
          </a:extLst>
        </xdr:cNvPr>
        <xdr:cNvCxnSpPr/>
      </xdr:nvCxnSpPr>
      <xdr:spPr>
        <a:xfrm flipV="1">
          <a:off x="1319885" y="23719540"/>
          <a:ext cx="480340" cy="3297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116347</xdr:colOff>
      <xdr:row>161</xdr:row>
      <xdr:rowOff>117915</xdr:rowOff>
    </xdr:from>
    <xdr:to>
      <xdr:col>6</xdr:col>
      <xdr:colOff>0</xdr:colOff>
      <xdr:row>161</xdr:row>
      <xdr:rowOff>120570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2E2DF89A-5E37-4324-AE93-54674A01E2B2}"/>
            </a:ext>
          </a:extLst>
        </xdr:cNvPr>
        <xdr:cNvCxnSpPr/>
      </xdr:nvCxnSpPr>
      <xdr:spPr>
        <a:xfrm>
          <a:off x="1459372" y="23549415"/>
          <a:ext cx="340853" cy="2655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34516</xdr:colOff>
      <xdr:row>56</xdr:row>
      <xdr:rowOff>11206</xdr:rowOff>
    </xdr:from>
    <xdr:to>
      <xdr:col>4</xdr:col>
      <xdr:colOff>75638</xdr:colOff>
      <xdr:row>56</xdr:row>
      <xdr:rowOff>17265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3D7CD849-CC5D-4436-BAA1-575AE7CF38B1}"/>
            </a:ext>
          </a:extLst>
        </xdr:cNvPr>
        <xdr:cNvCxnSpPr/>
      </xdr:nvCxnSpPr>
      <xdr:spPr>
        <a:xfrm flipH="1">
          <a:off x="1063216" y="7697881"/>
          <a:ext cx="355447" cy="6059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58093</xdr:colOff>
      <xdr:row>53</xdr:row>
      <xdr:rowOff>3669</xdr:rowOff>
    </xdr:from>
    <xdr:to>
      <xdr:col>16</xdr:col>
      <xdr:colOff>89859</xdr:colOff>
      <xdr:row>53</xdr:row>
      <xdr:rowOff>7189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7F7B73F4-5800-4754-A425-BB19A48B54B7}"/>
            </a:ext>
          </a:extLst>
        </xdr:cNvPr>
        <xdr:cNvCxnSpPr/>
      </xdr:nvCxnSpPr>
      <xdr:spPr>
        <a:xfrm flipH="1" flipV="1">
          <a:off x="3738697" y="7170782"/>
          <a:ext cx="491841" cy="35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213518</xdr:colOff>
      <xdr:row>75</xdr:row>
      <xdr:rowOff>23020</xdr:rowOff>
    </xdr:from>
    <xdr:ext cx="376705" cy="258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A7171820-B5CD-4F23-8702-41E3B0092A51}"/>
                </a:ext>
              </a:extLst>
            </xdr:cNvPr>
            <xdr:cNvSpPr txBox="1"/>
          </xdr:nvSpPr>
          <xdr:spPr>
            <a:xfrm>
              <a:off x="765968" y="10614820"/>
              <a:ext cx="376705" cy="258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Kh</m:t>
                    </m:r>
                    <m:r>
                      <a:rPr lang="es-PE" sz="9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900" b="0" i="0">
                            <a:latin typeface="Cambria Math" panose="02040503050406030204" pitchFamily="18" charset="0"/>
                          </a:rPr>
                          <m:t>Z</m:t>
                        </m:r>
                      </m:num>
                      <m:den>
                        <m:r>
                          <a:rPr lang="es-ES" sz="900" b="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PE" sz="900" i="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A7171820-B5CD-4F23-8702-41E3B0092A51}"/>
                </a:ext>
              </a:extLst>
            </xdr:cNvPr>
            <xdr:cNvSpPr txBox="1"/>
          </xdr:nvSpPr>
          <xdr:spPr>
            <a:xfrm>
              <a:off x="765968" y="10614820"/>
              <a:ext cx="376705" cy="258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Kh</a:t>
              </a:r>
              <a:r>
                <a:rPr lang="es-PE" sz="900" i="0">
                  <a:latin typeface="Cambria Math" panose="02040503050406030204" pitchFamily="18" charset="0"/>
                </a:rPr>
                <a:t>=</a:t>
              </a:r>
              <a:r>
                <a:rPr lang="es-ES" sz="900" b="0" i="0">
                  <a:latin typeface="Cambria Math" panose="02040503050406030204" pitchFamily="18" charset="0"/>
                </a:rPr>
                <a:t>Z</a:t>
              </a:r>
              <a:r>
                <a:rPr lang="es-PE" sz="900" b="0" i="0">
                  <a:latin typeface="Cambria Math" panose="02040503050406030204" pitchFamily="18" charset="0"/>
                </a:rPr>
                <a:t>/</a:t>
              </a:r>
              <a:r>
                <a:rPr lang="es-ES" sz="900" b="0" i="0">
                  <a:latin typeface="Cambria Math" panose="02040503050406030204" pitchFamily="18" charset="0"/>
                </a:rPr>
                <a:t>2</a:t>
              </a:r>
              <a:endParaRPr lang="es-PE" sz="900" i="0"/>
            </a:p>
          </xdr:txBody>
        </xdr:sp>
      </mc:Fallback>
    </mc:AlternateContent>
    <xdr:clientData/>
  </xdr:oneCellAnchor>
  <xdr:oneCellAnchor>
    <xdr:from>
      <xdr:col>2</xdr:col>
      <xdr:colOff>199231</xdr:colOff>
      <xdr:row>81</xdr:row>
      <xdr:rowOff>794</xdr:rowOff>
    </xdr:from>
    <xdr:ext cx="591379" cy="260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0F5BF29-BF60-4258-8CDC-CC6BBACD8D95}"/>
                </a:ext>
              </a:extLst>
            </xdr:cNvPr>
            <xdr:cNvSpPr txBox="1"/>
          </xdr:nvSpPr>
          <xdr:spPr>
            <a:xfrm>
              <a:off x="751681" y="11506994"/>
              <a:ext cx="591379" cy="26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Kv</m:t>
                    </m:r>
                    <m:r>
                      <a:rPr lang="es-PE" sz="9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E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900" b="0" i="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ES" sz="900" b="0" i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s-PE" sz="900" i="0">
                        <a:latin typeface="Cambria Math" panose="02040503050406030204" pitchFamily="18" charset="0"/>
                      </a:rPr>
                      <m:t>·</m:t>
                    </m:r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Kh</m:t>
                    </m:r>
                  </m:oMath>
                </m:oMathPara>
              </a14:m>
              <a:endParaRPr lang="es-PE" sz="900" i="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0F5BF29-BF60-4258-8CDC-CC6BBACD8D95}"/>
                </a:ext>
              </a:extLst>
            </xdr:cNvPr>
            <xdr:cNvSpPr txBox="1"/>
          </xdr:nvSpPr>
          <xdr:spPr>
            <a:xfrm>
              <a:off x="751681" y="11506994"/>
              <a:ext cx="591379" cy="260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Kv</a:t>
              </a:r>
              <a:r>
                <a:rPr lang="es-PE" sz="900" i="0">
                  <a:latin typeface="Cambria Math" panose="02040503050406030204" pitchFamily="18" charset="0"/>
                </a:rPr>
                <a:t>=</a:t>
              </a:r>
              <a:r>
                <a:rPr lang="es-ES" sz="900" b="0" i="0">
                  <a:latin typeface="Cambria Math" panose="02040503050406030204" pitchFamily="18" charset="0"/>
                </a:rPr>
                <a:t>2</a:t>
              </a:r>
              <a:r>
                <a:rPr lang="es-PE" sz="900" b="0" i="0">
                  <a:latin typeface="Cambria Math" panose="02040503050406030204" pitchFamily="18" charset="0"/>
                </a:rPr>
                <a:t>/</a:t>
              </a:r>
              <a:r>
                <a:rPr lang="es-ES" sz="900" b="0" i="0">
                  <a:latin typeface="Cambria Math" panose="02040503050406030204" pitchFamily="18" charset="0"/>
                </a:rPr>
                <a:t>3</a:t>
              </a:r>
              <a:r>
                <a:rPr lang="es-PE" sz="900" i="0">
                  <a:latin typeface="Cambria Math" panose="02040503050406030204" pitchFamily="18" charset="0"/>
                </a:rPr>
                <a:t>·</a:t>
              </a:r>
              <a:r>
                <a:rPr lang="es-ES" sz="900" b="0" i="0">
                  <a:latin typeface="Cambria Math" panose="02040503050406030204" pitchFamily="18" charset="0"/>
                </a:rPr>
                <a:t>Kh</a:t>
              </a:r>
              <a:endParaRPr lang="es-PE" sz="900" i="0"/>
            </a:p>
          </xdr:txBody>
        </xdr:sp>
      </mc:Fallback>
    </mc:AlternateContent>
    <xdr:clientData/>
  </xdr:oneCellAnchor>
  <xdr:oneCellAnchor>
    <xdr:from>
      <xdr:col>2</xdr:col>
      <xdr:colOff>280942</xdr:colOff>
      <xdr:row>86</xdr:row>
      <xdr:rowOff>141089</xdr:rowOff>
    </xdr:from>
    <xdr:ext cx="1007134" cy="2627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2525023A-F6C3-4733-A808-EFC5496AEF34}"/>
                </a:ext>
              </a:extLst>
            </xdr:cNvPr>
            <xdr:cNvSpPr txBox="1"/>
          </xdr:nvSpPr>
          <xdr:spPr>
            <a:xfrm>
              <a:off x="835877" y="13144785"/>
              <a:ext cx="1007134" cy="262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θ</m:t>
                    </m:r>
                    <m:r>
                      <a:rPr lang="es-PE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arc</m:t>
                    </m:r>
                    <m: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tan</m:t>
                    </m:r>
                    <m: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f>
                      <m:fPr>
                        <m:ctrlPr>
                          <a:rPr lang="es-PE" sz="9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Kh</m:t>
                        </m:r>
                      </m:num>
                      <m:den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Kv</m:t>
                        </m:r>
                      </m:den>
                    </m:f>
                    <m: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2525023A-F6C3-4733-A808-EFC5496AEF34}"/>
                </a:ext>
              </a:extLst>
            </xdr:cNvPr>
            <xdr:cNvSpPr txBox="1"/>
          </xdr:nvSpPr>
          <xdr:spPr>
            <a:xfrm>
              <a:off x="835877" y="13144785"/>
              <a:ext cx="1007134" cy="262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l-GR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θ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arc tan(Kh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1−Kv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199709</xdr:colOff>
      <xdr:row>92</xdr:row>
      <xdr:rowOff>94001</xdr:rowOff>
    </xdr:from>
    <xdr:ext cx="4050597" cy="485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1142B768-4244-40CB-BC38-74A6F6335C15}"/>
                </a:ext>
              </a:extLst>
            </xdr:cNvPr>
            <xdr:cNvSpPr txBox="1"/>
          </xdr:nvSpPr>
          <xdr:spPr>
            <a:xfrm>
              <a:off x="522731" y="13992218"/>
              <a:ext cx="4050597" cy="485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KAE</m:t>
                    </m:r>
                    <m:r>
                      <a:rPr lang="es-PE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9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9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9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e>
                          <m:sup>
                            <m:r>
                              <a:rPr lang="es-ES" sz="9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s-PE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cosθ</m:t>
                            </m:r>
                            <m:r>
                              <a:rPr lang="es-PE" sz="9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·</m:t>
                            </m:r>
                            <m:r>
                              <m:rPr>
                                <m:sty m:val="p"/>
                              </m:rP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e>
                          <m:sup>
                            <m: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  <m:r>
                          <a:rPr lang="es-PE" sz="9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PE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1+</m:t>
                            </m:r>
                            <m:rad>
                              <m:radPr>
                                <m:degHide m:val="on"/>
                                <m:ctrlPr>
                                  <a:rPr lang="es-ES" sz="9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ctrlPr>
                                      <a:rPr lang="es-ES" sz="9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sen</m:t>
                                    </m:r>
                                    <m:d>
                                      <m:dPr>
                                        <m:ctrlPr>
                                          <a:rPr lang="es-ES" sz="9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φ</m:t>
                                        </m:r>
                                        <m: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l-GR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</m:d>
                                    <m:r>
                                      <a:rPr lang="es-PE" sz="9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·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sen</m:t>
                                    </m:r>
                                    <m:d>
                                      <m:dPr>
                                        <m:ctrlPr>
                                          <a:rPr lang="es-ES" sz="9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φ</m:t>
                                        </m:r>
                                        <m: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  <m: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e>
                                    </m:d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  <m: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l-GR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β</m:t>
                                    </m:r>
                                    <m: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θ</m:t>
                                    </m:r>
                                    <m: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)·</m:t>
                                    </m:r>
                                    <m:func>
                                      <m:funcPr>
                                        <m:ctrlPr>
                                          <a:rPr lang="es-ES" sz="9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cos</m:t>
                                        </m:r>
                                      </m:fName>
                                      <m:e>
                                        <m:d>
                                          <m:dPr>
                                            <m:ctrlPr>
                                              <a:rPr lang="es-ES" sz="9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s-ES" sz="9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i</m:t>
                                            </m:r>
                                            <m:r>
                                              <a:rPr lang="es-ES" sz="9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s-ES" sz="9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β</m:t>
                                            </m:r>
                                          </m:e>
                                        </m:d>
                                      </m:e>
                                    </m:func>
                                  </m:den>
                                </m:f>
                              </m:e>
                            </m:rad>
                          </m:e>
                        </m:d>
                      </m:e>
                      <m:sup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indent="0"/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1142B768-4244-40CB-BC38-74A6F6335C15}"/>
                </a:ext>
              </a:extLst>
            </xdr:cNvPr>
            <xdr:cNvSpPr txBox="1"/>
          </xdr:nvSpPr>
          <xdr:spPr>
            <a:xfrm>
              <a:off x="522731" y="13992218"/>
              <a:ext cx="4050597" cy="485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KAE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 (</a:t>
              </a:r>
              <a:r>
                <a:rPr lang="el-GR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−θ−β)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cosθ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β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cos(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+β+θ)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(1+√((sen(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δ)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sen(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−θ−i))/(cos(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+β+θ)·cos⁡(i−β) )))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indent="0"/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208142</xdr:colOff>
      <xdr:row>99</xdr:row>
      <xdr:rowOff>62274</xdr:rowOff>
    </xdr:from>
    <xdr:ext cx="4050597" cy="485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76775CA2-4DC6-455F-97B2-E5DEF71432CB}"/>
                </a:ext>
              </a:extLst>
            </xdr:cNvPr>
            <xdr:cNvSpPr txBox="1"/>
          </xdr:nvSpPr>
          <xdr:spPr>
            <a:xfrm>
              <a:off x="531992" y="14006874"/>
              <a:ext cx="4050597" cy="485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KPE</m:t>
                    </m:r>
                    <m:r>
                      <a:rPr lang="es-PE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9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PE" sz="9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9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e>
                          <m:sup>
                            <m:r>
                              <a:rPr lang="es-ES" sz="90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φ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es-PE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cosθ</m:t>
                            </m:r>
                            <m:r>
                              <a:rPr lang="es-PE" sz="9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·</m:t>
                            </m:r>
                            <m:r>
                              <m:rPr>
                                <m:sty m:val="p"/>
                              </m:rP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e>
                          <m:sup>
                            <m: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  <m:r>
                          <a:rPr lang="es-PE" sz="9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·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cos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l-GR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β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θ</m:t>
                        </m:r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sSup>
                      <m:sSupPr>
                        <m:ctrlPr>
                          <a:rPr lang="es-PE" sz="9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9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S" sz="9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rad>
                              <m:radPr>
                                <m:degHide m:val="on"/>
                                <m:ctrlPr>
                                  <a:rPr lang="es-ES" sz="9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f>
                                  <m:fPr>
                                    <m:ctrlPr>
                                      <a:rPr lang="es-ES" sz="9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sen</m:t>
                                    </m:r>
                                    <m:d>
                                      <m:dPr>
                                        <m:ctrlPr>
                                          <a:rPr lang="es-ES" sz="9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φ</m:t>
                                        </m:r>
                                        <m: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l-GR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δ</m:t>
                                        </m:r>
                                      </m:e>
                                    </m:d>
                                    <m:r>
                                      <a:rPr lang="es-PE" sz="90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·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sen</m:t>
                                    </m:r>
                                    <m:d>
                                      <m:dPr>
                                        <m:ctrlPr>
                                          <a:rPr lang="es-ES" sz="9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el-GR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φ</m:t>
                                        </m:r>
                                        <m: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θ</m:t>
                                        </m:r>
                                        <m: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>
                                          <m:rPr>
                                            <m:sty m:val="p"/>
                                          </m:rP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i</m:t>
                                        </m:r>
                                      </m:e>
                                    </m:d>
                                  </m:num>
                                  <m:den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  <m: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l-GR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β</m:t>
                                    </m:r>
                                    <m: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θ</m:t>
                                    </m:r>
                                    <m:r>
                                      <a:rPr lang="es-ES" sz="9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)·</m:t>
                                    </m:r>
                                    <m:func>
                                      <m:funcPr>
                                        <m:ctrlPr>
                                          <a:rPr lang="es-ES" sz="9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s-ES" sz="9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cos</m:t>
                                        </m:r>
                                      </m:fName>
                                      <m:e>
                                        <m:d>
                                          <m:dPr>
                                            <m:ctrlPr>
                                              <a:rPr lang="es-ES" sz="9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s-ES" sz="9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i</m:t>
                                            </m:r>
                                            <m:r>
                                              <a:rPr lang="es-ES" sz="9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−</m:t>
                                            </m:r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s-ES" sz="9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β</m:t>
                                            </m:r>
                                          </m:e>
                                        </m:d>
                                      </m:e>
                                    </m:func>
                                  </m:den>
                                </m:f>
                              </m:e>
                            </m:rad>
                          </m:e>
                        </m:d>
                      </m:e>
                      <m:sup>
                        <m:r>
                          <a:rPr lang="es-ES" sz="9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indent="0"/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76775CA2-4DC6-455F-97B2-E5DEF71432CB}"/>
                </a:ext>
              </a:extLst>
            </xdr:cNvPr>
            <xdr:cNvSpPr txBox="1"/>
          </xdr:nvSpPr>
          <xdr:spPr>
            <a:xfrm>
              <a:off x="531992" y="14006874"/>
              <a:ext cx="4050597" cy="485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KPE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 (</a:t>
              </a:r>
              <a:r>
                <a:rPr lang="el-GR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−θ+β)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cosθ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β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cos(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−β+θ)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(1−√((sen(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δ)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sen(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−θ+i))/(cos(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−β+θ)·cos⁡(i−β) )))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−2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indent="0"/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205154</xdr:colOff>
      <xdr:row>26</xdr:row>
      <xdr:rowOff>80596</xdr:rowOff>
    </xdr:from>
    <xdr:ext cx="997644" cy="2364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217B5A77-BC29-429F-A583-C5988042E427}"/>
                </a:ext>
              </a:extLst>
            </xdr:cNvPr>
            <xdr:cNvSpPr txBox="1"/>
          </xdr:nvSpPr>
          <xdr:spPr>
            <a:xfrm>
              <a:off x="757604" y="3195271"/>
              <a:ext cx="997644" cy="236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Ka</m:t>
                    </m:r>
                    <m:r>
                      <a:rPr lang="es-PE" sz="9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9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900" b="0" i="0">
                            <a:latin typeface="Cambria Math" panose="02040503050406030204" pitchFamily="18" charset="0"/>
                          </a:rPr>
                          <m:t>tan</m:t>
                        </m:r>
                      </m:e>
                      <m:sup>
                        <m:r>
                          <a:rPr lang="es-ES" sz="9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900" b="0" i="0">
                        <a:latin typeface="Cambria Math" panose="02040503050406030204" pitchFamily="18" charset="0"/>
                      </a:rPr>
                      <m:t>(45−</m:t>
                    </m:r>
                    <m:f>
                      <m:fPr>
                        <m:ctrlPr>
                          <a:rPr lang="es-PE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900" i="0">
                            <a:latin typeface="Cambria Math" panose="02040503050406030204" pitchFamily="18" charset="0"/>
                          </a:rPr>
                          <m:t>φ</m:t>
                        </m:r>
                      </m:num>
                      <m:den>
                        <m:r>
                          <a:rPr lang="es-ES" sz="900" b="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9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900" i="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217B5A77-BC29-429F-A583-C5988042E427}"/>
                </a:ext>
              </a:extLst>
            </xdr:cNvPr>
            <xdr:cNvSpPr txBox="1"/>
          </xdr:nvSpPr>
          <xdr:spPr>
            <a:xfrm>
              <a:off x="757604" y="3195271"/>
              <a:ext cx="997644" cy="236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Ka</a:t>
              </a:r>
              <a:r>
                <a:rPr lang="es-PE" sz="900" i="0">
                  <a:latin typeface="Cambria Math" panose="02040503050406030204" pitchFamily="18" charset="0"/>
                </a:rPr>
                <a:t>=</a:t>
              </a:r>
              <a:r>
                <a:rPr lang="es-ES" sz="900" b="0" i="0">
                  <a:latin typeface="Cambria Math" panose="02040503050406030204" pitchFamily="18" charset="0"/>
                </a:rPr>
                <a:t>tan</a:t>
              </a:r>
              <a:r>
                <a:rPr lang="es-PE" sz="900" b="0" i="0">
                  <a:latin typeface="Cambria Math" panose="02040503050406030204" pitchFamily="18" charset="0"/>
                </a:rPr>
                <a:t>^</a:t>
              </a:r>
              <a:r>
                <a:rPr lang="es-ES" sz="900" b="0" i="0">
                  <a:latin typeface="Cambria Math" panose="02040503050406030204" pitchFamily="18" charset="0"/>
                </a:rPr>
                <a:t>2 (45−</a:t>
              </a:r>
              <a:r>
                <a:rPr lang="el-GR" sz="900" i="0">
                  <a:latin typeface="Cambria Math" panose="02040503050406030204" pitchFamily="18" charset="0"/>
                </a:rPr>
                <a:t>φ</a:t>
              </a:r>
              <a:r>
                <a:rPr lang="es-PE" sz="900" i="0">
                  <a:latin typeface="Cambria Math" panose="02040503050406030204" pitchFamily="18" charset="0"/>
                </a:rPr>
                <a:t>/</a:t>
              </a:r>
              <a:r>
                <a:rPr lang="es-ES" sz="900" b="0" i="0">
                  <a:latin typeface="Cambria Math" panose="02040503050406030204" pitchFamily="18" charset="0"/>
                </a:rPr>
                <a:t>2)</a:t>
              </a:r>
              <a:endParaRPr lang="es-PE" sz="900" i="0"/>
            </a:p>
          </xdr:txBody>
        </xdr:sp>
      </mc:Fallback>
    </mc:AlternateContent>
    <xdr:clientData/>
  </xdr:oneCellAnchor>
  <xdr:oneCellAnchor>
    <xdr:from>
      <xdr:col>2</xdr:col>
      <xdr:colOff>205154</xdr:colOff>
      <xdr:row>36</xdr:row>
      <xdr:rowOff>80596</xdr:rowOff>
    </xdr:from>
    <xdr:ext cx="970009" cy="2365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A112649C-F888-49BC-876D-E0DCCE5F838A}"/>
                </a:ext>
              </a:extLst>
            </xdr:cNvPr>
            <xdr:cNvSpPr txBox="1"/>
          </xdr:nvSpPr>
          <xdr:spPr>
            <a:xfrm>
              <a:off x="757604" y="4719271"/>
              <a:ext cx="970009" cy="236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Kp</m:t>
                    </m:r>
                    <m:r>
                      <a:rPr lang="es-PE" sz="900" i="0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E" sz="9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s-ES" sz="900" b="0" i="0">
                            <a:latin typeface="Cambria Math" panose="02040503050406030204" pitchFamily="18" charset="0"/>
                          </a:rPr>
                          <m:t>tan</m:t>
                        </m:r>
                      </m:e>
                      <m:sup>
                        <m:r>
                          <a:rPr lang="es-ES" sz="9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900" b="0" i="0">
                        <a:latin typeface="Cambria Math" panose="02040503050406030204" pitchFamily="18" charset="0"/>
                      </a:rPr>
                      <m:t>(45+</m:t>
                    </m:r>
                    <m:f>
                      <m:fPr>
                        <m:ctrlPr>
                          <a:rPr lang="es-PE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900" i="0">
                            <a:latin typeface="Cambria Math" panose="02040503050406030204" pitchFamily="18" charset="0"/>
                          </a:rPr>
                          <m:t>φ</m:t>
                        </m:r>
                      </m:num>
                      <m:den>
                        <m:r>
                          <a:rPr lang="es-ES" sz="900" b="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900" b="0" i="0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900" i="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A112649C-F888-49BC-876D-E0DCCE5F838A}"/>
                </a:ext>
              </a:extLst>
            </xdr:cNvPr>
            <xdr:cNvSpPr txBox="1"/>
          </xdr:nvSpPr>
          <xdr:spPr>
            <a:xfrm>
              <a:off x="757604" y="4719271"/>
              <a:ext cx="970009" cy="2365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Kp</a:t>
              </a:r>
              <a:r>
                <a:rPr lang="es-PE" sz="900" i="0">
                  <a:latin typeface="Cambria Math" panose="02040503050406030204" pitchFamily="18" charset="0"/>
                </a:rPr>
                <a:t>=</a:t>
              </a:r>
              <a:r>
                <a:rPr lang="es-ES" sz="900" b="0" i="0">
                  <a:latin typeface="Cambria Math" panose="02040503050406030204" pitchFamily="18" charset="0"/>
                </a:rPr>
                <a:t>tan</a:t>
              </a:r>
              <a:r>
                <a:rPr lang="es-PE" sz="900" b="0" i="0">
                  <a:latin typeface="Cambria Math" panose="02040503050406030204" pitchFamily="18" charset="0"/>
                </a:rPr>
                <a:t>^</a:t>
              </a:r>
              <a:r>
                <a:rPr lang="es-ES" sz="900" b="0" i="0">
                  <a:latin typeface="Cambria Math" panose="02040503050406030204" pitchFamily="18" charset="0"/>
                </a:rPr>
                <a:t>2 (45+</a:t>
              </a:r>
              <a:r>
                <a:rPr lang="el-GR" sz="900" i="0">
                  <a:latin typeface="Cambria Math" panose="02040503050406030204" pitchFamily="18" charset="0"/>
                </a:rPr>
                <a:t>φ</a:t>
              </a:r>
              <a:r>
                <a:rPr lang="es-PE" sz="900" i="0">
                  <a:latin typeface="Cambria Math" panose="02040503050406030204" pitchFamily="18" charset="0"/>
                </a:rPr>
                <a:t>/</a:t>
              </a:r>
              <a:r>
                <a:rPr lang="es-ES" sz="900" b="0" i="0">
                  <a:latin typeface="Cambria Math" panose="02040503050406030204" pitchFamily="18" charset="0"/>
                </a:rPr>
                <a:t>2)</a:t>
              </a:r>
              <a:endParaRPr lang="es-PE" sz="900" i="0"/>
            </a:p>
          </xdr:txBody>
        </xdr:sp>
      </mc:Fallback>
    </mc:AlternateContent>
    <xdr:clientData/>
  </xdr:oneCellAnchor>
  <xdr:oneCellAnchor>
    <xdr:from>
      <xdr:col>2</xdr:col>
      <xdr:colOff>23813</xdr:colOff>
      <xdr:row>109</xdr:row>
      <xdr:rowOff>111128</xdr:rowOff>
    </xdr:from>
    <xdr:ext cx="1654969" cy="174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203E623-A475-443F-AFA9-9593C5E377D8}"/>
                </a:ext>
              </a:extLst>
            </xdr:cNvPr>
            <xdr:cNvSpPr txBox="1"/>
          </xdr:nvSpPr>
          <xdr:spPr>
            <a:xfrm>
              <a:off x="579438" y="15422566"/>
              <a:ext cx="1654969" cy="174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EAE</m:t>
                    </m:r>
                    <m:r>
                      <a:rPr lang="es-PE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KAE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(1−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Kv</m:t>
                    </m:r>
                    <m: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203E623-A475-443F-AFA9-9593C5E377D8}"/>
                </a:ext>
              </a:extLst>
            </xdr:cNvPr>
            <xdr:cNvSpPr txBox="1"/>
          </xdr:nvSpPr>
          <xdr:spPr>
            <a:xfrm>
              <a:off x="579438" y="15422566"/>
              <a:ext cx="1654969" cy="174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EAE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KAE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(1−Kv)</a:t>
              </a:r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23810</xdr:colOff>
      <xdr:row>115</xdr:row>
      <xdr:rowOff>87319</xdr:rowOff>
    </xdr:from>
    <xdr:ext cx="1654969" cy="1984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E263C854-0E47-4E6F-977E-690370050F3F}"/>
                </a:ext>
              </a:extLst>
            </xdr:cNvPr>
            <xdr:cNvSpPr txBox="1"/>
          </xdr:nvSpPr>
          <xdr:spPr>
            <a:xfrm>
              <a:off x="579435" y="16303632"/>
              <a:ext cx="1654969" cy="198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EPE</m:t>
                    </m:r>
                    <m:r>
                      <a:rPr lang="es-PE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KPE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(1−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Kv</m:t>
                    </m:r>
                    <m: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E263C854-0E47-4E6F-977E-690370050F3F}"/>
                </a:ext>
              </a:extLst>
            </xdr:cNvPr>
            <xdr:cNvSpPr txBox="1"/>
          </xdr:nvSpPr>
          <xdr:spPr>
            <a:xfrm>
              <a:off x="579435" y="16303632"/>
              <a:ext cx="1654969" cy="198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EPE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KPE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(1−Kv)</a:t>
              </a:r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23807</xdr:colOff>
      <xdr:row>123</xdr:row>
      <xdr:rowOff>119070</xdr:rowOff>
    </xdr:from>
    <xdr:ext cx="1142999" cy="1666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3CA4D6B8-3A84-4566-8147-A7974269CDE2}"/>
                </a:ext>
              </a:extLst>
            </xdr:cNvPr>
            <xdr:cNvSpPr txBox="1"/>
          </xdr:nvSpPr>
          <xdr:spPr>
            <a:xfrm>
              <a:off x="579432" y="17541883"/>
              <a:ext cx="1142999" cy="1666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EA</m:t>
                    </m:r>
                    <m:r>
                      <a:rPr lang="es-PE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Ka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3CA4D6B8-3A84-4566-8147-A7974269CDE2}"/>
                </a:ext>
              </a:extLst>
            </xdr:cNvPr>
            <xdr:cNvSpPr txBox="1"/>
          </xdr:nvSpPr>
          <xdr:spPr>
            <a:xfrm>
              <a:off x="579432" y="17541883"/>
              <a:ext cx="1142999" cy="1666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EA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Ka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</xdr:col>
      <xdr:colOff>61515</xdr:colOff>
      <xdr:row>129</xdr:row>
      <xdr:rowOff>95256</xdr:rowOff>
    </xdr:from>
    <xdr:ext cx="1053703" cy="1825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6441C231-8018-43A0-AC0A-5695AB68ED4A}"/>
                </a:ext>
              </a:extLst>
            </xdr:cNvPr>
            <xdr:cNvSpPr txBox="1"/>
          </xdr:nvSpPr>
          <xdr:spPr>
            <a:xfrm>
              <a:off x="617140" y="18422944"/>
              <a:ext cx="1053703" cy="182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EP</m:t>
                    </m:r>
                    <m:r>
                      <a:rPr lang="es-PE" sz="9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Kp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</m:oMath>
                </m:oMathPara>
              </a14:m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1" name="CuadroTexto 60">
              <a:extLst>
                <a:ext uri="{FF2B5EF4-FFF2-40B4-BE49-F238E27FC236}">
                  <a16:creationId xmlns:a16="http://schemas.microsoft.com/office/drawing/2014/main" id="{6441C231-8018-43A0-AC0A-5695AB68ED4A}"/>
                </a:ext>
              </a:extLst>
            </xdr:cNvPr>
            <xdr:cNvSpPr txBox="1"/>
          </xdr:nvSpPr>
          <xdr:spPr>
            <a:xfrm>
              <a:off x="617140" y="18422944"/>
              <a:ext cx="1053703" cy="1825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indent="0"/>
              <a:r>
                <a:rPr lang="es-ES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EP</a:t>
              </a:r>
              <a:r>
                <a:rPr lang="es-PE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Kp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s-PE" sz="900" b="0" i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10</xdr:col>
      <xdr:colOff>112862</xdr:colOff>
      <xdr:row>152</xdr:row>
      <xdr:rowOff>50321</xdr:rowOff>
    </xdr:from>
    <xdr:to>
      <xdr:col>11</xdr:col>
      <xdr:colOff>28754</xdr:colOff>
      <xdr:row>152</xdr:row>
      <xdr:rowOff>55353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193B4B64-4F44-44D1-B75C-821119A6E6D0}"/>
            </a:ext>
          </a:extLst>
        </xdr:cNvPr>
        <xdr:cNvCxnSpPr/>
      </xdr:nvCxnSpPr>
      <xdr:spPr>
        <a:xfrm>
          <a:off x="2789155" y="22204077"/>
          <a:ext cx="222550" cy="5032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224844</xdr:colOff>
      <xdr:row>32</xdr:row>
      <xdr:rowOff>9617</xdr:rowOff>
    </xdr:from>
    <xdr:ext cx="782394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20330372-0B8B-426C-9DC7-C3DF4A400D15}"/>
                </a:ext>
              </a:extLst>
            </xdr:cNvPr>
            <xdr:cNvSpPr txBox="1"/>
          </xdr:nvSpPr>
          <xdr:spPr>
            <a:xfrm>
              <a:off x="777294" y="4038692"/>
              <a:ext cx="782394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Pa</m:t>
                    </m:r>
                    <m:r>
                      <a:rPr lang="es-PE" sz="90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Ka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</m:oMath>
                </m:oMathPara>
              </a14:m>
              <a:endParaRPr lang="es-PE" sz="900" i="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20330372-0B8B-426C-9DC7-C3DF4A400D15}"/>
                </a:ext>
              </a:extLst>
            </xdr:cNvPr>
            <xdr:cNvSpPr txBox="1"/>
          </xdr:nvSpPr>
          <xdr:spPr>
            <a:xfrm>
              <a:off x="777294" y="4038692"/>
              <a:ext cx="782394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Pa</a:t>
              </a:r>
              <a:r>
                <a:rPr lang="es-PE" sz="900" i="0">
                  <a:latin typeface="Cambria Math" panose="02040503050406030204" pitchFamily="18" charset="0"/>
                </a:rPr>
                <a:t>=</a:t>
              </a:r>
              <a:r>
                <a:rPr lang="es-ES" sz="900" b="0" i="0">
                  <a:latin typeface="Cambria Math" panose="02040503050406030204" pitchFamily="18" charset="0"/>
                </a:rPr>
                <a:t>Ka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900" i="0"/>
            </a:p>
          </xdr:txBody>
        </xdr:sp>
      </mc:Fallback>
    </mc:AlternateContent>
    <xdr:clientData/>
  </xdr:oneCellAnchor>
  <xdr:oneCellAnchor>
    <xdr:from>
      <xdr:col>2</xdr:col>
      <xdr:colOff>212938</xdr:colOff>
      <xdr:row>42</xdr:row>
      <xdr:rowOff>9617</xdr:rowOff>
    </xdr:from>
    <xdr:ext cx="782458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534EF11C-3DCF-4677-B0D1-60A8AB4D4F66}"/>
                </a:ext>
              </a:extLst>
            </xdr:cNvPr>
            <xdr:cNvSpPr txBox="1"/>
          </xdr:nvSpPr>
          <xdr:spPr>
            <a:xfrm>
              <a:off x="765388" y="5562692"/>
              <a:ext cx="78245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Pp</m:t>
                    </m:r>
                    <m:r>
                      <a:rPr lang="es-PE" sz="90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Kp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l-GR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γ</m:t>
                    </m:r>
                    <m:r>
                      <m:rPr>
                        <m:sty m:val="p"/>
                      </m:rP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</m:oMath>
                </m:oMathPara>
              </a14:m>
              <a:endParaRPr lang="es-PE" sz="900" i="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534EF11C-3DCF-4677-B0D1-60A8AB4D4F66}"/>
                </a:ext>
              </a:extLst>
            </xdr:cNvPr>
            <xdr:cNvSpPr txBox="1"/>
          </xdr:nvSpPr>
          <xdr:spPr>
            <a:xfrm>
              <a:off x="765388" y="5562692"/>
              <a:ext cx="782458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Pp</a:t>
              </a:r>
              <a:r>
                <a:rPr lang="es-PE" sz="900" i="0">
                  <a:latin typeface="Cambria Math" panose="02040503050406030204" pitchFamily="18" charset="0"/>
                </a:rPr>
                <a:t>=</a:t>
              </a:r>
              <a:r>
                <a:rPr lang="es-ES" sz="900" b="0" i="0">
                  <a:latin typeface="Cambria Math" panose="02040503050406030204" pitchFamily="18" charset="0"/>
                </a:rPr>
                <a:t>Kp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γ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900" i="0"/>
            </a:p>
          </xdr:txBody>
        </xdr:sp>
      </mc:Fallback>
    </mc:AlternateContent>
    <xdr:clientData/>
  </xdr:oneCellAnchor>
  <xdr:oneCellAnchor>
    <xdr:from>
      <xdr:col>2</xdr:col>
      <xdr:colOff>87925</xdr:colOff>
      <xdr:row>47</xdr:row>
      <xdr:rowOff>9617</xdr:rowOff>
    </xdr:from>
    <xdr:ext cx="816057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7A8BC791-400B-499C-B171-F49B13AAC451}"/>
                </a:ext>
              </a:extLst>
            </xdr:cNvPr>
            <xdr:cNvSpPr txBox="1"/>
          </xdr:nvSpPr>
          <xdr:spPr>
            <a:xfrm>
              <a:off x="640375" y="6324692"/>
              <a:ext cx="81605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P</m:t>
                    </m:r>
                    <m:r>
                      <a:rPr lang="es-ES" sz="9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s</m:t>
                    </m:r>
                    <m:r>
                      <a:rPr lang="es-ES" sz="900" b="0" i="0"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s-PE" sz="900" i="0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ES" sz="900" b="0" i="0">
                        <a:latin typeface="Cambria Math" panose="02040503050406030204" pitchFamily="18" charset="0"/>
                      </a:rPr>
                      <m:t>Ka</m:t>
                    </m:r>
                    <m:r>
                      <a:rPr lang="es-PE" sz="90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sty m:val="p"/>
                      </m:rPr>
                      <a:rPr lang="es-ES" sz="9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C</m:t>
                    </m:r>
                  </m:oMath>
                </m:oMathPara>
              </a14:m>
              <a:endParaRPr lang="es-PE" sz="900" i="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7A8BC791-400B-499C-B171-F49B13AAC451}"/>
                </a:ext>
              </a:extLst>
            </xdr:cNvPr>
            <xdr:cNvSpPr txBox="1"/>
          </xdr:nvSpPr>
          <xdr:spPr>
            <a:xfrm>
              <a:off x="640375" y="6324692"/>
              <a:ext cx="816057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900" b="0" i="0">
                  <a:latin typeface="Cambria Math" panose="02040503050406030204" pitchFamily="18" charset="0"/>
                </a:rPr>
                <a:t>P s/c</a:t>
              </a:r>
              <a:r>
                <a:rPr lang="es-PE" sz="900" i="0">
                  <a:latin typeface="Cambria Math" panose="02040503050406030204" pitchFamily="18" charset="0"/>
                </a:rPr>
                <a:t>=</a:t>
              </a:r>
              <a:r>
                <a:rPr lang="es-ES" sz="900" b="0" i="0">
                  <a:latin typeface="Cambria Math" panose="02040503050406030204" pitchFamily="18" charset="0"/>
                </a:rPr>
                <a:t>Ka</a:t>
              </a:r>
              <a:r>
                <a:rPr lang="es-PE" sz="9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S/C</a:t>
              </a:r>
              <a:endParaRPr lang="es-PE" sz="900" i="0"/>
            </a:p>
          </xdr:txBody>
        </xdr:sp>
      </mc:Fallback>
    </mc:AlternateContent>
    <xdr:clientData/>
  </xdr:oneCellAnchor>
  <xdr:twoCellAnchor>
    <xdr:from>
      <xdr:col>5</xdr:col>
      <xdr:colOff>48708</xdr:colOff>
      <xdr:row>160</xdr:row>
      <xdr:rowOff>71375</xdr:rowOff>
    </xdr:from>
    <xdr:to>
      <xdr:col>6</xdr:col>
      <xdr:colOff>6028</xdr:colOff>
      <xdr:row>160</xdr:row>
      <xdr:rowOff>72342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C0EDBFD6-E556-4EA6-8361-30FDAA48FAFE}"/>
            </a:ext>
          </a:extLst>
        </xdr:cNvPr>
        <xdr:cNvCxnSpPr/>
      </xdr:nvCxnSpPr>
      <xdr:spPr>
        <a:xfrm>
          <a:off x="1620333" y="23350475"/>
          <a:ext cx="185920" cy="967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124544</xdr:colOff>
      <xdr:row>166</xdr:row>
      <xdr:rowOff>95131</xdr:rowOff>
    </xdr:from>
    <xdr:to>
      <xdr:col>12</xdr:col>
      <xdr:colOff>101158</xdr:colOff>
      <xdr:row>166</xdr:row>
      <xdr:rowOff>100275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2A8A1BFF-F6B7-423D-9E9D-E4CC0E4C33D1}"/>
            </a:ext>
          </a:extLst>
        </xdr:cNvPr>
        <xdr:cNvCxnSpPr/>
      </xdr:nvCxnSpPr>
      <xdr:spPr>
        <a:xfrm flipV="1">
          <a:off x="2572469" y="24288631"/>
          <a:ext cx="738614" cy="5144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120203</xdr:colOff>
      <xdr:row>165</xdr:row>
      <xdr:rowOff>45576</xdr:rowOff>
    </xdr:from>
    <xdr:to>
      <xdr:col>12</xdr:col>
      <xdr:colOff>96817</xdr:colOff>
      <xdr:row>165</xdr:row>
      <xdr:rowOff>50720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3234AB49-9F38-4905-86EE-850E75FF31F4}"/>
            </a:ext>
          </a:extLst>
        </xdr:cNvPr>
        <xdr:cNvCxnSpPr/>
      </xdr:nvCxnSpPr>
      <xdr:spPr>
        <a:xfrm flipV="1">
          <a:off x="2568128" y="24086676"/>
          <a:ext cx="738614" cy="5144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124905</xdr:colOff>
      <xdr:row>163</xdr:row>
      <xdr:rowOff>149747</xdr:rowOff>
    </xdr:from>
    <xdr:to>
      <xdr:col>12</xdr:col>
      <xdr:colOff>101519</xdr:colOff>
      <xdr:row>164</xdr:row>
      <xdr:rowOff>1165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593B5F2F-95C6-4382-A83C-B28EB1EBC3C7}"/>
            </a:ext>
          </a:extLst>
        </xdr:cNvPr>
        <xdr:cNvCxnSpPr/>
      </xdr:nvCxnSpPr>
      <xdr:spPr>
        <a:xfrm flipV="1">
          <a:off x="2572830" y="23886047"/>
          <a:ext cx="738614" cy="3818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120564</xdr:colOff>
      <xdr:row>162</xdr:row>
      <xdr:rowOff>118279</xdr:rowOff>
    </xdr:from>
    <xdr:to>
      <xdr:col>12</xdr:col>
      <xdr:colOff>97178</xdr:colOff>
      <xdr:row>162</xdr:row>
      <xdr:rowOff>123423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314F74E8-CC98-450B-9375-320DB9924F3A}"/>
            </a:ext>
          </a:extLst>
        </xdr:cNvPr>
        <xdr:cNvCxnSpPr/>
      </xdr:nvCxnSpPr>
      <xdr:spPr>
        <a:xfrm flipV="1">
          <a:off x="2568489" y="23702179"/>
          <a:ext cx="738614" cy="5144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122252</xdr:colOff>
      <xdr:row>161</xdr:row>
      <xdr:rowOff>86812</xdr:rowOff>
    </xdr:from>
    <xdr:to>
      <xdr:col>12</xdr:col>
      <xdr:colOff>98866</xdr:colOff>
      <xdr:row>161</xdr:row>
      <xdr:rowOff>91956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09DCC06E-2303-4B4C-84BB-1E125E4F5E7B}"/>
            </a:ext>
          </a:extLst>
        </xdr:cNvPr>
        <xdr:cNvCxnSpPr/>
      </xdr:nvCxnSpPr>
      <xdr:spPr>
        <a:xfrm flipV="1">
          <a:off x="2570177" y="23518312"/>
          <a:ext cx="738614" cy="5144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123940</xdr:colOff>
      <xdr:row>160</xdr:row>
      <xdr:rowOff>40273</xdr:rowOff>
    </xdr:from>
    <xdr:to>
      <xdr:col>12</xdr:col>
      <xdr:colOff>100554</xdr:colOff>
      <xdr:row>160</xdr:row>
      <xdr:rowOff>45417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4B3AB3B1-5B41-44E8-8B7B-A2B844D2D07A}"/>
            </a:ext>
          </a:extLst>
        </xdr:cNvPr>
        <xdr:cNvCxnSpPr/>
      </xdr:nvCxnSpPr>
      <xdr:spPr>
        <a:xfrm flipV="1">
          <a:off x="2571865" y="23319373"/>
          <a:ext cx="738614" cy="5144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160</xdr:row>
      <xdr:rowOff>129540</xdr:rowOff>
    </xdr:from>
    <xdr:to>
      <xdr:col>22</xdr:col>
      <xdr:colOff>14845</xdr:colOff>
      <xdr:row>160</xdr:row>
      <xdr:rowOff>138546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AD0455FE-0D6E-42A6-B9A5-DA60CA8F90B4}"/>
            </a:ext>
          </a:extLst>
        </xdr:cNvPr>
        <xdr:cNvCxnSpPr/>
      </xdr:nvCxnSpPr>
      <xdr:spPr>
        <a:xfrm>
          <a:off x="4373880" y="24707850"/>
          <a:ext cx="1367395" cy="9006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52292</xdr:colOff>
      <xdr:row>56</xdr:row>
      <xdr:rowOff>147368</xdr:rowOff>
    </xdr:from>
    <xdr:to>
      <xdr:col>18</xdr:col>
      <xdr:colOff>14378</xdr:colOff>
      <xdr:row>56</xdr:row>
      <xdr:rowOff>147592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B60D5530-1A6D-4E06-9ACC-B828134BF0F2}"/>
            </a:ext>
          </a:extLst>
        </xdr:cNvPr>
        <xdr:cNvCxnSpPr/>
      </xdr:nvCxnSpPr>
      <xdr:spPr>
        <a:xfrm flipH="1">
          <a:off x="3732896" y="7767368"/>
          <a:ext cx="882237" cy="22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208368</xdr:colOff>
      <xdr:row>26</xdr:row>
      <xdr:rowOff>0</xdr:rowOff>
    </xdr:from>
    <xdr:to>
      <xdr:col>15</xdr:col>
      <xdr:colOff>23822</xdr:colOff>
      <xdr:row>48</xdr:row>
      <xdr:rowOff>83344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D0EC558A-554E-4549-B934-E44173188FEC}"/>
            </a:ext>
          </a:extLst>
        </xdr:cNvPr>
        <xdr:cNvSpPr/>
      </xdr:nvSpPr>
      <xdr:spPr>
        <a:xfrm>
          <a:off x="3625462" y="3155156"/>
          <a:ext cx="267891" cy="348853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17860</xdr:colOff>
      <xdr:row>25</xdr:row>
      <xdr:rowOff>148442</xdr:rowOff>
    </xdr:from>
    <xdr:to>
      <xdr:col>21</xdr:col>
      <xdr:colOff>98961</xdr:colOff>
      <xdr:row>25</xdr:row>
      <xdr:rowOff>148829</xdr:rowOff>
    </xdr:to>
    <xdr:cxnSp macro="">
      <xdr:nvCxnSpPr>
        <xdr:cNvPr id="108" name="Conector recto 107">
          <a:extLst>
            <a:ext uri="{FF2B5EF4-FFF2-40B4-BE49-F238E27FC236}">
              <a16:creationId xmlns:a16="http://schemas.microsoft.com/office/drawing/2014/main" id="{3FA1BCBB-51AC-4DFA-AF05-6413F9CB0E15}"/>
            </a:ext>
          </a:extLst>
        </xdr:cNvPr>
        <xdr:cNvCxnSpPr/>
      </xdr:nvCxnSpPr>
      <xdr:spPr>
        <a:xfrm flipV="1">
          <a:off x="3904555" y="3124695"/>
          <a:ext cx="1372542" cy="3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26</xdr:row>
      <xdr:rowOff>0</xdr:rowOff>
    </xdr:from>
    <xdr:to>
      <xdr:col>13</xdr:col>
      <xdr:colOff>208359</xdr:colOff>
      <xdr:row>26</xdr:row>
      <xdr:rowOff>136922</xdr:rowOff>
    </xdr:to>
    <xdr:sp macro="" textlink="">
      <xdr:nvSpPr>
        <xdr:cNvPr id="109" name="Rectángulo 108">
          <a:extLst>
            <a:ext uri="{FF2B5EF4-FFF2-40B4-BE49-F238E27FC236}">
              <a16:creationId xmlns:a16="http://schemas.microsoft.com/office/drawing/2014/main" id="{F1C295E7-F5BF-4F7D-9E72-C50267F32DDA}"/>
            </a:ext>
          </a:extLst>
        </xdr:cNvPr>
        <xdr:cNvSpPr/>
      </xdr:nvSpPr>
      <xdr:spPr>
        <a:xfrm>
          <a:off x="3190875" y="3155156"/>
          <a:ext cx="434578" cy="13692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221527</xdr:colOff>
      <xdr:row>31</xdr:row>
      <xdr:rowOff>3571</xdr:rowOff>
    </xdr:from>
    <xdr:to>
      <xdr:col>13</xdr:col>
      <xdr:colOff>203667</xdr:colOff>
      <xdr:row>31</xdr:row>
      <xdr:rowOff>140493</xdr:rowOff>
    </xdr:to>
    <xdr:sp macro="" textlink="">
      <xdr:nvSpPr>
        <xdr:cNvPr id="110" name="Rectángulo 109">
          <a:extLst>
            <a:ext uri="{FF2B5EF4-FFF2-40B4-BE49-F238E27FC236}">
              <a16:creationId xmlns:a16="http://schemas.microsoft.com/office/drawing/2014/main" id="{FC16BC5E-9A6F-4295-AFF6-8F1D773C8AAA}"/>
            </a:ext>
          </a:extLst>
        </xdr:cNvPr>
        <xdr:cNvSpPr/>
      </xdr:nvSpPr>
      <xdr:spPr>
        <a:xfrm>
          <a:off x="3196258" y="4905283"/>
          <a:ext cx="436409" cy="13692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224054</xdr:colOff>
      <xdr:row>36</xdr:row>
      <xdr:rowOff>928</xdr:rowOff>
    </xdr:from>
    <xdr:to>
      <xdr:col>13</xdr:col>
      <xdr:colOff>203972</xdr:colOff>
      <xdr:row>36</xdr:row>
      <xdr:rowOff>132156</xdr:rowOff>
    </xdr:to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87D31B0C-57DB-44B7-833F-7471275ACC0B}"/>
            </a:ext>
          </a:extLst>
        </xdr:cNvPr>
        <xdr:cNvSpPr/>
      </xdr:nvSpPr>
      <xdr:spPr>
        <a:xfrm>
          <a:off x="3230641" y="5467450"/>
          <a:ext cx="443744" cy="13122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225034</xdr:colOff>
      <xdr:row>41</xdr:row>
      <xdr:rowOff>4759</xdr:rowOff>
    </xdr:from>
    <xdr:to>
      <xdr:col>13</xdr:col>
      <xdr:colOff>207174</xdr:colOff>
      <xdr:row>41</xdr:row>
      <xdr:rowOff>141681</xdr:rowOff>
    </xdr:to>
    <xdr:sp macro="" textlink="">
      <xdr:nvSpPr>
        <xdr:cNvPr id="112" name="Rectángulo 111">
          <a:extLst>
            <a:ext uri="{FF2B5EF4-FFF2-40B4-BE49-F238E27FC236}">
              <a16:creationId xmlns:a16="http://schemas.microsoft.com/office/drawing/2014/main" id="{F86EB7A1-7A82-47E6-9E08-59C4AB3FAF57}"/>
            </a:ext>
          </a:extLst>
        </xdr:cNvPr>
        <xdr:cNvSpPr/>
      </xdr:nvSpPr>
      <xdr:spPr>
        <a:xfrm>
          <a:off x="3189690" y="5481634"/>
          <a:ext cx="434578" cy="13692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61155</xdr:colOff>
      <xdr:row>46</xdr:row>
      <xdr:rowOff>119062</xdr:rowOff>
    </xdr:from>
    <xdr:to>
      <xdr:col>13</xdr:col>
      <xdr:colOff>206420</xdr:colOff>
      <xdr:row>48</xdr:row>
      <xdr:rowOff>83342</xdr:rowOff>
    </xdr:to>
    <xdr:sp macro="" textlink="">
      <xdr:nvSpPr>
        <xdr:cNvPr id="113" name="Rectángulo 112">
          <a:extLst>
            <a:ext uri="{FF2B5EF4-FFF2-40B4-BE49-F238E27FC236}">
              <a16:creationId xmlns:a16="http://schemas.microsoft.com/office/drawing/2014/main" id="{8DD8AB9D-E560-4C2C-94EC-DB7AA605136F}"/>
            </a:ext>
          </a:extLst>
        </xdr:cNvPr>
        <xdr:cNvSpPr/>
      </xdr:nvSpPr>
      <xdr:spPr>
        <a:xfrm>
          <a:off x="2745473" y="6249698"/>
          <a:ext cx="907265" cy="26734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203575</xdr:colOff>
      <xdr:row>36</xdr:row>
      <xdr:rowOff>65604</xdr:rowOff>
    </xdr:from>
    <xdr:to>
      <xdr:col>15</xdr:col>
      <xdr:colOff>205957</xdr:colOff>
      <xdr:row>41</xdr:row>
      <xdr:rowOff>73220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B4288984-A80C-4C0E-8D45-4C4B56622AE0}"/>
            </a:ext>
          </a:extLst>
        </xdr:cNvPr>
        <xdr:cNvCxnSpPr/>
      </xdr:nvCxnSpPr>
      <xdr:spPr>
        <a:xfrm flipV="1">
          <a:off x="4114217" y="4666359"/>
          <a:ext cx="2382" cy="76242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205975</xdr:colOff>
      <xdr:row>31</xdr:row>
      <xdr:rowOff>72032</xdr:rowOff>
    </xdr:from>
    <xdr:to>
      <xdr:col>15</xdr:col>
      <xdr:colOff>209550</xdr:colOff>
      <xdr:row>36</xdr:row>
      <xdr:rowOff>65604</xdr:rowOff>
    </xdr:to>
    <xdr:cxnSp macro="">
      <xdr:nvCxnSpPr>
        <xdr:cNvPr id="126" name="Conector recto de flecha 125">
          <a:extLst>
            <a:ext uri="{FF2B5EF4-FFF2-40B4-BE49-F238E27FC236}">
              <a16:creationId xmlns:a16="http://schemas.microsoft.com/office/drawing/2014/main" id="{5DE8988F-F50E-4EA1-9EF5-4435F0F16E22}"/>
            </a:ext>
          </a:extLst>
        </xdr:cNvPr>
        <xdr:cNvCxnSpPr/>
      </xdr:nvCxnSpPr>
      <xdr:spPr>
        <a:xfrm flipH="1" flipV="1">
          <a:off x="4116617" y="3917975"/>
          <a:ext cx="3575" cy="74838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75010</xdr:colOff>
      <xdr:row>46</xdr:row>
      <xdr:rowOff>14132</xdr:rowOff>
    </xdr:from>
    <xdr:to>
      <xdr:col>13</xdr:col>
      <xdr:colOff>205978</xdr:colOff>
      <xdr:row>46</xdr:row>
      <xdr:rowOff>20084</xdr:rowOff>
    </xdr:to>
    <xdr:cxnSp macro="">
      <xdr:nvCxnSpPr>
        <xdr:cNvPr id="134" name="Conector recto 133">
          <a:extLst>
            <a:ext uri="{FF2B5EF4-FFF2-40B4-BE49-F238E27FC236}">
              <a16:creationId xmlns:a16="http://schemas.microsoft.com/office/drawing/2014/main" id="{69DFFFAC-19AB-47FA-A9DB-F702D580C2B9}"/>
            </a:ext>
          </a:extLst>
        </xdr:cNvPr>
        <xdr:cNvCxnSpPr/>
      </xdr:nvCxnSpPr>
      <xdr:spPr>
        <a:xfrm>
          <a:off x="2324139" y="7154809"/>
          <a:ext cx="1307766" cy="59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193573</xdr:colOff>
      <xdr:row>46</xdr:row>
      <xdr:rowOff>12291</xdr:rowOff>
    </xdr:from>
    <xdr:to>
      <xdr:col>9</xdr:col>
      <xdr:colOff>196647</xdr:colOff>
      <xdr:row>48</xdr:row>
      <xdr:rowOff>82960</xdr:rowOff>
    </xdr:to>
    <xdr:cxnSp macro="">
      <xdr:nvCxnSpPr>
        <xdr:cNvPr id="135" name="Conector recto de flecha 134">
          <a:extLst>
            <a:ext uri="{FF2B5EF4-FFF2-40B4-BE49-F238E27FC236}">
              <a16:creationId xmlns:a16="http://schemas.microsoft.com/office/drawing/2014/main" id="{597B6D09-FCEF-4636-AA9C-E90F6205A629}"/>
            </a:ext>
          </a:extLst>
        </xdr:cNvPr>
        <xdr:cNvCxnSpPr/>
      </xdr:nvCxnSpPr>
      <xdr:spPr>
        <a:xfrm flipH="1" flipV="1">
          <a:off x="2633202" y="7152968"/>
          <a:ext cx="3074" cy="37792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201217</xdr:colOff>
      <xdr:row>25</xdr:row>
      <xdr:rowOff>32742</xdr:rowOff>
    </xdr:from>
    <xdr:to>
      <xdr:col>15</xdr:col>
      <xdr:colOff>23813</xdr:colOff>
      <xdr:row>25</xdr:row>
      <xdr:rowOff>33337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ACB374C5-329B-4C58-B982-D05B342B5AEE}"/>
            </a:ext>
          </a:extLst>
        </xdr:cNvPr>
        <xdr:cNvCxnSpPr/>
      </xdr:nvCxnSpPr>
      <xdr:spPr>
        <a:xfrm flipH="1" flipV="1">
          <a:off x="3639742" y="2995017"/>
          <a:ext cx="279796" cy="59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27215</xdr:colOff>
      <xdr:row>24</xdr:row>
      <xdr:rowOff>109904</xdr:rowOff>
    </xdr:from>
    <xdr:to>
      <xdr:col>21</xdr:col>
      <xdr:colOff>7328</xdr:colOff>
      <xdr:row>25</xdr:row>
      <xdr:rowOff>146538</xdr:rowOff>
    </xdr:to>
    <xdr:sp macro="" textlink="">
      <xdr:nvSpPr>
        <xdr:cNvPr id="147" name="Rectángulo 146">
          <a:extLst>
            <a:ext uri="{FF2B5EF4-FFF2-40B4-BE49-F238E27FC236}">
              <a16:creationId xmlns:a16="http://schemas.microsoft.com/office/drawing/2014/main" id="{3DA28A6F-4F15-41B4-96F1-603BB372C66E}"/>
            </a:ext>
          </a:extLst>
        </xdr:cNvPr>
        <xdr:cNvSpPr/>
      </xdr:nvSpPr>
      <xdr:spPr>
        <a:xfrm>
          <a:off x="3913910" y="2940190"/>
          <a:ext cx="1271554" cy="190023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15</xdr:col>
      <xdr:colOff>205981</xdr:colOff>
      <xdr:row>25</xdr:row>
      <xdr:rowOff>147368</xdr:rowOff>
    </xdr:from>
    <xdr:to>
      <xdr:col>15</xdr:col>
      <xdr:colOff>208471</xdr:colOff>
      <xdr:row>31</xdr:row>
      <xdr:rowOff>72032</xdr:rowOff>
    </xdr:to>
    <xdr:cxnSp macro="">
      <xdr:nvCxnSpPr>
        <xdr:cNvPr id="127" name="Conector recto de flecha 126">
          <a:extLst>
            <a:ext uri="{FF2B5EF4-FFF2-40B4-BE49-F238E27FC236}">
              <a16:creationId xmlns:a16="http://schemas.microsoft.com/office/drawing/2014/main" id="{3F1735AB-C7A9-4656-8CBC-97FEF57C2DFA}"/>
            </a:ext>
          </a:extLst>
        </xdr:cNvPr>
        <xdr:cNvCxnSpPr/>
      </xdr:nvCxnSpPr>
      <xdr:spPr>
        <a:xfrm flipV="1">
          <a:off x="4116623" y="3087538"/>
          <a:ext cx="2490" cy="83043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163286</xdr:colOff>
      <xdr:row>24</xdr:row>
      <xdr:rowOff>113805</xdr:rowOff>
    </xdr:from>
    <xdr:to>
      <xdr:col>15</xdr:col>
      <xdr:colOff>165760</xdr:colOff>
      <xdr:row>26</xdr:row>
      <xdr:rowOff>2474</xdr:rowOff>
    </xdr:to>
    <xdr:cxnSp macro="">
      <xdr:nvCxnSpPr>
        <xdr:cNvPr id="149" name="Conector recto de flecha 148">
          <a:extLst>
            <a:ext uri="{FF2B5EF4-FFF2-40B4-BE49-F238E27FC236}">
              <a16:creationId xmlns:a16="http://schemas.microsoft.com/office/drawing/2014/main" id="{B99DD679-5B7C-466C-B418-24AC6D0E494B}"/>
            </a:ext>
          </a:extLst>
        </xdr:cNvPr>
        <xdr:cNvCxnSpPr/>
      </xdr:nvCxnSpPr>
      <xdr:spPr>
        <a:xfrm>
          <a:off x="4049981" y="2936669"/>
          <a:ext cx="2474" cy="195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88076</xdr:colOff>
      <xdr:row>24</xdr:row>
      <xdr:rowOff>110343</xdr:rowOff>
    </xdr:from>
    <xdr:to>
      <xdr:col>16</xdr:col>
      <xdr:colOff>90550</xdr:colOff>
      <xdr:row>25</xdr:row>
      <xdr:rowOff>152402</xdr:rowOff>
    </xdr:to>
    <xdr:cxnSp macro="">
      <xdr:nvCxnSpPr>
        <xdr:cNvPr id="151" name="Conector recto de flecha 150">
          <a:extLst>
            <a:ext uri="{FF2B5EF4-FFF2-40B4-BE49-F238E27FC236}">
              <a16:creationId xmlns:a16="http://schemas.microsoft.com/office/drawing/2014/main" id="{8F87AE36-2505-4CCD-98F6-5F495FE81B1B}"/>
            </a:ext>
          </a:extLst>
        </xdr:cNvPr>
        <xdr:cNvCxnSpPr/>
      </xdr:nvCxnSpPr>
      <xdr:spPr>
        <a:xfrm>
          <a:off x="4202381" y="2933207"/>
          <a:ext cx="2474" cy="195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12865</xdr:colOff>
      <xdr:row>24</xdr:row>
      <xdr:rowOff>111829</xdr:rowOff>
    </xdr:from>
    <xdr:to>
      <xdr:col>17</xdr:col>
      <xdr:colOff>15339</xdr:colOff>
      <xdr:row>26</xdr:row>
      <xdr:rowOff>498</xdr:rowOff>
    </xdr:to>
    <xdr:cxnSp macro="">
      <xdr:nvCxnSpPr>
        <xdr:cNvPr id="152" name="Conector recto de flecha 151">
          <a:extLst>
            <a:ext uri="{FF2B5EF4-FFF2-40B4-BE49-F238E27FC236}">
              <a16:creationId xmlns:a16="http://schemas.microsoft.com/office/drawing/2014/main" id="{9B4F1336-36EC-437D-9257-4BADA7AB4902}"/>
            </a:ext>
          </a:extLst>
        </xdr:cNvPr>
        <xdr:cNvCxnSpPr/>
      </xdr:nvCxnSpPr>
      <xdr:spPr>
        <a:xfrm>
          <a:off x="4354781" y="2934693"/>
          <a:ext cx="2474" cy="195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165265</xdr:colOff>
      <xdr:row>24</xdr:row>
      <xdr:rowOff>113315</xdr:rowOff>
    </xdr:from>
    <xdr:to>
      <xdr:col>17</xdr:col>
      <xdr:colOff>167739</xdr:colOff>
      <xdr:row>26</xdr:row>
      <xdr:rowOff>1984</xdr:rowOff>
    </xdr:to>
    <xdr:cxnSp macro="">
      <xdr:nvCxnSpPr>
        <xdr:cNvPr id="153" name="Conector recto de flecha 152">
          <a:extLst>
            <a:ext uri="{FF2B5EF4-FFF2-40B4-BE49-F238E27FC236}">
              <a16:creationId xmlns:a16="http://schemas.microsoft.com/office/drawing/2014/main" id="{B699E776-58B5-4122-8929-7A61C528FF66}"/>
            </a:ext>
          </a:extLst>
        </xdr:cNvPr>
        <xdr:cNvCxnSpPr/>
      </xdr:nvCxnSpPr>
      <xdr:spPr>
        <a:xfrm>
          <a:off x="4507181" y="2936179"/>
          <a:ext cx="2474" cy="195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90055</xdr:colOff>
      <xdr:row>24</xdr:row>
      <xdr:rowOff>109853</xdr:rowOff>
    </xdr:from>
    <xdr:to>
      <xdr:col>18</xdr:col>
      <xdr:colOff>92529</xdr:colOff>
      <xdr:row>25</xdr:row>
      <xdr:rowOff>151912</xdr:rowOff>
    </xdr:to>
    <xdr:cxnSp macro="">
      <xdr:nvCxnSpPr>
        <xdr:cNvPr id="154" name="Conector recto de flecha 153">
          <a:extLst>
            <a:ext uri="{FF2B5EF4-FFF2-40B4-BE49-F238E27FC236}">
              <a16:creationId xmlns:a16="http://schemas.microsoft.com/office/drawing/2014/main" id="{75DE4F58-7CE3-4572-B62C-854A5ACB435E}"/>
            </a:ext>
          </a:extLst>
        </xdr:cNvPr>
        <xdr:cNvCxnSpPr/>
      </xdr:nvCxnSpPr>
      <xdr:spPr>
        <a:xfrm>
          <a:off x="4659581" y="2932717"/>
          <a:ext cx="2474" cy="195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14845</xdr:colOff>
      <xdr:row>24</xdr:row>
      <xdr:rowOff>106391</xdr:rowOff>
    </xdr:from>
    <xdr:to>
      <xdr:col>19</xdr:col>
      <xdr:colOff>17319</xdr:colOff>
      <xdr:row>25</xdr:row>
      <xdr:rowOff>148450</xdr:rowOff>
    </xdr:to>
    <xdr:cxnSp macro="">
      <xdr:nvCxnSpPr>
        <xdr:cNvPr id="155" name="Conector recto de flecha 154">
          <a:extLst>
            <a:ext uri="{FF2B5EF4-FFF2-40B4-BE49-F238E27FC236}">
              <a16:creationId xmlns:a16="http://schemas.microsoft.com/office/drawing/2014/main" id="{90641FCC-14E4-4A7D-868E-2AF91C30EE99}"/>
            </a:ext>
          </a:extLst>
        </xdr:cNvPr>
        <xdr:cNvCxnSpPr/>
      </xdr:nvCxnSpPr>
      <xdr:spPr>
        <a:xfrm>
          <a:off x="4811981" y="2929255"/>
          <a:ext cx="2474" cy="195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13855</xdr:colOff>
      <xdr:row>24</xdr:row>
      <xdr:rowOff>105403</xdr:rowOff>
    </xdr:from>
    <xdr:to>
      <xdr:col>20</xdr:col>
      <xdr:colOff>16329</xdr:colOff>
      <xdr:row>25</xdr:row>
      <xdr:rowOff>147462</xdr:rowOff>
    </xdr:to>
    <xdr:cxnSp macro="">
      <xdr:nvCxnSpPr>
        <xdr:cNvPr id="156" name="Conector recto de flecha 155">
          <a:extLst>
            <a:ext uri="{FF2B5EF4-FFF2-40B4-BE49-F238E27FC236}">
              <a16:creationId xmlns:a16="http://schemas.microsoft.com/office/drawing/2014/main" id="{99AD9838-6888-4F78-8302-365FBBC6429F}"/>
            </a:ext>
          </a:extLst>
        </xdr:cNvPr>
        <xdr:cNvCxnSpPr/>
      </xdr:nvCxnSpPr>
      <xdr:spPr>
        <a:xfrm>
          <a:off x="4964381" y="2928267"/>
          <a:ext cx="2474" cy="195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166255</xdr:colOff>
      <xdr:row>24</xdr:row>
      <xdr:rowOff>106889</xdr:rowOff>
    </xdr:from>
    <xdr:to>
      <xdr:col>20</xdr:col>
      <xdr:colOff>168729</xdr:colOff>
      <xdr:row>25</xdr:row>
      <xdr:rowOff>148948</xdr:rowOff>
    </xdr:to>
    <xdr:cxnSp macro="">
      <xdr:nvCxnSpPr>
        <xdr:cNvPr id="157" name="Conector recto de flecha 156">
          <a:extLst>
            <a:ext uri="{FF2B5EF4-FFF2-40B4-BE49-F238E27FC236}">
              <a16:creationId xmlns:a16="http://schemas.microsoft.com/office/drawing/2014/main" id="{2682ABB4-9D3D-44E6-B1A7-EFA783FF54B3}"/>
            </a:ext>
          </a:extLst>
        </xdr:cNvPr>
        <xdr:cNvCxnSpPr/>
      </xdr:nvCxnSpPr>
      <xdr:spPr>
        <a:xfrm>
          <a:off x="5116781" y="2929753"/>
          <a:ext cx="2474" cy="1954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219808</xdr:colOff>
      <xdr:row>227</xdr:row>
      <xdr:rowOff>115137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144 CuadroTexto">
              <a:extLst>
                <a:ext uri="{FF2B5EF4-FFF2-40B4-BE49-F238E27FC236}">
                  <a16:creationId xmlns:a16="http://schemas.microsoft.com/office/drawing/2014/main" id="{5A096C21-0C82-43F0-963F-8F2B193E2527}"/>
                </a:ext>
              </a:extLst>
            </xdr:cNvPr>
            <xdr:cNvSpPr txBox="1"/>
          </xdr:nvSpPr>
          <xdr:spPr>
            <a:xfrm>
              <a:off x="8132885" y="35357637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9" name="144 CuadroTexto">
              <a:extLst>
                <a:ext uri="{FF2B5EF4-FFF2-40B4-BE49-F238E27FC236}">
                  <a16:creationId xmlns:a16="http://schemas.microsoft.com/office/drawing/2014/main" id="{5A096C21-0C82-43F0-963F-8F2B193E2527}"/>
                </a:ext>
              </a:extLst>
            </xdr:cNvPr>
            <xdr:cNvSpPr txBox="1"/>
          </xdr:nvSpPr>
          <xdr:spPr>
            <a:xfrm>
              <a:off x="8132885" y="35357637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36</xdr:col>
      <xdr:colOff>282611</xdr:colOff>
      <xdr:row>227</xdr:row>
      <xdr:rowOff>83736</xdr:rowOff>
    </xdr:from>
    <xdr:ext cx="1130439" cy="316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145 CuadroTexto">
              <a:extLst>
                <a:ext uri="{FF2B5EF4-FFF2-40B4-BE49-F238E27FC236}">
                  <a16:creationId xmlns:a16="http://schemas.microsoft.com/office/drawing/2014/main" id="{174620C7-AF8D-4579-B9E5-8475AC83311D}"/>
                </a:ext>
              </a:extLst>
            </xdr:cNvPr>
            <xdr:cNvSpPr txBox="1"/>
          </xdr:nvSpPr>
          <xdr:spPr>
            <a:xfrm>
              <a:off x="9629671" y="35357637"/>
              <a:ext cx="1130439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a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As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0.85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0" name="145 CuadroTexto">
              <a:extLst>
                <a:ext uri="{FF2B5EF4-FFF2-40B4-BE49-F238E27FC236}">
                  <a16:creationId xmlns:a16="http://schemas.microsoft.com/office/drawing/2014/main" id="{174620C7-AF8D-4579-B9E5-8475AC83311D}"/>
                </a:ext>
              </a:extLst>
            </xdr:cNvPr>
            <xdr:cNvSpPr txBox="1"/>
          </xdr:nvSpPr>
          <xdr:spPr>
            <a:xfrm>
              <a:off x="9629671" y="35357637"/>
              <a:ext cx="1130439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𝑏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43</xdr:col>
      <xdr:colOff>104670</xdr:colOff>
      <xdr:row>227</xdr:row>
      <xdr:rowOff>126127</xdr:rowOff>
    </xdr:from>
    <xdr:ext cx="159067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29 CuadroTexto">
              <a:extLst>
                <a:ext uri="{FF2B5EF4-FFF2-40B4-BE49-F238E27FC236}">
                  <a16:creationId xmlns:a16="http://schemas.microsoft.com/office/drawing/2014/main" id="{6A255A59-016D-4306-8E63-2EF292A339F9}"/>
                </a:ext>
              </a:extLst>
            </xdr:cNvPr>
            <xdr:cNvSpPr txBox="1"/>
          </xdr:nvSpPr>
          <xdr:spPr>
            <a:xfrm>
              <a:off x="11650331" y="34463752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104" name="29 CuadroTexto">
              <a:extLst>
                <a:ext uri="{FF2B5EF4-FFF2-40B4-BE49-F238E27FC236}">
                  <a16:creationId xmlns:a16="http://schemas.microsoft.com/office/drawing/2014/main" id="{6A255A59-016D-4306-8E63-2EF292A339F9}"/>
                </a:ext>
              </a:extLst>
            </xdr:cNvPr>
            <xdr:cNvSpPr txBox="1"/>
          </xdr:nvSpPr>
          <xdr:spPr>
            <a:xfrm>
              <a:off x="11650331" y="34463752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r - 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40</xdr:col>
      <xdr:colOff>177940</xdr:colOff>
      <xdr:row>227</xdr:row>
      <xdr:rowOff>122464</xdr:rowOff>
    </xdr:from>
    <xdr:ext cx="1067638" cy="2616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29 CuadroTexto">
              <a:extLst>
                <a:ext uri="{FF2B5EF4-FFF2-40B4-BE49-F238E27FC236}">
                  <a16:creationId xmlns:a16="http://schemas.microsoft.com/office/drawing/2014/main" id="{97F123AD-829F-48A6-8602-855ACB922B5D}"/>
                </a:ext>
              </a:extLst>
            </xdr:cNvPr>
            <xdr:cNvSpPr txBox="1"/>
          </xdr:nvSpPr>
          <xdr:spPr>
            <a:xfrm>
              <a:off x="10784708" y="34460089"/>
              <a:ext cx="1067638" cy="261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1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10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5" name="29 CuadroTexto">
              <a:extLst>
                <a:ext uri="{FF2B5EF4-FFF2-40B4-BE49-F238E27FC236}">
                  <a16:creationId xmlns:a16="http://schemas.microsoft.com/office/drawing/2014/main" id="{97F123AD-829F-48A6-8602-855ACB922B5D}"/>
                </a:ext>
              </a:extLst>
            </xdr:cNvPr>
            <xdr:cNvSpPr txBox="1"/>
          </xdr:nvSpPr>
          <xdr:spPr>
            <a:xfrm>
              <a:off x="10784708" y="34460089"/>
              <a:ext cx="1067638" cy="2616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1000" i="0">
                  <a:effectLst/>
                </a:rPr>
                <a:t> </a:t>
              </a:r>
              <a:r>
                <a:rPr lang="es-PE" sz="1000" i="0">
                  <a:effectLst/>
                  <a:latin typeface="Cambria Math" panose="02040503050406030204" pitchFamily="18" charset="0"/>
                </a:rPr>
                <a:t>" </a:t>
              </a:r>
              <a:endParaRPr lang="es-PE" sz="100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32</xdr:col>
      <xdr:colOff>251210</xdr:colOff>
      <xdr:row>297</xdr:row>
      <xdr:rowOff>125606</xdr:rowOff>
    </xdr:from>
    <xdr:ext cx="1559587" cy="2302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118 CuadroTexto">
              <a:extLst>
                <a:ext uri="{FF2B5EF4-FFF2-40B4-BE49-F238E27FC236}">
                  <a16:creationId xmlns:a16="http://schemas.microsoft.com/office/drawing/2014/main" id="{C68AD9F6-E1A5-4CFB-BD72-7E73EEB56009}"/>
                </a:ext>
              </a:extLst>
            </xdr:cNvPr>
            <xdr:cNvSpPr txBox="1"/>
          </xdr:nvSpPr>
          <xdr:spPr>
            <a:xfrm>
              <a:off x="8342226" y="47174919"/>
              <a:ext cx="1559587" cy="230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b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Vc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=0.53 </m:t>
                    </m:r>
                    <m:r>
                      <m:rPr>
                        <m:nor/>
                      </m:rPr>
                      <a:rPr lang="es-PE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m:rPr>
                        <m:nor/>
                      </m:rP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es-PE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f</m:t>
                        </m:r>
                        <m: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sty m:val="p"/>
                          </m:rPr>
                          <a:rPr lang="es-PE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c</m:t>
                        </m:r>
                        <m:r>
                          <a:rPr lang="es-ES" sz="10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rad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b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·</m:t>
                    </m:r>
                    <m: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s-PE" sz="1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s-PE" sz="100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6" name="118 CuadroTexto">
              <a:extLst>
                <a:ext uri="{FF2B5EF4-FFF2-40B4-BE49-F238E27FC236}">
                  <a16:creationId xmlns:a16="http://schemas.microsoft.com/office/drawing/2014/main" id="{C68AD9F6-E1A5-4CFB-BD72-7E73EEB56009}"/>
                </a:ext>
              </a:extLst>
            </xdr:cNvPr>
            <xdr:cNvSpPr txBox="1"/>
          </xdr:nvSpPr>
          <xdr:spPr>
            <a:xfrm>
              <a:off x="8342226" y="47174919"/>
              <a:ext cx="1559587" cy="2302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b">
              <a:noAutofit/>
            </a:bodyPr>
            <a:lstStyle/>
            <a:p>
              <a:pPr marL="0" indent="0"/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Vc=0.53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√(f’c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b 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d</a:t>
              </a:r>
              <a:r>
                <a:rPr lang="es-P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"</a:t>
              </a:r>
            </a:p>
          </xdr:txBody>
        </xdr:sp>
      </mc:Fallback>
    </mc:AlternateContent>
    <xdr:clientData/>
  </xdr:oneCellAnchor>
  <xdr:twoCellAnchor>
    <xdr:from>
      <xdr:col>15</xdr:col>
      <xdr:colOff>24580</xdr:colOff>
      <xdr:row>46</xdr:row>
      <xdr:rowOff>119831</xdr:rowOff>
    </xdr:from>
    <xdr:to>
      <xdr:col>18</xdr:col>
      <xdr:colOff>52233</xdr:colOff>
      <xdr:row>46</xdr:row>
      <xdr:rowOff>119831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DC9A1233-E84E-48E0-B7AB-1F5809EC3EF6}"/>
            </a:ext>
          </a:extLst>
        </xdr:cNvPr>
        <xdr:cNvCxnSpPr/>
      </xdr:nvCxnSpPr>
      <xdr:spPr>
        <a:xfrm>
          <a:off x="3905249" y="7260508"/>
          <a:ext cx="709766" cy="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203575</xdr:colOff>
      <xdr:row>41</xdr:row>
      <xdr:rowOff>73221</xdr:rowOff>
    </xdr:from>
    <xdr:to>
      <xdr:col>15</xdr:col>
      <xdr:colOff>205863</xdr:colOff>
      <xdr:row>46</xdr:row>
      <xdr:rowOff>116758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F25E213E-B52D-4DB0-9909-E3931ED5F92B}"/>
            </a:ext>
          </a:extLst>
        </xdr:cNvPr>
        <xdr:cNvCxnSpPr/>
      </xdr:nvCxnSpPr>
      <xdr:spPr>
        <a:xfrm flipH="1" flipV="1">
          <a:off x="4084244" y="6445753"/>
          <a:ext cx="2288" cy="81168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205863</xdr:colOff>
      <xdr:row>25</xdr:row>
      <xdr:rowOff>146538</xdr:rowOff>
    </xdr:from>
    <xdr:to>
      <xdr:col>17</xdr:col>
      <xdr:colOff>207772</xdr:colOff>
      <xdr:row>46</xdr:row>
      <xdr:rowOff>116758</xdr:rowOff>
    </xdr:to>
    <xdr:cxnSp macro="">
      <xdr:nvCxnSpPr>
        <xdr:cNvPr id="116" name="Conector recto de flecha 115">
          <a:extLst>
            <a:ext uri="{FF2B5EF4-FFF2-40B4-BE49-F238E27FC236}">
              <a16:creationId xmlns:a16="http://schemas.microsoft.com/office/drawing/2014/main" id="{1D8740C1-4419-4D8D-9A6C-A8DB2B47A706}"/>
            </a:ext>
          </a:extLst>
        </xdr:cNvPr>
        <xdr:cNvCxnSpPr>
          <a:endCxn id="147" idx="2"/>
        </xdr:cNvCxnSpPr>
      </xdr:nvCxnSpPr>
      <xdr:spPr>
        <a:xfrm flipV="1">
          <a:off x="4558788" y="4032738"/>
          <a:ext cx="1909" cy="317062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14133</xdr:colOff>
      <xdr:row>48</xdr:row>
      <xdr:rowOff>81731</xdr:rowOff>
    </xdr:from>
    <xdr:to>
      <xdr:col>18</xdr:col>
      <xdr:colOff>41786</xdr:colOff>
      <xdr:row>48</xdr:row>
      <xdr:rowOff>81731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7CC7CCD6-334D-4DE8-862B-A2BD92CBB7B7}"/>
            </a:ext>
          </a:extLst>
        </xdr:cNvPr>
        <xdr:cNvCxnSpPr/>
      </xdr:nvCxnSpPr>
      <xdr:spPr>
        <a:xfrm>
          <a:off x="3894802" y="7529666"/>
          <a:ext cx="709766" cy="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205863</xdr:colOff>
      <xdr:row>46</xdr:row>
      <xdr:rowOff>119830</xdr:rowOff>
    </xdr:from>
    <xdr:to>
      <xdr:col>15</xdr:col>
      <xdr:colOff>205867</xdr:colOff>
      <xdr:row>48</xdr:row>
      <xdr:rowOff>86033</xdr:rowOff>
    </xdr:to>
    <xdr:cxnSp macro="">
      <xdr:nvCxnSpPr>
        <xdr:cNvPr id="115" name="Conector recto de flecha 114">
          <a:extLst>
            <a:ext uri="{FF2B5EF4-FFF2-40B4-BE49-F238E27FC236}">
              <a16:creationId xmlns:a16="http://schemas.microsoft.com/office/drawing/2014/main" id="{0D36A149-0DC3-4676-9C4A-26421D0C7F81}"/>
            </a:ext>
          </a:extLst>
        </xdr:cNvPr>
        <xdr:cNvCxnSpPr/>
      </xdr:nvCxnSpPr>
      <xdr:spPr>
        <a:xfrm flipV="1">
          <a:off x="4086532" y="7260507"/>
          <a:ext cx="4" cy="273461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94585</xdr:colOff>
      <xdr:row>175</xdr:row>
      <xdr:rowOff>7328</xdr:rowOff>
    </xdr:from>
    <xdr:to>
      <xdr:col>14</xdr:col>
      <xdr:colOff>165189</xdr:colOff>
      <xdr:row>205</xdr:row>
      <xdr:rowOff>87923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F178E6D0-65D1-48D8-A690-B4CCC9033B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770" t="20018" r="45455" b="16267"/>
        <a:stretch/>
      </xdr:blipFill>
      <xdr:spPr>
        <a:xfrm>
          <a:off x="2534450" y="27116943"/>
          <a:ext cx="1286874" cy="4718538"/>
        </a:xfrm>
        <a:prstGeom prst="rect">
          <a:avLst/>
        </a:prstGeom>
      </xdr:spPr>
    </xdr:pic>
    <xdr:clientData/>
  </xdr:twoCellAnchor>
  <xdr:twoCellAnchor editAs="oneCell">
    <xdr:from>
      <xdr:col>18</xdr:col>
      <xdr:colOff>58620</xdr:colOff>
      <xdr:row>176</xdr:row>
      <xdr:rowOff>87923</xdr:rowOff>
    </xdr:from>
    <xdr:to>
      <xdr:col>22</xdr:col>
      <xdr:colOff>80601</xdr:colOff>
      <xdr:row>203</xdr:row>
      <xdr:rowOff>86865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E127449E-9A6F-4D3A-860C-235F768584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428" t="22365" r="45303" b="18781"/>
        <a:stretch/>
      </xdr:blipFill>
      <xdr:spPr>
        <a:xfrm>
          <a:off x="4623293" y="27351404"/>
          <a:ext cx="1164981" cy="4160634"/>
        </a:xfrm>
        <a:prstGeom prst="rect">
          <a:avLst/>
        </a:prstGeom>
      </xdr:spPr>
    </xdr:pic>
    <xdr:clientData/>
  </xdr:twoCellAnchor>
  <xdr:twoCellAnchor editAs="oneCell">
    <xdr:from>
      <xdr:col>2</xdr:col>
      <xdr:colOff>102577</xdr:colOff>
      <xdr:row>176</xdr:row>
      <xdr:rowOff>102199</xdr:rowOff>
    </xdr:from>
    <xdr:to>
      <xdr:col>5</xdr:col>
      <xdr:colOff>124556</xdr:colOff>
      <xdr:row>203</xdr:row>
      <xdr:rowOff>129575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6DFD3646-24AA-409C-8A67-699EF0C5A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6409" t="22122" r="45407" b="19301"/>
        <a:stretch/>
      </xdr:blipFill>
      <xdr:spPr>
        <a:xfrm>
          <a:off x="652096" y="27365680"/>
          <a:ext cx="1040422" cy="4189068"/>
        </a:xfrm>
        <a:prstGeom prst="rect">
          <a:avLst/>
        </a:prstGeom>
      </xdr:spPr>
    </xdr:pic>
    <xdr:clientData/>
  </xdr:twoCellAnchor>
  <xdr:twoCellAnchor editAs="oneCell">
    <xdr:from>
      <xdr:col>6</xdr:col>
      <xdr:colOff>146539</xdr:colOff>
      <xdr:row>210</xdr:row>
      <xdr:rowOff>146538</xdr:rowOff>
    </xdr:from>
    <xdr:to>
      <xdr:col>14</xdr:col>
      <xdr:colOff>41297</xdr:colOff>
      <xdr:row>252</xdr:row>
      <xdr:rowOff>56172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E439EBCB-F488-49B0-A4BA-3FA9DC847F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770" t="20018" r="45455" b="16267"/>
        <a:stretch/>
      </xdr:blipFill>
      <xdr:spPr>
        <a:xfrm>
          <a:off x="1941635" y="32729365"/>
          <a:ext cx="1755797" cy="6437922"/>
        </a:xfrm>
        <a:prstGeom prst="rect">
          <a:avLst/>
        </a:prstGeom>
      </xdr:spPr>
    </xdr:pic>
    <xdr:clientData/>
  </xdr:twoCellAnchor>
  <xdr:twoCellAnchor editAs="oneCell">
    <xdr:from>
      <xdr:col>6</xdr:col>
      <xdr:colOff>190498</xdr:colOff>
      <xdr:row>259</xdr:row>
      <xdr:rowOff>49197</xdr:rowOff>
    </xdr:from>
    <xdr:to>
      <xdr:col>14</xdr:col>
      <xdr:colOff>7324</xdr:colOff>
      <xdr:row>297</xdr:row>
      <xdr:rowOff>143382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1F27B8FB-F449-4AA5-8D1D-1A1497A933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428" t="22365" r="45303" b="18781"/>
        <a:stretch/>
      </xdr:blipFill>
      <xdr:spPr>
        <a:xfrm>
          <a:off x="1985594" y="40237370"/>
          <a:ext cx="1677865" cy="5992358"/>
        </a:xfrm>
        <a:prstGeom prst="rect">
          <a:avLst/>
        </a:prstGeom>
      </xdr:spPr>
    </xdr:pic>
    <xdr:clientData/>
  </xdr:twoCellAnchor>
  <xdr:twoCellAnchor editAs="oneCell">
    <xdr:from>
      <xdr:col>25</xdr:col>
      <xdr:colOff>47625</xdr:colOff>
      <xdr:row>4</xdr:row>
      <xdr:rowOff>47625</xdr:rowOff>
    </xdr:from>
    <xdr:to>
      <xdr:col>32</xdr:col>
      <xdr:colOff>258828</xdr:colOff>
      <xdr:row>15</xdr:row>
      <xdr:rowOff>47625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352A12BA-0350-40EA-BA1B-8B88655B69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36" r="10019" b="35387"/>
        <a:stretch/>
      </xdr:blipFill>
      <xdr:spPr bwMode="auto">
        <a:xfrm>
          <a:off x="6705600" y="828675"/>
          <a:ext cx="2220978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314324</xdr:colOff>
      <xdr:row>314</xdr:row>
      <xdr:rowOff>133350</xdr:rowOff>
    </xdr:from>
    <xdr:to>
      <xdr:col>23</xdr:col>
      <xdr:colOff>133349</xdr:colOff>
      <xdr:row>345</xdr:row>
      <xdr:rowOff>146178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BEFF81D-BBB4-4E28-8B27-7A7BEEFA0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9" y="48796575"/>
          <a:ext cx="4943475" cy="47562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C\Desktop\HOJAS%20DE%20CALCULO\DISE&#209;O%20SOTANOS_MONONOBE%20OKABE%20_T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ORIA"/>
      <sheetName val="CALCULO"/>
      <sheetName val="SAP 2000 -ELEMENTO SHELL"/>
      <sheetName val="CALCULO (2)"/>
      <sheetName val="ETABS -VIGA"/>
      <sheetName val="MONONOBE OKABE"/>
    </sheetNames>
    <sheetDataSet>
      <sheetData sheetId="0"/>
      <sheetData sheetId="1">
        <row r="4">
          <cell r="AY4" t="str">
            <v>ø 8mm</v>
          </cell>
          <cell r="AZ4">
            <v>0.5</v>
          </cell>
        </row>
        <row r="5">
          <cell r="AY5" t="str">
            <v>ø 3/8"</v>
          </cell>
          <cell r="AZ5">
            <v>0.71</v>
          </cell>
        </row>
        <row r="6">
          <cell r="AY6" t="str">
            <v>ø 1/2"</v>
          </cell>
          <cell r="AZ6">
            <v>1.29</v>
          </cell>
        </row>
        <row r="7">
          <cell r="AY7" t="str">
            <v>ø 5/8"</v>
          </cell>
          <cell r="AZ7">
            <v>1.98</v>
          </cell>
        </row>
        <row r="8">
          <cell r="AY8" t="str">
            <v>ø 3/4"</v>
          </cell>
          <cell r="AZ8">
            <v>2.85</v>
          </cell>
        </row>
        <row r="27">
          <cell r="AC27" t="str">
            <v>ø 1/2"@0.15</v>
          </cell>
          <cell r="AJ27">
            <v>7.146948816000001</v>
          </cell>
          <cell r="AM27">
            <v>5.3590088160000011</v>
          </cell>
        </row>
        <row r="28">
          <cell r="AC28" t="str">
            <v>Malla+ø 8mm@0.15</v>
          </cell>
          <cell r="AJ28">
            <v>9.7396592160000015</v>
          </cell>
          <cell r="AM28">
            <v>7.2587192160000011</v>
          </cell>
        </row>
        <row r="29">
          <cell r="AC29" t="str">
            <v>Malla+ø 8mm@0.3</v>
          </cell>
          <cell r="AJ29">
            <v>8.4556940160000007</v>
          </cell>
          <cell r="AM29">
            <v>6.3212540160000001</v>
          </cell>
        </row>
        <row r="30">
          <cell r="AC30" t="str">
            <v>Malla+ø 1/2"@0.15</v>
          </cell>
          <cell r="AJ30">
            <v>13.634115264</v>
          </cell>
          <cell r="AM30">
            <v>10.058235264000002</v>
          </cell>
        </row>
        <row r="31">
          <cell r="AC31" t="str">
            <v>Malla+ø 1/2"@0.3</v>
          </cell>
          <cell r="AJ31">
            <v>10.473004836000001</v>
          </cell>
          <cell r="AM31">
            <v>7.7910948360000001</v>
          </cell>
        </row>
        <row r="32">
          <cell r="AC32" t="str">
            <v>Malla+ø 5/8"@0.15</v>
          </cell>
          <cell r="AJ32">
            <v>16.833159504000005</v>
          </cell>
          <cell r="AM32">
            <v>12.300939504</v>
          </cell>
        </row>
        <row r="33">
          <cell r="AC33" t="str">
            <v>Malla+ø 5/8"@0.3</v>
          </cell>
          <cell r="AJ33">
            <v>12.184349184</v>
          </cell>
          <cell r="AM33">
            <v>9.0242691840000013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430C6-F74F-4324-B3FA-94B3246758AF}">
  <sheetPr>
    <tabColor rgb="FFFF0000"/>
  </sheetPr>
  <dimension ref="A1:CC319"/>
  <sheetViews>
    <sheetView showGridLines="0" tabSelected="1" showRuler="0" zoomScale="80" zoomScaleNormal="80" zoomScalePageLayoutView="115" workbookViewId="0">
      <selection activeCell="I310" sqref="I310"/>
    </sheetView>
  </sheetViews>
  <sheetFormatPr defaultColWidth="3.44140625" defaultRowHeight="12" x14ac:dyDescent="0.25"/>
  <cols>
    <col min="1" max="1" width="4.88671875" style="3" customWidth="1"/>
    <col min="2" max="2" width="3.44140625" style="3"/>
    <col min="3" max="3" width="7.109375" style="3" customWidth="1"/>
    <col min="4" max="4" width="4.6640625" style="3" customWidth="1"/>
    <col min="5" max="8" width="3.44140625" style="3"/>
    <col min="9" max="9" width="2.88671875" style="3" customWidth="1"/>
    <col min="10" max="10" width="3.44140625" style="3"/>
    <col min="11" max="11" width="4.5546875" style="3" customWidth="1"/>
    <col min="12" max="19" width="3.44140625" style="3"/>
    <col min="20" max="20" width="2.33203125" style="3" customWidth="1"/>
    <col min="21" max="21" width="3.44140625" style="3"/>
    <col min="22" max="22" width="8" style="3" bestFit="1" customWidth="1"/>
    <col min="23" max="28" width="3.44140625" style="3"/>
    <col min="29" max="51" width="4.6640625" style="3" customWidth="1"/>
    <col min="52" max="52" width="5.44140625" style="3" customWidth="1"/>
    <col min="53" max="53" width="1.44140625" style="129" customWidth="1"/>
    <col min="54" max="55" width="3.44140625" style="3"/>
    <col min="56" max="56" width="7.5546875" style="3" bestFit="1" customWidth="1"/>
    <col min="57" max="62" width="3.44140625" style="3"/>
    <col min="63" max="63" width="7.44140625" style="3" customWidth="1"/>
    <col min="64" max="70" width="3.44140625" style="3"/>
    <col min="71" max="71" width="4.33203125" style="3" customWidth="1"/>
    <col min="72" max="72" width="9.6640625" style="3" customWidth="1"/>
    <col min="73" max="74" width="19.109375" style="3" customWidth="1"/>
    <col min="75" max="77" width="3.44140625" style="3"/>
    <col min="78" max="78" width="17.88671875" style="3" customWidth="1"/>
    <col min="79" max="79" width="3.109375" style="3" customWidth="1"/>
    <col min="80" max="80" width="12.6640625" style="3" customWidth="1"/>
    <col min="81" max="81" width="10.88671875" style="3" customWidth="1"/>
    <col min="82" max="82" width="5.33203125" style="3" bestFit="1" customWidth="1"/>
    <col min="83" max="83" width="11.33203125" style="3" customWidth="1"/>
    <col min="84" max="84" width="3.44140625" style="3"/>
    <col min="85" max="85" width="4.44140625" style="3" bestFit="1" customWidth="1"/>
    <col min="86" max="16384" width="3.44140625" style="3"/>
  </cols>
  <sheetData>
    <row r="1" spans="1:32" ht="15" customHeight="1" x14ac:dyDescent="0.25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spans="1:32" ht="22.8" x14ac:dyDescent="0.25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</row>
    <row r="3" spans="1:32" x14ac:dyDescent="0.25"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32" x14ac:dyDescent="0.25">
      <c r="A4" s="93" t="s">
        <v>1</v>
      </c>
      <c r="B4" s="93"/>
      <c r="C4" s="93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6" spans="1:32" x14ac:dyDescent="0.25">
      <c r="A6" s="3" t="s">
        <v>3</v>
      </c>
      <c r="B6" s="85" t="s">
        <v>19</v>
      </c>
      <c r="C6" s="85"/>
      <c r="D6" s="94">
        <v>210</v>
      </c>
      <c r="E6" s="94"/>
      <c r="F6" s="94"/>
      <c r="G6" s="3" t="s">
        <v>184</v>
      </c>
    </row>
    <row r="7" spans="1:32" x14ac:dyDescent="0.25">
      <c r="B7" s="85" t="s">
        <v>20</v>
      </c>
      <c r="C7" s="85"/>
      <c r="D7" s="94">
        <v>4200</v>
      </c>
      <c r="E7" s="94"/>
      <c r="F7" s="94"/>
      <c r="G7" s="3" t="s">
        <v>185</v>
      </c>
    </row>
    <row r="8" spans="1:32" x14ac:dyDescent="0.25">
      <c r="B8" s="85" t="s">
        <v>21</v>
      </c>
      <c r="C8" s="85"/>
      <c r="D8" s="86">
        <v>1</v>
      </c>
      <c r="E8" s="86"/>
      <c r="F8" s="86"/>
      <c r="G8" s="3" t="s">
        <v>188</v>
      </c>
    </row>
    <row r="9" spans="1:32" ht="13.5" customHeight="1" x14ac:dyDescent="0.25">
      <c r="B9" s="85" t="s">
        <v>49</v>
      </c>
      <c r="C9" s="85"/>
      <c r="D9" s="92">
        <v>2</v>
      </c>
      <c r="E9" s="92"/>
      <c r="F9" s="92"/>
      <c r="G9" s="3" t="s">
        <v>56</v>
      </c>
    </row>
    <row r="10" spans="1:32" x14ac:dyDescent="0.25">
      <c r="B10" s="85" t="s">
        <v>30</v>
      </c>
      <c r="C10" s="85"/>
      <c r="D10" s="96">
        <v>33</v>
      </c>
      <c r="E10" s="96"/>
      <c r="F10" s="96"/>
      <c r="G10" s="3" t="s">
        <v>26</v>
      </c>
    </row>
    <row r="11" spans="1:32" ht="15" customHeight="1" x14ac:dyDescent="0.25">
      <c r="B11" s="85" t="s">
        <v>22</v>
      </c>
      <c r="C11" s="85"/>
      <c r="D11" s="95">
        <v>1.9</v>
      </c>
      <c r="E11" s="95"/>
      <c r="F11" s="95"/>
      <c r="G11" s="3" t="s">
        <v>60</v>
      </c>
    </row>
    <row r="12" spans="1:32" x14ac:dyDescent="0.25">
      <c r="B12" s="13"/>
      <c r="C12" s="13" t="s">
        <v>108</v>
      </c>
      <c r="D12" s="106">
        <v>3</v>
      </c>
      <c r="E12" s="106"/>
      <c r="F12" s="106"/>
      <c r="G12" s="3" t="s">
        <v>109</v>
      </c>
    </row>
    <row r="13" spans="1:32" x14ac:dyDescent="0.25">
      <c r="B13" s="13"/>
      <c r="C13" s="13" t="s">
        <v>110</v>
      </c>
      <c r="D13" s="106">
        <v>3</v>
      </c>
      <c r="E13" s="106"/>
      <c r="F13" s="106"/>
      <c r="G13" s="3" t="s">
        <v>113</v>
      </c>
    </row>
    <row r="14" spans="1:32" x14ac:dyDescent="0.25">
      <c r="B14" s="13"/>
      <c r="C14" s="13" t="s">
        <v>111</v>
      </c>
      <c r="D14" s="106">
        <v>3</v>
      </c>
      <c r="E14" s="106"/>
      <c r="F14" s="106"/>
      <c r="G14" s="3" t="s">
        <v>114</v>
      </c>
    </row>
    <row r="15" spans="1:32" x14ac:dyDescent="0.25">
      <c r="B15" s="13"/>
      <c r="C15" s="13" t="s">
        <v>112</v>
      </c>
      <c r="D15" s="106">
        <v>3</v>
      </c>
      <c r="E15" s="106"/>
      <c r="F15" s="106"/>
      <c r="G15" s="3" t="s">
        <v>115</v>
      </c>
    </row>
    <row r="16" spans="1:32" x14ac:dyDescent="0.25">
      <c r="C16" s="13" t="s">
        <v>50</v>
      </c>
      <c r="D16" s="92">
        <v>4</v>
      </c>
      <c r="E16" s="92"/>
      <c r="F16" s="92"/>
      <c r="G16" s="3" t="s">
        <v>64</v>
      </c>
    </row>
    <row r="17" spans="1:23" x14ac:dyDescent="0.25">
      <c r="C17" s="13" t="s">
        <v>24</v>
      </c>
      <c r="D17" s="105">
        <f>D12+D13+D14+D15</f>
        <v>12</v>
      </c>
      <c r="E17" s="105"/>
      <c r="F17" s="105"/>
      <c r="G17" s="3" t="s">
        <v>61</v>
      </c>
    </row>
    <row r="18" spans="1:23" x14ac:dyDescent="0.25">
      <c r="C18" s="13" t="s">
        <v>172</v>
      </c>
      <c r="D18" s="106">
        <v>0.25</v>
      </c>
      <c r="E18" s="106"/>
      <c r="F18" s="106"/>
      <c r="G18" s="3" t="s">
        <v>179</v>
      </c>
    </row>
    <row r="19" spans="1:23" x14ac:dyDescent="0.25">
      <c r="C19" s="13" t="s">
        <v>173</v>
      </c>
      <c r="D19" s="106">
        <v>0.25</v>
      </c>
      <c r="E19" s="106"/>
      <c r="F19" s="106"/>
      <c r="G19" s="3" t="s">
        <v>176</v>
      </c>
    </row>
    <row r="20" spans="1:23" x14ac:dyDescent="0.25">
      <c r="C20" s="13" t="s">
        <v>174</v>
      </c>
      <c r="D20" s="106">
        <v>0.25</v>
      </c>
      <c r="E20" s="106"/>
      <c r="F20" s="106"/>
      <c r="G20" s="3" t="s">
        <v>177</v>
      </c>
    </row>
    <row r="21" spans="1:23" x14ac:dyDescent="0.25">
      <c r="C21" s="13" t="s">
        <v>175</v>
      </c>
      <c r="D21" s="106">
        <v>0.25</v>
      </c>
      <c r="E21" s="106"/>
      <c r="F21" s="106"/>
      <c r="G21" s="3" t="s">
        <v>178</v>
      </c>
    </row>
    <row r="22" spans="1:23" x14ac:dyDescent="0.25">
      <c r="C22" s="13" t="s">
        <v>58</v>
      </c>
      <c r="D22" s="106">
        <v>0.7</v>
      </c>
      <c r="E22" s="106"/>
      <c r="F22" s="106"/>
      <c r="G22" s="3" t="s">
        <v>59</v>
      </c>
    </row>
    <row r="24" spans="1:23" ht="12.75" customHeight="1" x14ac:dyDescent="0.25">
      <c r="A24" s="88" t="s">
        <v>39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R24" s="104" t="s">
        <v>80</v>
      </c>
      <c r="S24" s="104"/>
    </row>
    <row r="25" spans="1:23" x14ac:dyDescent="0.25">
      <c r="O25" s="12" t="s">
        <v>4</v>
      </c>
      <c r="R25" s="104"/>
      <c r="S25" s="104"/>
      <c r="V25" s="1"/>
      <c r="W25" s="1"/>
    </row>
    <row r="26" spans="1:23" x14ac:dyDescent="0.25">
      <c r="B26" s="91" t="s">
        <v>45</v>
      </c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10"/>
      <c r="V26" s="1"/>
      <c r="W26" s="1"/>
    </row>
    <row r="27" spans="1:23" x14ac:dyDescent="0.25"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 t="s">
        <v>187</v>
      </c>
      <c r="N27" s="35"/>
      <c r="O27" s="35"/>
      <c r="P27" s="35"/>
      <c r="Q27" s="35"/>
      <c r="V27" s="1"/>
      <c r="W27" s="1"/>
    </row>
    <row r="28" spans="1:23" x14ac:dyDescent="0.25"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V28" s="1"/>
      <c r="W28" s="1"/>
    </row>
    <row r="29" spans="1:23" x14ac:dyDescent="0.25">
      <c r="B29" s="100" t="s">
        <v>23</v>
      </c>
      <c r="C29" s="100"/>
      <c r="D29" s="101">
        <f>TAN(RADIANS(45)-RADIANS(D10)/2)^2</f>
        <v>0.2948008917698644</v>
      </c>
      <c r="E29" s="101"/>
      <c r="F29" s="101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 t="s">
        <v>119</v>
      </c>
      <c r="U29" s="99" t="s">
        <v>79</v>
      </c>
      <c r="V29" s="1"/>
      <c r="W29" s="1"/>
    </row>
    <row r="30" spans="1:23" x14ac:dyDescent="0.25"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U30" s="99"/>
      <c r="V30" s="1"/>
      <c r="W30" s="1"/>
    </row>
    <row r="31" spans="1:23" x14ac:dyDescent="0.25">
      <c r="B31" s="102" t="s">
        <v>55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"/>
      <c r="U31" s="99"/>
      <c r="V31" s="1"/>
      <c r="W31" s="1"/>
    </row>
    <row r="32" spans="1:23" x14ac:dyDescent="0.25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5" t="s">
        <v>187</v>
      </c>
      <c r="N32" s="36"/>
      <c r="O32" s="36"/>
      <c r="P32" s="36"/>
      <c r="Q32" s="36"/>
      <c r="R32" s="10"/>
      <c r="U32" s="99"/>
      <c r="V32" s="1"/>
      <c r="W32" s="1"/>
    </row>
    <row r="33" spans="2:41" x14ac:dyDescent="0.25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U33" s="99"/>
      <c r="V33" s="1"/>
      <c r="W33" s="1"/>
    </row>
    <row r="34" spans="2:41" x14ac:dyDescent="0.25">
      <c r="B34" s="35"/>
      <c r="C34" s="37" t="s">
        <v>51</v>
      </c>
      <c r="D34" s="107">
        <f>D29*D17*D11</f>
        <v>6.7214603323529083</v>
      </c>
      <c r="E34" s="107"/>
      <c r="F34" s="107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 t="s">
        <v>118</v>
      </c>
      <c r="U34" s="99"/>
      <c r="V34" s="1"/>
      <c r="W34" s="1"/>
    </row>
    <row r="35" spans="2:41" x14ac:dyDescent="0.25"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U35" s="99"/>
      <c r="V35" s="1"/>
      <c r="W35" s="1"/>
    </row>
    <row r="36" spans="2:41" x14ac:dyDescent="0.25">
      <c r="B36" s="102" t="s">
        <v>46</v>
      </c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"/>
      <c r="U36" s="99"/>
      <c r="V36" s="1"/>
      <c r="W36" s="1"/>
    </row>
    <row r="37" spans="2:41" x14ac:dyDescent="0.25"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 t="s">
        <v>187</v>
      </c>
      <c r="N37" s="35"/>
      <c r="O37" s="36"/>
      <c r="P37" s="35"/>
      <c r="Q37" s="35"/>
      <c r="U37" s="99"/>
      <c r="V37" s="1"/>
      <c r="W37" s="1"/>
    </row>
    <row r="38" spans="2:41" x14ac:dyDescent="0.25"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S38" s="21" t="s">
        <v>75</v>
      </c>
      <c r="U38" s="99"/>
      <c r="V38" s="1"/>
      <c r="W38" s="1"/>
    </row>
    <row r="39" spans="2:41" x14ac:dyDescent="0.25">
      <c r="B39" s="100" t="s">
        <v>38</v>
      </c>
      <c r="C39" s="100"/>
      <c r="D39" s="101">
        <f>TAN(RADIANS(45)+RADIANS(D10)/2)^2</f>
        <v>3.3921199966404694</v>
      </c>
      <c r="E39" s="101"/>
      <c r="F39" s="101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 t="s">
        <v>117</v>
      </c>
      <c r="U39" s="99"/>
      <c r="V39" s="1"/>
      <c r="W39" s="1"/>
    </row>
    <row r="40" spans="2:41" x14ac:dyDescent="0.25">
      <c r="B40" s="38"/>
      <c r="C40" s="38"/>
      <c r="D40" s="4"/>
      <c r="E40" s="4"/>
      <c r="F40" s="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U40" s="99"/>
      <c r="V40" s="1"/>
      <c r="W40" s="1"/>
    </row>
    <row r="41" spans="2:41" x14ac:dyDescent="0.25">
      <c r="B41" s="102" t="s">
        <v>54</v>
      </c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"/>
      <c r="U41" s="99"/>
      <c r="V41" s="1"/>
      <c r="W41" s="1"/>
    </row>
    <row r="42" spans="2:41" x14ac:dyDescent="0.25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5" t="s">
        <v>187</v>
      </c>
      <c r="N42" s="36"/>
      <c r="O42" s="36"/>
      <c r="P42" s="36"/>
      <c r="Q42" s="36"/>
      <c r="R42" s="10"/>
      <c r="U42" s="99"/>
      <c r="V42" s="1"/>
      <c r="W42" s="1"/>
    </row>
    <row r="43" spans="2:41" x14ac:dyDescent="0.25"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U43" s="99"/>
      <c r="V43" s="1"/>
      <c r="W43" s="1"/>
      <c r="AJ43" s="18"/>
      <c r="AK43" s="18"/>
      <c r="AL43" s="18"/>
      <c r="AM43" s="18"/>
      <c r="AN43" s="18"/>
      <c r="AO43" s="18"/>
    </row>
    <row r="44" spans="2:41" x14ac:dyDescent="0.25">
      <c r="B44" s="35"/>
      <c r="C44" s="37" t="s">
        <v>52</v>
      </c>
      <c r="D44" s="107">
        <f>D39*D22*D11</f>
        <v>4.5115195955318237</v>
      </c>
      <c r="E44" s="107"/>
      <c r="F44" s="107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U44" s="99"/>
      <c r="V44" s="1"/>
      <c r="W44" s="1"/>
    </row>
    <row r="45" spans="2:41" x14ac:dyDescent="0.25">
      <c r="B45" s="38"/>
      <c r="C45" s="38"/>
      <c r="D45" s="4"/>
      <c r="E45" s="4"/>
      <c r="F45" s="4"/>
      <c r="G45" s="35"/>
      <c r="H45" s="35"/>
      <c r="I45" s="35"/>
      <c r="J45" s="35"/>
      <c r="K45" s="35"/>
      <c r="M45" s="35"/>
      <c r="N45" s="35"/>
      <c r="O45" s="35"/>
      <c r="P45" s="35"/>
      <c r="Q45" s="35" t="s">
        <v>116</v>
      </c>
      <c r="U45" s="99"/>
      <c r="V45" s="1"/>
      <c r="W45" s="1"/>
    </row>
    <row r="46" spans="2:41" x14ac:dyDescent="0.25">
      <c r="B46" s="36" t="s">
        <v>57</v>
      </c>
      <c r="C46" s="36"/>
      <c r="D46" s="36"/>
      <c r="E46" s="36"/>
      <c r="F46" s="36"/>
      <c r="G46" s="36"/>
      <c r="H46" s="36"/>
      <c r="I46" s="36"/>
      <c r="J46" s="36"/>
      <c r="K46" s="36"/>
      <c r="L46" s="35" t="s">
        <v>78</v>
      </c>
      <c r="M46" s="36"/>
      <c r="N46" s="36"/>
      <c r="O46" s="36"/>
      <c r="P46" s="36"/>
      <c r="Q46" s="36"/>
      <c r="R46" s="10"/>
      <c r="U46" s="99"/>
      <c r="V46" s="1"/>
      <c r="W46" s="1"/>
    </row>
    <row r="47" spans="2:41" ht="12" customHeight="1" x14ac:dyDescent="0.25">
      <c r="B47" s="36"/>
      <c r="C47" s="36"/>
      <c r="D47" s="36"/>
      <c r="E47" s="36"/>
      <c r="F47" s="36"/>
      <c r="G47" s="36"/>
      <c r="H47" s="36"/>
      <c r="I47" s="36"/>
      <c r="J47" s="111" t="s">
        <v>76</v>
      </c>
      <c r="K47" s="36"/>
      <c r="L47" s="36"/>
      <c r="M47" s="36"/>
      <c r="N47" s="36"/>
      <c r="O47" s="36"/>
      <c r="P47" s="36"/>
      <c r="Q47" s="36"/>
      <c r="R47" s="10"/>
      <c r="U47" s="99"/>
      <c r="V47" s="1"/>
      <c r="W47" s="1"/>
    </row>
    <row r="48" spans="2:41" x14ac:dyDescent="0.25">
      <c r="B48" s="35"/>
      <c r="C48" s="35"/>
      <c r="D48" s="35"/>
      <c r="E48" s="35"/>
      <c r="F48" s="35"/>
      <c r="G48" s="35"/>
      <c r="H48" s="35"/>
      <c r="I48" s="35"/>
      <c r="J48" s="111"/>
      <c r="K48" s="35"/>
      <c r="L48" s="35" t="s">
        <v>77</v>
      </c>
      <c r="M48" s="35"/>
      <c r="N48" s="35"/>
      <c r="O48" s="35"/>
      <c r="P48" s="35"/>
      <c r="Q48" s="35" t="s">
        <v>186</v>
      </c>
      <c r="U48" s="99"/>
      <c r="V48" s="1"/>
      <c r="W48" s="1"/>
    </row>
    <row r="49" spans="1:23" x14ac:dyDescent="0.25">
      <c r="C49" s="9" t="s">
        <v>53</v>
      </c>
      <c r="D49" s="108">
        <f>D29*D8*D9</f>
        <v>0.58960178353972881</v>
      </c>
      <c r="E49" s="108"/>
      <c r="F49" s="108"/>
      <c r="V49" s="1"/>
      <c r="W49" s="1"/>
    </row>
    <row r="50" spans="1:23" x14ac:dyDescent="0.25">
      <c r="V50" s="1"/>
      <c r="W50" s="1"/>
    </row>
    <row r="51" spans="1:23" x14ac:dyDescent="0.25">
      <c r="D51" s="109" t="s">
        <v>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7"/>
      <c r="V51" s="1"/>
      <c r="W51" s="1"/>
    </row>
    <row r="52" spans="1:23" x14ac:dyDescent="0.25">
      <c r="O52" s="108">
        <f>I62</f>
        <v>0.58960178353972881</v>
      </c>
      <c r="P52" s="108"/>
      <c r="Q52" s="108"/>
      <c r="R52" s="11"/>
      <c r="V52" s="1"/>
      <c r="W52" s="1"/>
    </row>
    <row r="53" spans="1:23" x14ac:dyDescent="0.25">
      <c r="V53" s="1"/>
      <c r="W53" s="1"/>
    </row>
    <row r="54" spans="1:23" x14ac:dyDescent="0.25">
      <c r="V54" s="1"/>
      <c r="W54" s="1"/>
    </row>
    <row r="55" spans="1:23" x14ac:dyDescent="0.25">
      <c r="V55" s="1"/>
      <c r="W55" s="1"/>
    </row>
    <row r="56" spans="1:23" x14ac:dyDescent="0.25">
      <c r="V56" s="1"/>
      <c r="W56" s="1"/>
    </row>
    <row r="57" spans="1:23" ht="12.75" customHeight="1" x14ac:dyDescent="0.25">
      <c r="H57" s="19" t="s">
        <v>5</v>
      </c>
      <c r="I57" s="19"/>
      <c r="M57" s="110" t="s">
        <v>6</v>
      </c>
      <c r="N57" s="110"/>
      <c r="V57" s="1"/>
      <c r="W57" s="1"/>
    </row>
    <row r="58" spans="1:23" x14ac:dyDescent="0.25">
      <c r="V58" s="1"/>
      <c r="W58" s="1"/>
    </row>
    <row r="59" spans="1:23" x14ac:dyDescent="0.25">
      <c r="V59" s="1"/>
      <c r="W59" s="1"/>
    </row>
    <row r="60" spans="1:23" x14ac:dyDescent="0.25">
      <c r="V60" s="1"/>
      <c r="W60" s="1"/>
    </row>
    <row r="61" spans="1:23" x14ac:dyDescent="0.25">
      <c r="V61" s="1"/>
      <c r="W61" s="1"/>
    </row>
    <row r="62" spans="1:23" x14ac:dyDescent="0.25">
      <c r="D62" s="112">
        <f>D34</f>
        <v>6.7214603323529083</v>
      </c>
      <c r="E62" s="112"/>
      <c r="F62" s="112"/>
      <c r="G62" s="112"/>
      <c r="H62" s="8"/>
      <c r="I62" s="108">
        <f>D49</f>
        <v>0.58960178353972881</v>
      </c>
      <c r="J62" s="108"/>
      <c r="K62" s="108"/>
      <c r="L62" s="108"/>
      <c r="M62" s="108"/>
      <c r="O62" s="108">
        <f>D62+I62</f>
        <v>7.3110621158926374</v>
      </c>
      <c r="P62" s="108"/>
      <c r="Q62" s="108"/>
      <c r="R62" s="108"/>
      <c r="S62" s="108"/>
      <c r="T62" s="108"/>
      <c r="V62" s="1"/>
      <c r="W62" s="1"/>
    </row>
    <row r="63" spans="1:23" x14ac:dyDescent="0.25">
      <c r="D63" s="17"/>
      <c r="E63" s="17"/>
      <c r="F63" s="17"/>
      <c r="G63" s="17"/>
      <c r="H63" s="17"/>
      <c r="I63" s="17"/>
      <c r="J63" s="17"/>
      <c r="K63" s="17"/>
      <c r="L63" s="17"/>
      <c r="V63" s="1"/>
      <c r="W63" s="1"/>
    </row>
    <row r="64" spans="1:23" x14ac:dyDescent="0.25">
      <c r="A64" s="88" t="s">
        <v>40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V64" s="1"/>
      <c r="W64" s="1"/>
    </row>
    <row r="65" spans="2:23" x14ac:dyDescent="0.25">
      <c r="V65" s="1"/>
      <c r="W65" s="1"/>
    </row>
    <row r="66" spans="2:23" x14ac:dyDescent="0.25">
      <c r="B66" s="91" t="s">
        <v>7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10"/>
      <c r="V66" s="1"/>
      <c r="W66" s="1"/>
    </row>
    <row r="68" spans="2:23" x14ac:dyDescent="0.25">
      <c r="B68" s="85" t="s">
        <v>30</v>
      </c>
      <c r="C68" s="85"/>
      <c r="D68" s="89">
        <f>+D10</f>
        <v>33</v>
      </c>
      <c r="E68" s="89"/>
      <c r="F68" s="89"/>
      <c r="G68" s="3" t="s">
        <v>26</v>
      </c>
      <c r="V68" s="1"/>
      <c r="W68" s="1"/>
    </row>
    <row r="69" spans="2:23" x14ac:dyDescent="0.25">
      <c r="B69" s="85" t="s">
        <v>31</v>
      </c>
      <c r="C69" s="85"/>
      <c r="D69" s="97">
        <v>0</v>
      </c>
      <c r="E69" s="97"/>
      <c r="F69" s="97"/>
      <c r="G69" s="3" t="s">
        <v>27</v>
      </c>
      <c r="V69" s="1"/>
      <c r="W69" s="1"/>
    </row>
    <row r="70" spans="2:23" x14ac:dyDescent="0.25">
      <c r="B70" s="85" t="s">
        <v>9</v>
      </c>
      <c r="C70" s="85"/>
      <c r="D70" s="97">
        <v>0</v>
      </c>
      <c r="E70" s="97"/>
      <c r="F70" s="97"/>
      <c r="G70" s="3" t="s">
        <v>28</v>
      </c>
      <c r="V70" s="1"/>
      <c r="W70" s="1"/>
    </row>
    <row r="71" spans="2:23" x14ac:dyDescent="0.25">
      <c r="B71" s="98" t="s">
        <v>35</v>
      </c>
      <c r="C71" s="85"/>
      <c r="D71" s="97">
        <v>0</v>
      </c>
      <c r="E71" s="97"/>
      <c r="F71" s="97"/>
      <c r="G71" s="3" t="s">
        <v>29</v>
      </c>
      <c r="V71" s="1"/>
      <c r="W71" s="1"/>
    </row>
    <row r="72" spans="2:23" x14ac:dyDescent="0.25">
      <c r="B72" s="85" t="s">
        <v>25</v>
      </c>
      <c r="C72" s="85"/>
      <c r="D72" s="103">
        <v>0.35</v>
      </c>
      <c r="E72" s="103"/>
      <c r="F72" s="103"/>
      <c r="G72" s="3" t="s">
        <v>33</v>
      </c>
      <c r="V72" s="1"/>
      <c r="W72" s="1"/>
    </row>
    <row r="73" spans="2:23" x14ac:dyDescent="0.25">
      <c r="B73" s="13"/>
      <c r="C73" s="13"/>
      <c r="D73" s="4"/>
      <c r="E73" s="4"/>
      <c r="F73" s="4"/>
      <c r="G73" s="5"/>
      <c r="H73" s="19"/>
      <c r="I73" s="19"/>
      <c r="V73" s="1"/>
      <c r="W73" s="1"/>
    </row>
    <row r="74" spans="2:23" x14ac:dyDescent="0.25">
      <c r="B74" s="91" t="s">
        <v>32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"/>
      <c r="V74" s="1"/>
      <c r="W74" s="1"/>
    </row>
    <row r="75" spans="2:23" x14ac:dyDescent="0.25">
      <c r="B75" s="13"/>
      <c r="C75" s="13"/>
      <c r="D75" s="4"/>
      <c r="E75" s="4"/>
      <c r="F75" s="4"/>
      <c r="G75" s="5"/>
      <c r="H75" s="19"/>
      <c r="I75" s="19"/>
      <c r="V75" s="1"/>
      <c r="W75" s="1"/>
    </row>
    <row r="76" spans="2:23" x14ac:dyDescent="0.25">
      <c r="B76" s="13"/>
      <c r="C76" s="13"/>
      <c r="D76" s="4"/>
      <c r="E76" s="4"/>
      <c r="F76" s="4"/>
      <c r="G76" s="5"/>
      <c r="H76" s="19"/>
      <c r="I76" s="19"/>
      <c r="V76" s="1"/>
      <c r="W76" s="1"/>
    </row>
    <row r="77" spans="2:23" x14ac:dyDescent="0.25">
      <c r="B77" s="13"/>
      <c r="C77" s="13"/>
      <c r="D77" s="4"/>
      <c r="E77" s="4"/>
      <c r="F77" s="4"/>
      <c r="G77" s="5"/>
      <c r="H77" s="19"/>
      <c r="I77" s="19"/>
      <c r="V77" s="1"/>
      <c r="W77" s="1"/>
    </row>
    <row r="78" spans="2:23" x14ac:dyDescent="0.25">
      <c r="B78" s="85" t="s">
        <v>10</v>
      </c>
      <c r="C78" s="85"/>
      <c r="D78" s="87">
        <f>+D72/2</f>
        <v>0.17499999999999999</v>
      </c>
      <c r="E78" s="87"/>
      <c r="F78" s="87"/>
      <c r="G78" s="5"/>
      <c r="H78" s="19"/>
      <c r="I78" s="19"/>
      <c r="V78" s="1"/>
      <c r="W78" s="1"/>
    </row>
    <row r="79" spans="2:23" x14ac:dyDescent="0.25">
      <c r="B79" s="13"/>
      <c r="C79" s="13"/>
      <c r="D79" s="4"/>
      <c r="E79" s="4"/>
      <c r="F79" s="4"/>
      <c r="G79" s="5"/>
      <c r="H79" s="19"/>
      <c r="I79" s="19"/>
      <c r="V79" s="1"/>
      <c r="W79" s="1"/>
    </row>
    <row r="80" spans="2:23" x14ac:dyDescent="0.25">
      <c r="B80" s="91" t="s">
        <v>34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"/>
      <c r="V80" s="1"/>
      <c r="W80" s="1"/>
    </row>
    <row r="81" spans="2:41" x14ac:dyDescent="0.25">
      <c r="B81" s="13"/>
      <c r="C81" s="13"/>
      <c r="D81" s="4"/>
      <c r="E81" s="4"/>
      <c r="F81" s="4"/>
      <c r="G81" s="5"/>
      <c r="H81" s="19"/>
      <c r="I81" s="19"/>
      <c r="V81" s="1"/>
      <c r="W81" s="1"/>
    </row>
    <row r="82" spans="2:41" x14ac:dyDescent="0.25">
      <c r="B82" s="13"/>
      <c r="C82" s="13"/>
      <c r="D82" s="4"/>
      <c r="E82" s="4"/>
      <c r="F82" s="4"/>
      <c r="G82" s="5"/>
      <c r="H82" s="19"/>
      <c r="I82" s="19"/>
      <c r="V82" s="1"/>
      <c r="W82" s="1"/>
      <c r="AJ82" s="18"/>
      <c r="AK82" s="18"/>
      <c r="AL82" s="18"/>
      <c r="AM82" s="18"/>
      <c r="AN82" s="18"/>
      <c r="AO82" s="18"/>
    </row>
    <row r="83" spans="2:41" x14ac:dyDescent="0.25">
      <c r="V83" s="1"/>
      <c r="W83" s="1"/>
    </row>
    <row r="84" spans="2:41" x14ac:dyDescent="0.25">
      <c r="B84" s="85" t="s">
        <v>11</v>
      </c>
      <c r="C84" s="85"/>
      <c r="D84" s="87">
        <f>2/3*D78</f>
        <v>0.11666666666666665</v>
      </c>
      <c r="E84" s="87"/>
      <c r="F84" s="87"/>
      <c r="V84" s="1"/>
      <c r="W84" s="1"/>
    </row>
    <row r="85" spans="2:41" x14ac:dyDescent="0.25">
      <c r="B85" s="13"/>
      <c r="C85" s="13"/>
      <c r="D85" s="15"/>
      <c r="E85" s="15"/>
      <c r="F85" s="15"/>
      <c r="V85" s="1"/>
      <c r="W85" s="1"/>
    </row>
    <row r="86" spans="2:41" x14ac:dyDescent="0.25">
      <c r="B86" s="91" t="s">
        <v>74</v>
      </c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V86" s="1"/>
      <c r="W86" s="1"/>
    </row>
    <row r="87" spans="2:41" x14ac:dyDescent="0.25">
      <c r="B87" s="13"/>
      <c r="C87" s="13"/>
      <c r="D87" s="15"/>
      <c r="E87" s="15"/>
      <c r="F87" s="15"/>
      <c r="G87" s="16"/>
      <c r="H87" s="16"/>
      <c r="V87" s="1"/>
      <c r="W87" s="1"/>
    </row>
    <row r="88" spans="2:41" x14ac:dyDescent="0.25">
      <c r="B88" s="13"/>
      <c r="C88" s="13"/>
      <c r="D88" s="15"/>
      <c r="E88" s="15"/>
      <c r="F88" s="15"/>
      <c r="G88" s="16"/>
      <c r="H88" s="16"/>
      <c r="V88" s="1"/>
      <c r="W88" s="1"/>
    </row>
    <row r="89" spans="2:41" x14ac:dyDescent="0.25">
      <c r="B89" s="13"/>
      <c r="C89" s="13"/>
      <c r="D89" s="15"/>
      <c r="E89" s="15"/>
      <c r="F89" s="15"/>
      <c r="G89" s="16"/>
      <c r="H89" s="16"/>
      <c r="V89" s="1"/>
      <c r="W89" s="1"/>
    </row>
    <row r="90" spans="2:41" x14ac:dyDescent="0.25">
      <c r="B90" s="85" t="s">
        <v>36</v>
      </c>
      <c r="C90" s="85"/>
      <c r="D90" s="89">
        <f>DEGREES(ATAN(D78/(1-D84)))</f>
        <v>11.205947507402568</v>
      </c>
      <c r="E90" s="89"/>
      <c r="F90" s="89"/>
      <c r="G90" s="90" t="str">
        <f>IF(D68&gt;D70+D90,"OK!","VERIFICAR")</f>
        <v>OK!</v>
      </c>
      <c r="H90" s="90"/>
      <c r="V90" s="1"/>
      <c r="W90" s="1"/>
    </row>
    <row r="91" spans="2:41" x14ac:dyDescent="0.25">
      <c r="B91" s="13"/>
      <c r="C91" s="13"/>
      <c r="V91" s="1"/>
      <c r="W91" s="1"/>
    </row>
    <row r="92" spans="2:41" x14ac:dyDescent="0.25">
      <c r="B92" s="91" t="s">
        <v>81</v>
      </c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"/>
      <c r="U92" s="1"/>
      <c r="V92" s="1"/>
      <c r="W92" s="1"/>
      <c r="X92" s="1"/>
      <c r="Y92" s="1"/>
      <c r="Z92" s="1"/>
      <c r="AA92" s="1"/>
    </row>
    <row r="93" spans="2:41" x14ac:dyDescent="0.25">
      <c r="B93" s="13"/>
      <c r="C93" s="13"/>
      <c r="U93" s="1"/>
      <c r="V93" s="1"/>
      <c r="W93" s="1"/>
      <c r="X93" s="1"/>
      <c r="Y93" s="1"/>
      <c r="Z93" s="1"/>
      <c r="AA93" s="1"/>
    </row>
    <row r="94" spans="2:41" x14ac:dyDescent="0.25">
      <c r="B94" s="13"/>
      <c r="C94" s="13"/>
      <c r="U94" s="1"/>
      <c r="V94" s="1"/>
      <c r="W94" s="1"/>
      <c r="X94" s="1"/>
      <c r="Y94" s="1"/>
      <c r="Z94" s="1"/>
      <c r="AA94" s="1"/>
    </row>
    <row r="95" spans="2:41" x14ac:dyDescent="0.25">
      <c r="B95" s="13"/>
      <c r="C95" s="13"/>
      <c r="U95" s="1"/>
      <c r="V95" s="1"/>
      <c r="W95" s="1"/>
      <c r="X95" s="1"/>
      <c r="Y95" s="1"/>
      <c r="Z95" s="1"/>
      <c r="AA95" s="1"/>
    </row>
    <row r="96" spans="2:41" x14ac:dyDescent="0.25">
      <c r="B96" s="13"/>
      <c r="C96" s="13"/>
      <c r="U96" s="1"/>
      <c r="V96" s="1"/>
      <c r="W96" s="1"/>
      <c r="X96" s="1"/>
      <c r="Y96" s="1"/>
      <c r="Z96" s="1"/>
      <c r="AA96" s="1"/>
    </row>
    <row r="97" spans="1:27" x14ac:dyDescent="0.25">
      <c r="B97" s="85" t="s">
        <v>12</v>
      </c>
      <c r="C97" s="85"/>
      <c r="D97" s="87">
        <f>(COS(RADIANS(D68-D90-D71))^2)/(COS(RADIANS(D90))*(COS(RADIANS(D71))^2)*COS(RADIANS(D69+D71+D90)))*(1+SQRT((SIN(RADIANS(D68+D69))*SIN(RADIANS(D68-D90-D70)))/(COS(RADIANS(D69+D71+D90))*COS(RADIANS(D70-D71)))))^-2</f>
        <v>0.42380125736507762</v>
      </c>
      <c r="E97" s="87"/>
      <c r="F97" s="87"/>
      <c r="U97" s="1"/>
      <c r="V97" s="1"/>
      <c r="W97" s="1"/>
      <c r="X97" s="1"/>
      <c r="Y97" s="1"/>
      <c r="Z97" s="1"/>
      <c r="AA97" s="1"/>
    </row>
    <row r="98" spans="1:27" x14ac:dyDescent="0.25">
      <c r="B98" s="13"/>
      <c r="C98" s="13"/>
      <c r="D98" s="15"/>
      <c r="E98" s="15"/>
      <c r="F98" s="15"/>
      <c r="V98" s="18"/>
      <c r="W98" s="18"/>
    </row>
    <row r="99" spans="1:27" x14ac:dyDescent="0.25">
      <c r="B99" s="91" t="s">
        <v>82</v>
      </c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10"/>
      <c r="V99" s="18"/>
      <c r="W99" s="18"/>
    </row>
    <row r="100" spans="1:27" x14ac:dyDescent="0.25">
      <c r="B100" s="13"/>
      <c r="C100" s="13"/>
      <c r="D100" s="15"/>
      <c r="E100" s="15"/>
      <c r="F100" s="15"/>
      <c r="V100" s="18"/>
      <c r="W100" s="18"/>
    </row>
    <row r="101" spans="1:27" x14ac:dyDescent="0.25">
      <c r="B101" s="13"/>
      <c r="C101" s="13"/>
      <c r="D101" s="15"/>
      <c r="E101" s="15"/>
      <c r="F101" s="15"/>
      <c r="V101" s="1"/>
      <c r="W101" s="1"/>
    </row>
    <row r="102" spans="1:27" x14ac:dyDescent="0.25">
      <c r="B102" s="13"/>
      <c r="C102" s="13"/>
      <c r="D102" s="15"/>
      <c r="E102" s="15"/>
      <c r="F102" s="15"/>
      <c r="V102" s="87"/>
      <c r="W102" s="87"/>
      <c r="X102" s="87"/>
    </row>
    <row r="103" spans="1:27" x14ac:dyDescent="0.25">
      <c r="B103" s="13"/>
      <c r="C103" s="13"/>
      <c r="D103" s="15"/>
      <c r="E103" s="15"/>
      <c r="F103" s="15"/>
      <c r="V103" s="1"/>
      <c r="W103" s="1"/>
    </row>
    <row r="104" spans="1:27" x14ac:dyDescent="0.25">
      <c r="B104" s="85" t="s">
        <v>37</v>
      </c>
      <c r="C104" s="85"/>
      <c r="D104" s="87">
        <f>(COS(RADIANS(D68-D90+D71))^2)/(COS(RADIANS(D90))*(COS(RADIANS(D71))^2)*COS(RADIANS(D69-D71+D90)))*(1-SQRT((SIN(RADIANS(D68+D69))*SIN(RADIANS(D68-D90+D70)))/(COS(RADIANS(D69-D71+D90))*COS(RADIANS(D70-D71)))))^-2</f>
        <v>3.0058071884575615</v>
      </c>
      <c r="E104" s="87"/>
      <c r="F104" s="87"/>
      <c r="V104" s="87"/>
      <c r="W104" s="87"/>
      <c r="X104" s="87"/>
    </row>
    <row r="105" spans="1:27" x14ac:dyDescent="0.25">
      <c r="B105" s="13"/>
      <c r="C105" s="13"/>
      <c r="D105" s="15"/>
      <c r="E105" s="15"/>
      <c r="F105" s="15"/>
      <c r="V105" s="1"/>
      <c r="W105" s="1"/>
    </row>
    <row r="106" spans="1:27" x14ac:dyDescent="0.25">
      <c r="A106" s="88" t="s">
        <v>65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V106" s="1"/>
      <c r="W106" s="1"/>
    </row>
    <row r="107" spans="1:27" x14ac:dyDescent="0.25">
      <c r="B107" s="13"/>
      <c r="C107" s="13"/>
      <c r="D107" s="15"/>
      <c r="E107" s="15"/>
      <c r="F107" s="15"/>
      <c r="V107" s="1"/>
      <c r="W107" s="1"/>
    </row>
    <row r="108" spans="1:27" x14ac:dyDescent="0.25">
      <c r="B108" s="91" t="s">
        <v>66</v>
      </c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10"/>
      <c r="V108" s="1"/>
      <c r="W108" s="1"/>
    </row>
    <row r="109" spans="1:27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V109" s="1"/>
      <c r="W109" s="1"/>
    </row>
    <row r="110" spans="1:27" x14ac:dyDescent="0.25">
      <c r="B110" s="13"/>
      <c r="C110" s="13"/>
      <c r="D110" s="15"/>
      <c r="E110" s="15"/>
      <c r="F110" s="15"/>
      <c r="V110" s="1"/>
      <c r="W110" s="1"/>
    </row>
    <row r="111" spans="1:27" x14ac:dyDescent="0.25">
      <c r="B111" s="13"/>
      <c r="C111" s="13"/>
      <c r="D111" s="15"/>
      <c r="E111" s="15"/>
      <c r="F111" s="15"/>
      <c r="V111" s="1"/>
      <c r="W111" s="1"/>
    </row>
    <row r="112" spans="1:27" x14ac:dyDescent="0.25">
      <c r="B112" s="85" t="s">
        <v>41</v>
      </c>
      <c r="C112" s="85"/>
      <c r="D112" s="108">
        <f>D97*D11*D17*(1-D84)</f>
        <v>8.5353573233326614</v>
      </c>
      <c r="E112" s="108"/>
      <c r="F112" s="108"/>
      <c r="V112" s="1"/>
      <c r="W112" s="1"/>
    </row>
    <row r="113" spans="1:23" x14ac:dyDescent="0.25">
      <c r="B113" s="13"/>
      <c r="C113" s="13"/>
      <c r="D113" s="15"/>
      <c r="E113" s="15"/>
      <c r="F113" s="15"/>
      <c r="V113" s="1"/>
      <c r="W113" s="1"/>
    </row>
    <row r="114" spans="1:23" x14ac:dyDescent="0.25">
      <c r="B114" s="91" t="s">
        <v>69</v>
      </c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10"/>
      <c r="V114" s="1"/>
      <c r="W114" s="1"/>
    </row>
    <row r="115" spans="1:23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V115" s="1"/>
      <c r="W115" s="1"/>
    </row>
    <row r="116" spans="1:23" x14ac:dyDescent="0.25">
      <c r="B116" s="13"/>
      <c r="C116" s="13"/>
      <c r="D116" s="15"/>
      <c r="E116" s="15"/>
      <c r="F116" s="15"/>
      <c r="V116" s="1"/>
      <c r="W116" s="1"/>
    </row>
    <row r="117" spans="1:23" x14ac:dyDescent="0.25">
      <c r="B117" s="13"/>
      <c r="C117" s="13"/>
      <c r="D117" s="15"/>
      <c r="E117" s="15"/>
      <c r="F117" s="15"/>
      <c r="V117" s="1"/>
      <c r="W117" s="1"/>
    </row>
    <row r="118" spans="1:23" x14ac:dyDescent="0.25">
      <c r="B118" s="85" t="s">
        <v>42</v>
      </c>
      <c r="C118" s="85"/>
      <c r="D118" s="108">
        <f>1/2*D104*D11*D22^2*(1-D84)</f>
        <v>1.2359628675005119</v>
      </c>
      <c r="E118" s="108"/>
      <c r="F118" s="108"/>
      <c r="V118" s="1"/>
      <c r="W118" s="1"/>
    </row>
    <row r="119" spans="1:23" x14ac:dyDescent="0.25">
      <c r="B119" s="13"/>
      <c r="C119" s="13"/>
      <c r="D119" s="11"/>
      <c r="E119" s="11"/>
      <c r="F119" s="11"/>
      <c r="V119" s="1"/>
      <c r="W119" s="1"/>
    </row>
    <row r="120" spans="1:23" x14ac:dyDescent="0.25">
      <c r="A120" s="88" t="s">
        <v>67</v>
      </c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V120" s="1"/>
      <c r="W120" s="1"/>
    </row>
    <row r="121" spans="1:23" x14ac:dyDescent="0.25">
      <c r="B121" s="13"/>
      <c r="C121" s="13"/>
      <c r="D121" s="11"/>
      <c r="E121" s="11"/>
      <c r="F121" s="11"/>
      <c r="V121" s="1"/>
      <c r="W121" s="1"/>
    </row>
    <row r="122" spans="1:23" x14ac:dyDescent="0.25">
      <c r="B122" s="91" t="s">
        <v>70</v>
      </c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10"/>
      <c r="V122" s="1"/>
      <c r="W122" s="1"/>
    </row>
    <row r="123" spans="1:23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V123" s="1"/>
      <c r="W123" s="1"/>
    </row>
    <row r="124" spans="1:23" x14ac:dyDescent="0.25">
      <c r="B124" s="13"/>
      <c r="C124" s="13"/>
      <c r="D124" s="15"/>
      <c r="E124" s="15"/>
      <c r="F124" s="15"/>
      <c r="V124" s="1"/>
      <c r="W124" s="1"/>
    </row>
    <row r="125" spans="1:23" x14ac:dyDescent="0.25">
      <c r="B125" s="13"/>
      <c r="C125" s="13"/>
      <c r="D125" s="15"/>
      <c r="E125" s="15"/>
      <c r="F125" s="15"/>
      <c r="V125" s="1"/>
      <c r="W125" s="1"/>
    </row>
    <row r="126" spans="1:23" x14ac:dyDescent="0.25">
      <c r="B126" s="85" t="s">
        <v>43</v>
      </c>
      <c r="C126" s="85"/>
      <c r="D126" s="108">
        <f>D29*D11*D17</f>
        <v>6.7214603323529083</v>
      </c>
      <c r="E126" s="108"/>
      <c r="F126" s="108"/>
      <c r="V126" s="1"/>
      <c r="W126" s="1"/>
    </row>
    <row r="127" spans="1:23" x14ac:dyDescent="0.25">
      <c r="B127" s="13"/>
      <c r="C127" s="13"/>
      <c r="D127" s="15"/>
      <c r="E127" s="15"/>
      <c r="F127" s="15"/>
      <c r="V127" s="1"/>
      <c r="W127" s="1"/>
    </row>
    <row r="128" spans="1:23" x14ac:dyDescent="0.25">
      <c r="B128" s="91" t="s">
        <v>71</v>
      </c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10"/>
      <c r="V128" s="1"/>
      <c r="W128" s="1"/>
    </row>
    <row r="129" spans="1:23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V129" s="1"/>
      <c r="W129" s="1"/>
    </row>
    <row r="130" spans="1:23" x14ac:dyDescent="0.25">
      <c r="B130" s="13"/>
      <c r="C130" s="13"/>
      <c r="D130" s="15"/>
      <c r="E130" s="15"/>
      <c r="F130" s="15"/>
      <c r="V130" s="1"/>
      <c r="W130" s="1"/>
    </row>
    <row r="131" spans="1:23" x14ac:dyDescent="0.25">
      <c r="B131" s="13"/>
      <c r="C131" s="13"/>
      <c r="D131" s="15"/>
      <c r="E131" s="15"/>
      <c r="F131" s="15"/>
      <c r="V131" s="1"/>
      <c r="W131" s="1"/>
    </row>
    <row r="132" spans="1:23" x14ac:dyDescent="0.25">
      <c r="B132" s="85" t="s">
        <v>44</v>
      </c>
      <c r="C132" s="85"/>
      <c r="D132" s="108">
        <f>D39*D11*D22</f>
        <v>4.5115195955318237</v>
      </c>
      <c r="E132" s="108"/>
      <c r="F132" s="108"/>
      <c r="V132" s="1"/>
      <c r="W132" s="1"/>
    </row>
    <row r="133" spans="1:23" x14ac:dyDescent="0.25">
      <c r="B133" s="13"/>
      <c r="C133" s="13"/>
      <c r="D133" s="11"/>
      <c r="E133" s="11"/>
      <c r="F133" s="11"/>
      <c r="V133" s="1"/>
      <c r="W133" s="1"/>
    </row>
    <row r="134" spans="1:23" x14ac:dyDescent="0.25">
      <c r="A134" s="88" t="s">
        <v>68</v>
      </c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V134" s="1"/>
      <c r="W134" s="1"/>
    </row>
    <row r="135" spans="1:23" x14ac:dyDescent="0.25">
      <c r="B135" s="13"/>
      <c r="C135" s="13"/>
      <c r="D135" s="11"/>
      <c r="E135" s="11"/>
      <c r="F135" s="11"/>
      <c r="V135" s="1"/>
      <c r="W135" s="1"/>
    </row>
    <row r="136" spans="1:23" x14ac:dyDescent="0.25">
      <c r="B136" s="91" t="s">
        <v>72</v>
      </c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10"/>
      <c r="V136" s="1"/>
      <c r="W136" s="1"/>
    </row>
    <row r="137" spans="1:23" x14ac:dyDescent="0.25">
      <c r="B137" s="13"/>
      <c r="C137" s="13"/>
      <c r="D137" s="11"/>
      <c r="E137" s="11"/>
      <c r="F137" s="11"/>
      <c r="V137" s="1"/>
      <c r="W137" s="1"/>
    </row>
    <row r="138" spans="1:23" x14ac:dyDescent="0.25">
      <c r="B138" s="13"/>
      <c r="C138" s="13" t="s">
        <v>47</v>
      </c>
      <c r="D138" s="108">
        <f>ABS(D112-D126)</f>
        <v>1.8138969909797531</v>
      </c>
      <c r="E138" s="108"/>
      <c r="F138" s="108"/>
      <c r="V138" s="1"/>
      <c r="W138" s="1"/>
    </row>
    <row r="139" spans="1:23" x14ac:dyDescent="0.25">
      <c r="B139" s="13"/>
      <c r="C139" s="13"/>
      <c r="D139" s="11"/>
      <c r="E139" s="11"/>
      <c r="F139" s="11"/>
      <c r="V139" s="1"/>
      <c r="W139" s="1"/>
    </row>
    <row r="140" spans="1:23" x14ac:dyDescent="0.25">
      <c r="B140" s="91" t="s">
        <v>73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10"/>
      <c r="V140" s="1"/>
      <c r="W140" s="1"/>
    </row>
    <row r="141" spans="1:23" x14ac:dyDescent="0.25">
      <c r="B141" s="13"/>
      <c r="C141" s="13"/>
      <c r="D141" s="11"/>
      <c r="E141" s="11"/>
      <c r="F141" s="11"/>
      <c r="V141" s="1"/>
      <c r="W141" s="1"/>
    </row>
    <row r="142" spans="1:23" x14ac:dyDescent="0.25">
      <c r="B142" s="13"/>
      <c r="C142" s="13" t="s">
        <v>48</v>
      </c>
      <c r="D142" s="108">
        <f>ABS(D118-D132)</f>
        <v>3.2755567280313116</v>
      </c>
      <c r="E142" s="108"/>
      <c r="F142" s="108"/>
      <c r="V142" s="1"/>
      <c r="W142" s="1"/>
    </row>
    <row r="143" spans="1:23" x14ac:dyDescent="0.25">
      <c r="V143" s="1"/>
      <c r="W143" s="1"/>
    </row>
    <row r="144" spans="1:23" x14ac:dyDescent="0.25">
      <c r="D144" s="109" t="s">
        <v>8</v>
      </c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7"/>
      <c r="V144" s="1"/>
      <c r="W144" s="1"/>
    </row>
    <row r="145" spans="1:41" x14ac:dyDescent="0.25"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V145" s="1"/>
      <c r="W145" s="1"/>
    </row>
    <row r="146" spans="1:41" x14ac:dyDescent="0.25">
      <c r="H146" s="112">
        <f>D138</f>
        <v>1.8138969909797531</v>
      </c>
      <c r="I146" s="104"/>
      <c r="J146" s="104"/>
      <c r="K146" s="104"/>
      <c r="V146" s="1"/>
      <c r="W146" s="1"/>
      <c r="AJ146" s="20"/>
      <c r="AK146" s="20"/>
      <c r="AL146" s="20"/>
      <c r="AM146" s="20"/>
      <c r="AN146" s="20"/>
      <c r="AO146" s="20"/>
    </row>
    <row r="147" spans="1:41" x14ac:dyDescent="0.25">
      <c r="V147" s="1"/>
      <c r="W147" s="1"/>
      <c r="AJ147" s="20"/>
      <c r="AK147" s="20"/>
      <c r="AL147" s="20"/>
      <c r="AM147" s="20"/>
      <c r="AN147" s="20"/>
      <c r="AO147" s="20"/>
    </row>
    <row r="148" spans="1:41" x14ac:dyDescent="0.25">
      <c r="V148" s="1"/>
      <c r="W148" s="1"/>
      <c r="AJ148" s="20"/>
      <c r="AK148" s="20"/>
      <c r="AL148" s="20"/>
      <c r="AM148" s="20"/>
      <c r="AN148" s="20"/>
      <c r="AO148" s="20"/>
    </row>
    <row r="149" spans="1:41" x14ac:dyDescent="0.25">
      <c r="V149" s="1"/>
      <c r="W149" s="1"/>
      <c r="AJ149" s="20"/>
      <c r="AK149" s="20"/>
      <c r="AL149" s="20"/>
      <c r="AM149" s="20"/>
      <c r="AN149" s="20"/>
      <c r="AO149" s="20"/>
    </row>
    <row r="150" spans="1:41" x14ac:dyDescent="0.25">
      <c r="V150" s="1"/>
      <c r="W150" s="1"/>
      <c r="AJ150" s="20"/>
      <c r="AK150" s="20"/>
      <c r="AL150" s="20"/>
      <c r="AM150" s="20"/>
      <c r="AN150" s="20"/>
      <c r="AO150" s="20"/>
    </row>
    <row r="151" spans="1:41" x14ac:dyDescent="0.25">
      <c r="V151" s="1"/>
      <c r="W151" s="1"/>
      <c r="AJ151" s="20"/>
      <c r="AK151" s="20"/>
      <c r="AL151" s="20"/>
      <c r="AM151" s="20"/>
      <c r="AN151" s="20"/>
      <c r="AO151" s="20"/>
    </row>
    <row r="152" spans="1:41" x14ac:dyDescent="0.25">
      <c r="V152" s="1"/>
      <c r="W152" s="1"/>
      <c r="AJ152" s="20"/>
      <c r="AK152" s="20"/>
      <c r="AL152" s="20"/>
      <c r="AM152" s="20"/>
      <c r="AN152" s="20"/>
      <c r="AO152" s="20"/>
    </row>
    <row r="153" spans="1:41" x14ac:dyDescent="0.25">
      <c r="V153" s="1"/>
      <c r="W153" s="1"/>
      <c r="AJ153" s="20"/>
      <c r="AK153" s="20"/>
      <c r="AL153" s="20"/>
      <c r="AM153" s="20"/>
      <c r="AN153" s="20"/>
      <c r="AO153" s="20"/>
    </row>
    <row r="154" spans="1:41" x14ac:dyDescent="0.25">
      <c r="V154" s="1"/>
      <c r="W154" s="1"/>
      <c r="AJ154" s="20"/>
      <c r="AK154" s="20"/>
      <c r="AL154" s="20"/>
      <c r="AM154" s="20"/>
      <c r="AN154" s="20"/>
      <c r="AO154" s="20"/>
    </row>
    <row r="155" spans="1:41" x14ac:dyDescent="0.25">
      <c r="V155" s="1"/>
      <c r="W155" s="1"/>
      <c r="AJ155" s="20"/>
      <c r="AK155" s="20"/>
      <c r="AL155" s="20"/>
      <c r="AM155" s="20"/>
      <c r="AN155" s="20"/>
      <c r="AO155" s="20"/>
    </row>
    <row r="156" spans="1:41" x14ac:dyDescent="0.25">
      <c r="A156" s="2" t="s">
        <v>83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V156" s="1"/>
      <c r="W156" s="1"/>
    </row>
    <row r="157" spans="1:41" x14ac:dyDescent="0.25">
      <c r="V157" s="1"/>
      <c r="W157" s="1"/>
    </row>
    <row r="158" spans="1:41" x14ac:dyDescent="0.25">
      <c r="B158" s="109" t="s">
        <v>13</v>
      </c>
      <c r="C158" s="109"/>
      <c r="D158" s="109"/>
      <c r="E158" s="109"/>
      <c r="F158" s="109"/>
      <c r="I158" s="109" t="s">
        <v>14</v>
      </c>
      <c r="J158" s="109"/>
      <c r="K158" s="109"/>
      <c r="L158" s="109"/>
      <c r="M158" s="109"/>
      <c r="P158" s="109" t="s">
        <v>15</v>
      </c>
      <c r="Q158" s="109"/>
      <c r="R158" s="109"/>
      <c r="S158" s="109"/>
      <c r="T158" s="109"/>
      <c r="U158" s="109"/>
      <c r="V158" s="109"/>
      <c r="W158" s="109"/>
    </row>
    <row r="159" spans="1:41" x14ac:dyDescent="0.25">
      <c r="V159" s="1"/>
      <c r="W159" s="1"/>
    </row>
    <row r="160" spans="1:41" ht="15" customHeight="1" x14ac:dyDescent="0.25">
      <c r="P160" s="8"/>
      <c r="Q160" s="8"/>
      <c r="R160" s="8"/>
      <c r="S160" s="112">
        <f>H146</f>
        <v>1.8138969909797531</v>
      </c>
      <c r="T160" s="112"/>
      <c r="U160" s="112"/>
      <c r="V160" s="112"/>
      <c r="W160" s="8"/>
      <c r="X160" s="8"/>
    </row>
    <row r="164" spans="1:23" x14ac:dyDescent="0.25">
      <c r="H164" s="21" t="s">
        <v>5</v>
      </c>
      <c r="O164" s="21" t="s">
        <v>5</v>
      </c>
    </row>
    <row r="166" spans="1:23" x14ac:dyDescent="0.25">
      <c r="J166" s="19"/>
    </row>
    <row r="170" spans="1:23" x14ac:dyDescent="0.25">
      <c r="C170" s="112">
        <f>+D62</f>
        <v>6.7214603323529083</v>
      </c>
      <c r="D170" s="112"/>
      <c r="E170" s="112"/>
      <c r="F170" s="112"/>
      <c r="J170" s="112">
        <f>+I62</f>
        <v>0.58960178353972881</v>
      </c>
      <c r="K170" s="112"/>
      <c r="L170" s="112"/>
      <c r="M170" s="112"/>
      <c r="V170" s="1"/>
      <c r="W170" s="1"/>
    </row>
    <row r="171" spans="1:23" x14ac:dyDescent="0.25">
      <c r="V171" s="1"/>
      <c r="W171" s="1"/>
    </row>
    <row r="172" spans="1:23" x14ac:dyDescent="0.25">
      <c r="K172" s="115"/>
      <c r="L172" s="115"/>
      <c r="M172" s="115"/>
      <c r="N172" s="115"/>
      <c r="O172" s="115"/>
      <c r="S172" s="87"/>
      <c r="T172" s="87"/>
      <c r="U172" s="87"/>
    </row>
    <row r="173" spans="1:23" x14ac:dyDescent="0.25">
      <c r="A173" s="88" t="s">
        <v>84</v>
      </c>
      <c r="B173" s="88"/>
      <c r="C173" s="88"/>
      <c r="D173" s="88"/>
      <c r="K173" s="115"/>
      <c r="L173" s="115"/>
      <c r="M173" s="115"/>
      <c r="N173" s="115"/>
      <c r="O173" s="115"/>
      <c r="S173" s="87"/>
      <c r="T173" s="87"/>
      <c r="U173" s="87"/>
    </row>
    <row r="174" spans="1:23" x14ac:dyDescent="0.25">
      <c r="A174" s="14"/>
      <c r="B174" s="14"/>
      <c r="C174" s="14"/>
      <c r="D174" s="14"/>
    </row>
    <row r="175" spans="1:23" ht="12.75" customHeight="1" x14ac:dyDescent="0.25">
      <c r="B175" s="116" t="s">
        <v>16</v>
      </c>
      <c r="C175" s="117"/>
      <c r="D175" s="117"/>
      <c r="E175" s="117"/>
      <c r="F175" s="117"/>
      <c r="G175" s="118"/>
      <c r="J175" s="116" t="s">
        <v>62</v>
      </c>
      <c r="K175" s="117"/>
      <c r="L175" s="117"/>
      <c r="M175" s="117"/>
      <c r="N175" s="117"/>
      <c r="O175" s="118"/>
      <c r="R175" s="116" t="s">
        <v>63</v>
      </c>
      <c r="S175" s="117"/>
      <c r="T175" s="117"/>
      <c r="U175" s="117"/>
      <c r="V175" s="117"/>
      <c r="W175" s="118"/>
    </row>
    <row r="176" spans="1:23" x14ac:dyDescent="0.25">
      <c r="B176" s="27"/>
      <c r="C176" s="28"/>
      <c r="D176" s="28"/>
      <c r="E176" s="28"/>
      <c r="F176" s="28"/>
      <c r="G176" s="29"/>
      <c r="J176" s="27"/>
      <c r="K176" s="28"/>
      <c r="L176" s="28"/>
      <c r="M176" s="28"/>
      <c r="N176" s="28"/>
      <c r="O176" s="29"/>
      <c r="R176" s="32"/>
      <c r="S176" s="28"/>
      <c r="T176" s="28"/>
      <c r="U176" s="28"/>
      <c r="V176" s="28"/>
      <c r="W176" s="29"/>
    </row>
    <row r="177" spans="2:23" x14ac:dyDescent="0.25">
      <c r="B177" s="30"/>
      <c r="C177" s="19"/>
      <c r="D177" s="19"/>
      <c r="E177" s="19"/>
      <c r="F177" s="19"/>
      <c r="G177" s="31"/>
      <c r="J177" s="30"/>
      <c r="K177" s="19"/>
      <c r="L177" s="19"/>
      <c r="M177" s="19"/>
      <c r="N177" s="19"/>
      <c r="O177" s="31"/>
      <c r="R177" s="22"/>
      <c r="S177" s="19"/>
      <c r="T177" s="19"/>
      <c r="U177" s="19"/>
      <c r="V177" s="19"/>
      <c r="W177" s="31"/>
    </row>
    <row r="178" spans="2:23" x14ac:dyDescent="0.25">
      <c r="B178" s="22"/>
      <c r="G178" s="23"/>
      <c r="J178" s="22"/>
      <c r="O178" s="23"/>
      <c r="R178" s="22"/>
      <c r="W178" s="23"/>
    </row>
    <row r="179" spans="2:23" x14ac:dyDescent="0.25">
      <c r="B179" s="22"/>
      <c r="E179" s="34"/>
      <c r="F179" s="34"/>
      <c r="G179" s="23"/>
      <c r="J179" s="22"/>
      <c r="M179" s="104"/>
      <c r="N179" s="104"/>
      <c r="O179" s="23"/>
      <c r="R179" s="22"/>
      <c r="W179" s="23"/>
    </row>
    <row r="180" spans="2:23" x14ac:dyDescent="0.25">
      <c r="B180" s="22"/>
      <c r="G180" s="23"/>
      <c r="J180" s="22"/>
      <c r="O180" s="23"/>
      <c r="R180" s="22"/>
      <c r="W180" s="23"/>
    </row>
    <row r="181" spans="2:23" x14ac:dyDescent="0.25">
      <c r="B181" s="22"/>
      <c r="G181" s="23"/>
      <c r="J181" s="22"/>
      <c r="O181" s="23"/>
      <c r="R181" s="22"/>
      <c r="W181" s="23"/>
    </row>
    <row r="182" spans="2:23" x14ac:dyDescent="0.25">
      <c r="B182" s="22"/>
      <c r="G182" s="23"/>
      <c r="J182" s="22"/>
      <c r="O182" s="23"/>
      <c r="R182" s="22"/>
      <c r="W182" s="23"/>
    </row>
    <row r="183" spans="2:23" x14ac:dyDescent="0.25">
      <c r="B183" s="33"/>
      <c r="C183" s="34"/>
      <c r="G183" s="23"/>
      <c r="J183" s="113"/>
      <c r="K183" s="82"/>
      <c r="O183" s="23"/>
      <c r="R183" s="22"/>
      <c r="W183" s="23"/>
    </row>
    <row r="184" spans="2:23" x14ac:dyDescent="0.25">
      <c r="B184" s="22"/>
      <c r="G184" s="23"/>
      <c r="J184" s="22"/>
      <c r="O184" s="23"/>
      <c r="R184" s="22"/>
      <c r="W184" s="23"/>
    </row>
    <row r="185" spans="2:23" x14ac:dyDescent="0.25">
      <c r="B185" s="22"/>
      <c r="G185" s="23"/>
      <c r="J185" s="22"/>
      <c r="O185" s="23"/>
      <c r="R185" s="22"/>
      <c r="W185" s="23"/>
    </row>
    <row r="186" spans="2:23" x14ac:dyDescent="0.25">
      <c r="B186" s="22"/>
      <c r="G186" s="23"/>
      <c r="J186" s="22"/>
      <c r="O186" s="23"/>
      <c r="R186" s="22"/>
      <c r="W186" s="23"/>
    </row>
    <row r="187" spans="2:23" x14ac:dyDescent="0.25">
      <c r="B187" s="22"/>
      <c r="G187" s="23"/>
      <c r="J187" s="22"/>
      <c r="O187" s="23"/>
      <c r="R187" s="22"/>
      <c r="W187" s="23"/>
    </row>
    <row r="188" spans="2:23" x14ac:dyDescent="0.25">
      <c r="B188" s="22"/>
      <c r="G188" s="23"/>
      <c r="J188" s="22"/>
      <c r="O188" s="23"/>
      <c r="R188" s="22"/>
      <c r="W188" s="23"/>
    </row>
    <row r="189" spans="2:23" x14ac:dyDescent="0.25">
      <c r="B189" s="22"/>
      <c r="G189" s="23"/>
      <c r="J189" s="22"/>
      <c r="O189" s="23"/>
      <c r="R189" s="22"/>
      <c r="W189" s="23"/>
    </row>
    <row r="190" spans="2:23" x14ac:dyDescent="0.25">
      <c r="B190" s="22"/>
      <c r="G190" s="23"/>
      <c r="J190" s="22"/>
      <c r="O190" s="23"/>
      <c r="R190" s="22"/>
      <c r="W190" s="23"/>
    </row>
    <row r="191" spans="2:23" x14ac:dyDescent="0.25">
      <c r="B191" s="22"/>
      <c r="G191" s="23"/>
      <c r="J191" s="22"/>
      <c r="O191" s="23"/>
      <c r="R191" s="22"/>
      <c r="W191" s="23"/>
    </row>
    <row r="192" spans="2:23" x14ac:dyDescent="0.25">
      <c r="B192" s="22"/>
      <c r="G192" s="23"/>
      <c r="J192" s="22"/>
      <c r="O192" s="23"/>
      <c r="R192" s="22"/>
      <c r="W192" s="23"/>
    </row>
    <row r="193" spans="2:81" x14ac:dyDescent="0.25">
      <c r="B193" s="22"/>
      <c r="G193" s="23"/>
      <c r="J193" s="22"/>
      <c r="O193" s="23"/>
      <c r="R193" s="22"/>
      <c r="W193" s="23"/>
    </row>
    <row r="194" spans="2:81" x14ac:dyDescent="0.25">
      <c r="B194" s="22"/>
      <c r="G194" s="23"/>
      <c r="J194" s="22"/>
      <c r="O194" s="23"/>
      <c r="R194" s="22"/>
      <c r="W194" s="23"/>
    </row>
    <row r="195" spans="2:81" x14ac:dyDescent="0.25">
      <c r="B195" s="22"/>
      <c r="G195" s="23"/>
      <c r="J195" s="22"/>
      <c r="O195" s="23"/>
      <c r="R195" s="22"/>
      <c r="W195" s="23"/>
    </row>
    <row r="196" spans="2:81" x14ac:dyDescent="0.25">
      <c r="B196" s="22"/>
      <c r="G196" s="23"/>
      <c r="J196" s="22"/>
      <c r="O196" s="23"/>
      <c r="R196" s="22"/>
      <c r="W196" s="23"/>
    </row>
    <row r="197" spans="2:81" x14ac:dyDescent="0.25">
      <c r="B197" s="22"/>
      <c r="G197" s="23"/>
      <c r="J197" s="22"/>
      <c r="O197" s="23"/>
      <c r="R197" s="22"/>
      <c r="W197" s="23"/>
    </row>
    <row r="198" spans="2:81" x14ac:dyDescent="0.25">
      <c r="B198" s="22"/>
      <c r="G198" s="23"/>
      <c r="J198" s="22"/>
      <c r="O198" s="23"/>
      <c r="R198" s="22"/>
      <c r="W198" s="23"/>
    </row>
    <row r="199" spans="2:81" x14ac:dyDescent="0.25">
      <c r="B199" s="22"/>
      <c r="G199" s="23"/>
      <c r="J199" s="22"/>
      <c r="O199" s="23"/>
      <c r="R199" s="22"/>
      <c r="W199" s="23"/>
    </row>
    <row r="200" spans="2:81" x14ac:dyDescent="0.25">
      <c r="B200" s="22"/>
      <c r="G200" s="23"/>
      <c r="J200" s="22"/>
      <c r="O200" s="23"/>
      <c r="R200" s="22"/>
      <c r="W200" s="23"/>
    </row>
    <row r="201" spans="2:81" x14ac:dyDescent="0.25">
      <c r="B201" s="22"/>
      <c r="G201" s="23"/>
      <c r="J201" s="22"/>
      <c r="O201" s="23"/>
      <c r="R201" s="22"/>
      <c r="W201" s="23"/>
    </row>
    <row r="202" spans="2:81" x14ac:dyDescent="0.25">
      <c r="B202" s="22"/>
      <c r="G202" s="23"/>
      <c r="J202" s="22"/>
      <c r="O202" s="23"/>
      <c r="R202" s="22"/>
      <c r="W202" s="23"/>
    </row>
    <row r="203" spans="2:81" ht="13.8" x14ac:dyDescent="0.3">
      <c r="B203" s="22"/>
      <c r="G203" s="23"/>
      <c r="J203" s="22"/>
      <c r="O203" s="23"/>
      <c r="R203" s="22"/>
      <c r="W203" s="23"/>
      <c r="BS203" s="70" t="s">
        <v>131</v>
      </c>
      <c r="BT203" s="71"/>
      <c r="BU203" s="71"/>
      <c r="BV203" s="72"/>
    </row>
    <row r="204" spans="2:81" ht="13.8" x14ac:dyDescent="0.3">
      <c r="B204" s="22"/>
      <c r="G204" s="23"/>
      <c r="J204" s="22"/>
      <c r="O204" s="23"/>
      <c r="R204" s="22"/>
      <c r="W204" s="23"/>
      <c r="BS204" s="70" t="s">
        <v>132</v>
      </c>
      <c r="BT204" s="71"/>
      <c r="BU204" s="71"/>
      <c r="BV204" s="72"/>
      <c r="BZ204" s="70" t="s">
        <v>159</v>
      </c>
      <c r="CA204" s="71"/>
      <c r="CB204" s="71"/>
      <c r="CC204" s="72"/>
    </row>
    <row r="205" spans="2:81" ht="13.8" x14ac:dyDescent="0.3">
      <c r="B205" s="22"/>
      <c r="G205" s="23"/>
      <c r="J205" s="22"/>
      <c r="O205" s="23"/>
      <c r="R205" s="22"/>
      <c r="W205" s="23"/>
      <c r="BS205" s="44" t="s">
        <v>133</v>
      </c>
      <c r="BT205" s="44" t="s">
        <v>134</v>
      </c>
      <c r="BU205" s="44" t="s">
        <v>134</v>
      </c>
      <c r="BV205" s="44" t="s">
        <v>135</v>
      </c>
      <c r="BZ205" s="73" t="s">
        <v>160</v>
      </c>
      <c r="CA205" s="74"/>
      <c r="CB205" s="74"/>
      <c r="CC205" s="75"/>
    </row>
    <row r="206" spans="2:81" ht="14.4" x14ac:dyDescent="0.3">
      <c r="B206" s="24"/>
      <c r="C206" s="25"/>
      <c r="D206" s="25"/>
      <c r="E206" s="25"/>
      <c r="F206" s="25"/>
      <c r="G206" s="26"/>
      <c r="J206" s="24"/>
      <c r="K206" s="25"/>
      <c r="L206" s="25"/>
      <c r="M206" s="25"/>
      <c r="N206" s="25"/>
      <c r="O206" s="26"/>
      <c r="R206" s="24"/>
      <c r="S206" s="25"/>
      <c r="T206" s="25"/>
      <c r="U206" s="25"/>
      <c r="V206" s="25"/>
      <c r="W206" s="26"/>
      <c r="BS206" s="44"/>
      <c r="BT206" s="44" t="s">
        <v>136</v>
      </c>
      <c r="BU206" s="44" t="s">
        <v>125</v>
      </c>
      <c r="BV206" s="44" t="s">
        <v>124</v>
      </c>
      <c r="BZ206" s="53" t="s">
        <v>161</v>
      </c>
      <c r="CA206" s="54"/>
      <c r="CB206" s="55" t="s">
        <v>162</v>
      </c>
      <c r="CC206" s="55" t="s">
        <v>163</v>
      </c>
    </row>
    <row r="207" spans="2:81" ht="13.8" x14ac:dyDescent="0.3">
      <c r="BS207" s="44">
        <v>3</v>
      </c>
      <c r="BT207" s="49" t="s">
        <v>137</v>
      </c>
      <c r="BU207" s="45">
        <v>0.95250000000000001</v>
      </c>
      <c r="BV207" s="46">
        <v>0.71255739248085614</v>
      </c>
      <c r="BZ207" s="53" t="s">
        <v>164</v>
      </c>
      <c r="CA207" s="54"/>
      <c r="CB207" s="56">
        <v>0.9</v>
      </c>
      <c r="CC207" s="57">
        <v>0.9</v>
      </c>
    </row>
    <row r="208" spans="2:81" ht="13.8" x14ac:dyDescent="0.3">
      <c r="BS208" s="44">
        <v>4</v>
      </c>
      <c r="BT208" s="49" t="s">
        <v>138</v>
      </c>
      <c r="BU208" s="45">
        <v>1.27</v>
      </c>
      <c r="BV208" s="46">
        <v>1.2667686977437445</v>
      </c>
      <c r="BZ208" s="53" t="s">
        <v>165</v>
      </c>
      <c r="CA208" s="54"/>
      <c r="CB208" s="57">
        <v>0.7</v>
      </c>
      <c r="CC208" s="57">
        <v>0.65</v>
      </c>
    </row>
    <row r="209" spans="1:81" ht="13.8" x14ac:dyDescent="0.3">
      <c r="A209" s="88" t="s">
        <v>189</v>
      </c>
      <c r="B209" s="88"/>
      <c r="C209" s="88"/>
      <c r="D209" s="88"/>
      <c r="E209" s="88"/>
      <c r="F209" s="88"/>
      <c r="G209" s="88"/>
      <c r="I209" s="3" t="s">
        <v>17</v>
      </c>
      <c r="Z209" s="125" t="s">
        <v>86</v>
      </c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125"/>
      <c r="AQ209" s="125"/>
      <c r="AR209" s="125"/>
      <c r="AS209" s="125"/>
      <c r="AT209" s="125"/>
      <c r="AU209" s="125"/>
      <c r="AV209" s="125"/>
      <c r="AW209" s="125"/>
      <c r="AX209" s="125"/>
      <c r="AY209" s="125"/>
      <c r="BS209" s="44">
        <v>5</v>
      </c>
      <c r="BT209" s="49" t="s">
        <v>139</v>
      </c>
      <c r="BU209" s="45">
        <v>1.5874999999999999</v>
      </c>
      <c r="BV209" s="46">
        <v>1.9793260902246004</v>
      </c>
      <c r="BZ209" s="53" t="s">
        <v>166</v>
      </c>
      <c r="CA209" s="54"/>
      <c r="CB209" s="57">
        <v>0.85</v>
      </c>
      <c r="CC209" s="57">
        <v>0.75</v>
      </c>
    </row>
    <row r="210" spans="1:81" ht="13.8" x14ac:dyDescent="0.3"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BS210" s="44">
        <v>6</v>
      </c>
      <c r="BT210" s="49" t="s">
        <v>140</v>
      </c>
      <c r="BU210" s="45">
        <v>1.905</v>
      </c>
      <c r="BV210" s="46">
        <v>2.8502295699234246</v>
      </c>
      <c r="BZ210" s="53" t="s">
        <v>167</v>
      </c>
      <c r="CA210" s="54"/>
      <c r="CB210" s="57">
        <v>0.7</v>
      </c>
      <c r="CC210" s="58"/>
    </row>
    <row r="211" spans="1:81" ht="13.8" x14ac:dyDescent="0.3">
      <c r="D211" s="114" t="s">
        <v>18</v>
      </c>
      <c r="E211" s="114"/>
      <c r="F211" s="114"/>
      <c r="N211" s="7"/>
      <c r="O211" s="114" t="s">
        <v>156</v>
      </c>
      <c r="P211" s="114"/>
      <c r="Q211" s="114"/>
      <c r="R211" s="114"/>
      <c r="S211" s="7"/>
      <c r="AA211" s="43" t="s">
        <v>94</v>
      </c>
      <c r="AB211" s="43"/>
      <c r="AC211" s="43"/>
      <c r="AD211" s="43"/>
      <c r="AE211" s="43"/>
      <c r="BS211" s="44">
        <v>7</v>
      </c>
      <c r="BT211" s="49" t="s">
        <v>141</v>
      </c>
      <c r="BU211" s="45">
        <v>2.2225000000000001</v>
      </c>
      <c r="BV211" s="46">
        <v>3.8794791368402173</v>
      </c>
      <c r="BZ211" s="53" t="s">
        <v>168</v>
      </c>
      <c r="CA211" s="54"/>
      <c r="CB211" s="57">
        <v>0.75</v>
      </c>
      <c r="CC211" s="58"/>
    </row>
    <row r="212" spans="1:81" ht="13.8" x14ac:dyDescent="0.3">
      <c r="H212" s="32"/>
      <c r="I212" s="60"/>
      <c r="J212" s="60"/>
      <c r="K212" s="60"/>
      <c r="L212" s="60"/>
      <c r="M212" s="60"/>
      <c r="N212" s="61"/>
      <c r="BS212" s="44">
        <v>8</v>
      </c>
      <c r="BT212" s="49" t="s">
        <v>142</v>
      </c>
      <c r="BU212" s="45">
        <v>2.54</v>
      </c>
      <c r="BV212" s="46">
        <v>5.0670747909749778</v>
      </c>
    </row>
    <row r="213" spans="1:81" ht="13.8" x14ac:dyDescent="0.3">
      <c r="H213" s="22"/>
      <c r="N213" s="23"/>
      <c r="AC213" s="13" t="s">
        <v>19</v>
      </c>
      <c r="AD213" s="13"/>
      <c r="AE213" s="126">
        <f>D6</f>
        <v>210</v>
      </c>
      <c r="AF213" s="126"/>
      <c r="AG213" s="126"/>
      <c r="AH213" s="3" t="s">
        <v>184</v>
      </c>
      <c r="BS213" s="44">
        <v>9</v>
      </c>
      <c r="BT213" s="49" t="s">
        <v>143</v>
      </c>
      <c r="BU213" s="45">
        <v>2.8574999999999999</v>
      </c>
      <c r="BV213" s="46">
        <v>6.4130165323277053</v>
      </c>
    </row>
    <row r="214" spans="1:81" ht="13.8" x14ac:dyDescent="0.3">
      <c r="H214" s="22"/>
      <c r="M214" s="34"/>
      <c r="N214" s="23"/>
      <c r="AC214" s="13" t="s">
        <v>20</v>
      </c>
      <c r="AD214" s="13"/>
      <c r="AE214" s="126">
        <f>D7</f>
        <v>4200</v>
      </c>
      <c r="AF214" s="126"/>
      <c r="AG214" s="126"/>
      <c r="AH214" s="3" t="s">
        <v>185</v>
      </c>
      <c r="BS214" s="44">
        <v>10</v>
      </c>
      <c r="BT214" s="49" t="s">
        <v>144</v>
      </c>
      <c r="BU214" s="45">
        <v>3.1749999999999998</v>
      </c>
      <c r="BV214" s="46">
        <v>7.9173043608984015</v>
      </c>
    </row>
    <row r="215" spans="1:81" ht="13.8" x14ac:dyDescent="0.3">
      <c r="H215" s="22"/>
      <c r="N215" s="23"/>
      <c r="AC215" s="13" t="s">
        <v>172</v>
      </c>
      <c r="AD215" s="13"/>
      <c r="AE215" s="77">
        <f>D18</f>
        <v>0.25</v>
      </c>
      <c r="AF215" s="77"/>
      <c r="AG215" s="77"/>
      <c r="AH215" s="3" t="s">
        <v>180</v>
      </c>
      <c r="BS215" s="44">
        <v>11</v>
      </c>
      <c r="BT215" s="49" t="s">
        <v>145</v>
      </c>
      <c r="BU215" s="45">
        <v>3.4925000000000002</v>
      </c>
      <c r="BV215" s="46">
        <v>9.5799382766870682</v>
      </c>
    </row>
    <row r="216" spans="1:81" x14ac:dyDescent="0.25">
      <c r="H216" s="22"/>
      <c r="N216" s="23"/>
      <c r="P216" s="121">
        <v>2.97</v>
      </c>
      <c r="Q216" s="121"/>
      <c r="R216" s="121"/>
      <c r="S216" s="121"/>
      <c r="T216" s="121"/>
      <c r="AC216" s="13" t="s">
        <v>173</v>
      </c>
      <c r="AD216" s="13"/>
      <c r="AE216" s="77">
        <f>D19</f>
        <v>0.25</v>
      </c>
      <c r="AF216" s="77"/>
      <c r="AG216" s="77"/>
      <c r="AH216" s="3" t="s">
        <v>181</v>
      </c>
    </row>
    <row r="217" spans="1:81" x14ac:dyDescent="0.25">
      <c r="H217" s="22"/>
      <c r="N217" s="23"/>
      <c r="P217" s="82" t="str">
        <f>AD297</f>
        <v xml:space="preserve"> Ø 1/2" @ 32.08 cm</v>
      </c>
      <c r="Q217" s="82"/>
      <c r="R217" s="82"/>
      <c r="S217" s="82"/>
      <c r="T217" s="82"/>
      <c r="AC217" s="13" t="s">
        <v>174</v>
      </c>
      <c r="AD217" s="13"/>
      <c r="AE217" s="77">
        <f>D20</f>
        <v>0.25</v>
      </c>
      <c r="AF217" s="77"/>
      <c r="AG217" s="77"/>
      <c r="AH217" s="3" t="s">
        <v>182</v>
      </c>
    </row>
    <row r="218" spans="1:81" x14ac:dyDescent="0.25">
      <c r="H218" s="22"/>
      <c r="N218" s="62"/>
      <c r="O218" s="35"/>
      <c r="P218" s="35"/>
      <c r="Q218" s="35"/>
      <c r="R218" s="35"/>
      <c r="S218" s="35"/>
      <c r="T218" s="35"/>
      <c r="U218" s="35"/>
      <c r="AC218" s="13" t="s">
        <v>175</v>
      </c>
      <c r="AD218" s="13"/>
      <c r="AE218" s="77">
        <f>D21</f>
        <v>0.25</v>
      </c>
      <c r="AF218" s="77"/>
      <c r="AG218" s="77"/>
      <c r="AH218" s="3" t="s">
        <v>183</v>
      </c>
    </row>
    <row r="219" spans="1:81" x14ac:dyDescent="0.25">
      <c r="H219" s="22"/>
      <c r="N219" s="63"/>
      <c r="O219" s="39"/>
      <c r="P219" s="39"/>
      <c r="Q219" s="39"/>
      <c r="R219" s="39"/>
      <c r="S219" s="39"/>
      <c r="T219" s="39"/>
      <c r="U219" s="39"/>
      <c r="AC219" s="13" t="s">
        <v>87</v>
      </c>
      <c r="AD219" s="13"/>
      <c r="AE219" s="92">
        <v>0.9</v>
      </c>
      <c r="AF219" s="92"/>
      <c r="AG219" s="92"/>
      <c r="AH219" s="3" t="s">
        <v>95</v>
      </c>
      <c r="AZ219" s="6"/>
    </row>
    <row r="220" spans="1:81" x14ac:dyDescent="0.25">
      <c r="H220" s="22"/>
      <c r="N220" s="64"/>
      <c r="O220" s="59"/>
      <c r="P220" s="59"/>
      <c r="Q220" s="59"/>
      <c r="R220" s="59"/>
      <c r="S220" s="59"/>
      <c r="T220" s="59"/>
      <c r="U220" s="59"/>
      <c r="W220" s="82"/>
      <c r="X220" s="82"/>
      <c r="AC220" s="13" t="s">
        <v>87</v>
      </c>
      <c r="AD220" s="13"/>
      <c r="AE220" s="92">
        <v>0.85</v>
      </c>
      <c r="AF220" s="92"/>
      <c r="AG220" s="92"/>
      <c r="AH220" s="3" t="s">
        <v>158</v>
      </c>
    </row>
    <row r="221" spans="1:81" x14ac:dyDescent="0.25">
      <c r="C221" s="121">
        <v>5.59</v>
      </c>
      <c r="D221" s="121"/>
      <c r="E221" s="121"/>
      <c r="H221" s="22"/>
      <c r="N221" s="23"/>
      <c r="AC221" s="13" t="s">
        <v>88</v>
      </c>
      <c r="AD221" s="13"/>
      <c r="AE221" s="106">
        <v>1</v>
      </c>
      <c r="AF221" s="106"/>
      <c r="AG221" s="106"/>
      <c r="AH221" s="3" t="s">
        <v>96</v>
      </c>
    </row>
    <row r="222" spans="1:81" x14ac:dyDescent="0.25">
      <c r="A222" s="35"/>
      <c r="B222" s="35"/>
      <c r="C222" s="82" t="str">
        <f>AQ280</f>
        <v xml:space="preserve"> Ø 1/2" @ 15.21 cm</v>
      </c>
      <c r="D222" s="82"/>
      <c r="E222" s="82"/>
      <c r="F222" s="35"/>
      <c r="G222" s="35"/>
      <c r="H222" s="22"/>
      <c r="N222" s="23"/>
      <c r="AC222" s="13" t="s">
        <v>89</v>
      </c>
      <c r="AD222" s="13"/>
      <c r="AE222" s="122">
        <v>2E-3</v>
      </c>
      <c r="AF222" s="122"/>
      <c r="AG222" s="122"/>
      <c r="AH222" s="3" t="s">
        <v>97</v>
      </c>
    </row>
    <row r="223" spans="1:81" x14ac:dyDescent="0.25">
      <c r="A223" s="39"/>
      <c r="B223" s="39"/>
      <c r="C223" s="39"/>
      <c r="D223" s="39"/>
      <c r="E223" s="39"/>
      <c r="F223" s="39"/>
      <c r="G223" s="39"/>
      <c r="H223" s="22"/>
      <c r="N223" s="23"/>
      <c r="AC223" s="13" t="s">
        <v>100</v>
      </c>
      <c r="AD223" s="13"/>
      <c r="AE223" s="122">
        <v>2E-3</v>
      </c>
      <c r="AF223" s="122"/>
      <c r="AG223" s="122"/>
      <c r="AH223" s="3" t="s">
        <v>101</v>
      </c>
    </row>
    <row r="224" spans="1:81" x14ac:dyDescent="0.25">
      <c r="A224" s="59"/>
      <c r="B224" s="59"/>
      <c r="C224" s="59"/>
      <c r="D224" s="59"/>
      <c r="E224" s="59"/>
      <c r="F224" s="59"/>
      <c r="G224" s="59"/>
      <c r="H224" s="22"/>
      <c r="N224" s="23"/>
      <c r="AC224" s="13" t="s">
        <v>90</v>
      </c>
      <c r="AD224" s="13"/>
      <c r="AE224" s="106">
        <v>7.4999999999999997E-2</v>
      </c>
      <c r="AF224" s="106"/>
      <c r="AG224" s="106"/>
      <c r="AH224" s="3" t="s">
        <v>98</v>
      </c>
    </row>
    <row r="225" spans="1:64" x14ac:dyDescent="0.25">
      <c r="H225" s="22"/>
      <c r="N225" s="23"/>
      <c r="AC225" s="13" t="s">
        <v>91</v>
      </c>
      <c r="AD225" s="13"/>
      <c r="AE225" s="106">
        <v>2.5000000000000001E-2</v>
      </c>
      <c r="AF225" s="106"/>
      <c r="AG225" s="106"/>
      <c r="AH225" s="3" t="s">
        <v>99</v>
      </c>
    </row>
    <row r="226" spans="1:64" x14ac:dyDescent="0.25">
      <c r="H226" s="22"/>
      <c r="N226" s="23"/>
      <c r="P226" s="121">
        <v>2.65</v>
      </c>
      <c r="Q226" s="121"/>
      <c r="R226" s="121"/>
      <c r="S226" s="121"/>
      <c r="T226" s="121"/>
      <c r="AC226" s="13" t="s">
        <v>102</v>
      </c>
      <c r="AD226" s="13"/>
      <c r="AE226" s="105">
        <f>AE222*AE215*AE221*10000</f>
        <v>5</v>
      </c>
      <c r="AF226" s="105"/>
      <c r="AG226" s="105"/>
      <c r="AH226" s="3" t="s">
        <v>104</v>
      </c>
    </row>
    <row r="227" spans="1:64" x14ac:dyDescent="0.25">
      <c r="H227" s="22"/>
      <c r="N227" s="23"/>
      <c r="P227" s="82" t="str">
        <f>AD280</f>
        <v xml:space="preserve"> Ø 3/8" @ 16.09 cm</v>
      </c>
      <c r="Q227" s="82"/>
      <c r="R227" s="82"/>
      <c r="S227" s="82"/>
      <c r="T227" s="82"/>
      <c r="AC227" s="13" t="s">
        <v>103</v>
      </c>
      <c r="AD227" s="13"/>
      <c r="AE227" s="105">
        <f>AE223*AE215*AE221*10000</f>
        <v>5</v>
      </c>
      <c r="AF227" s="105"/>
      <c r="AG227" s="105"/>
      <c r="AH227" s="3" t="s">
        <v>105</v>
      </c>
    </row>
    <row r="228" spans="1:64" x14ac:dyDescent="0.25">
      <c r="H228" s="22"/>
      <c r="N228" s="62"/>
      <c r="O228" s="35"/>
      <c r="P228" s="35"/>
      <c r="Q228" s="35"/>
      <c r="R228" s="35"/>
      <c r="S228" s="35"/>
      <c r="T228" s="35"/>
      <c r="U228" s="35"/>
      <c r="V228" s="35"/>
    </row>
    <row r="229" spans="1:64" x14ac:dyDescent="0.25">
      <c r="H229" s="22"/>
      <c r="N229" s="63"/>
      <c r="O229" s="39"/>
      <c r="P229" s="39"/>
      <c r="Q229" s="39"/>
      <c r="R229" s="39"/>
      <c r="S229" s="39"/>
      <c r="T229" s="39"/>
      <c r="U229" s="39"/>
      <c r="Z229" s="127" t="s">
        <v>147</v>
      </c>
      <c r="AA229" s="127"/>
      <c r="AB229" s="127"/>
      <c r="AC229" s="127"/>
      <c r="AD229" s="127"/>
      <c r="AE229" s="127"/>
      <c r="AF229" s="127"/>
      <c r="AG229" s="127"/>
    </row>
    <row r="230" spans="1:64" x14ac:dyDescent="0.25">
      <c r="H230" s="22"/>
      <c r="N230" s="64"/>
      <c r="O230" s="59"/>
      <c r="P230" s="59"/>
      <c r="Q230" s="59"/>
      <c r="R230" s="59"/>
      <c r="S230" s="59"/>
      <c r="T230" s="59"/>
      <c r="U230" s="59"/>
    </row>
    <row r="231" spans="1:64" ht="12" customHeight="1" x14ac:dyDescent="0.3">
      <c r="C231" s="121">
        <v>5.34</v>
      </c>
      <c r="D231" s="121"/>
      <c r="E231" s="121"/>
      <c r="H231" s="22"/>
      <c r="N231" s="23"/>
      <c r="AC231" s="69" t="s">
        <v>120</v>
      </c>
      <c r="BC231" s="3" t="s">
        <v>127</v>
      </c>
      <c r="BI231" s="3" t="s">
        <v>129</v>
      </c>
    </row>
    <row r="232" spans="1:64" ht="12.75" customHeight="1" x14ac:dyDescent="0.25">
      <c r="A232" s="35"/>
      <c r="B232" s="35"/>
      <c r="C232" s="82" t="str">
        <f>AQ263</f>
        <v xml:space="preserve"> Ø 5/8" @ 22.73 cm</v>
      </c>
      <c r="D232" s="82"/>
      <c r="E232" s="82"/>
      <c r="F232" s="35"/>
      <c r="G232" s="35"/>
      <c r="H232" s="22"/>
      <c r="N232" s="23"/>
      <c r="BC232" s="38" t="s">
        <v>122</v>
      </c>
      <c r="BD232" s="79">
        <f>AD236*100000/($AE$219*$AE$214*(AD237-AD238/2))</f>
        <v>10.324699706512344</v>
      </c>
      <c r="BE232" s="79"/>
      <c r="BF232" s="79"/>
      <c r="BI232" s="38" t="s">
        <v>122</v>
      </c>
      <c r="BJ232" s="79">
        <f>AQ236*100000/($AE$219*$AE$214*(AQ237-AQ238/2))</f>
        <v>18.052363731376076</v>
      </c>
      <c r="BK232" s="79"/>
      <c r="BL232" s="79"/>
    </row>
    <row r="233" spans="1:64" ht="12" customHeight="1" x14ac:dyDescent="0.25">
      <c r="A233" s="39"/>
      <c r="B233" s="39"/>
      <c r="C233" s="39"/>
      <c r="D233" s="39"/>
      <c r="E233" s="39"/>
      <c r="F233" s="39"/>
      <c r="G233" s="39"/>
      <c r="H233" s="22"/>
      <c r="N233" s="23"/>
      <c r="AC233" s="83" t="s">
        <v>126</v>
      </c>
      <c r="AD233" s="83"/>
      <c r="AE233" s="83"/>
      <c r="AG233" s="41"/>
      <c r="AP233" s="42" t="s">
        <v>128</v>
      </c>
      <c r="AQ233" s="42"/>
      <c r="AR233" s="42"/>
      <c r="BC233" s="40" t="s">
        <v>123</v>
      </c>
      <c r="BD233" s="78">
        <f>BD232*$AE$214/(0.85*$AE$213*$AE$221*100)</f>
        <v>2.4293411074146691</v>
      </c>
      <c r="BE233" s="78" t="s">
        <v>125</v>
      </c>
      <c r="BF233" s="78"/>
      <c r="BI233" s="40" t="s">
        <v>123</v>
      </c>
      <c r="BJ233" s="78">
        <f>BJ232*$AE$214/(0.85*$AE$213*$AE$221*100)</f>
        <v>4.2476149956178997</v>
      </c>
      <c r="BK233" s="78" t="s">
        <v>125</v>
      </c>
      <c r="BL233" s="78"/>
    </row>
    <row r="234" spans="1:64" ht="12" customHeight="1" x14ac:dyDescent="0.25">
      <c r="A234" s="59"/>
      <c r="B234" s="59"/>
      <c r="C234" s="59"/>
      <c r="D234" s="59"/>
      <c r="E234" s="59"/>
      <c r="F234" s="59"/>
      <c r="G234" s="59"/>
      <c r="H234" s="22"/>
      <c r="N234" s="23"/>
      <c r="BC234" s="38" t="s">
        <v>122</v>
      </c>
      <c r="BD234" s="79">
        <f>AD236*100000/($AE$219*$AE$214*(AD237-BD233/2))</f>
        <v>9.8388068676104794</v>
      </c>
      <c r="BE234" s="79" t="s">
        <v>124</v>
      </c>
      <c r="BF234" s="79"/>
      <c r="BI234" s="38" t="s">
        <v>122</v>
      </c>
      <c r="BJ234" s="79">
        <f>AQ236*100000/($AE$219*$AE$214*(AQ237-BJ233/2))</f>
        <v>18.6133819068917</v>
      </c>
      <c r="BK234" s="79" t="s">
        <v>124</v>
      </c>
      <c r="BL234" s="79"/>
    </row>
    <row r="235" spans="1:64" ht="12" customHeight="1" x14ac:dyDescent="0.25">
      <c r="H235" s="22"/>
      <c r="N235" s="23"/>
      <c r="AC235" s="48" t="s">
        <v>149</v>
      </c>
      <c r="AD235" s="84">
        <v>4</v>
      </c>
      <c r="AE235" s="84"/>
      <c r="AF235" s="3" t="str">
        <f>LOOKUP(AD235,$BS$207:$BS$215,$BT$207:$BT$215)</f>
        <v xml:space="preserve"> Ø 1/2"</v>
      </c>
      <c r="AH235" s="18">
        <f>LOOKUP(AD235,$BS$207:$BS$215,$BU$207:$BU$215)</f>
        <v>1.27</v>
      </c>
      <c r="AI235" s="3">
        <f>LOOKUP(AD235,$BS$207:$BS$215,$BV$207:$BV$215)</f>
        <v>1.2667686977437445</v>
      </c>
      <c r="AP235" s="48" t="s">
        <v>149</v>
      </c>
      <c r="AQ235" s="84">
        <v>5</v>
      </c>
      <c r="AR235" s="84"/>
      <c r="AS235" s="3" t="str">
        <f>LOOKUP(AQ235,$BS$207:$BS$215,$BT$207:$BT$215)</f>
        <v xml:space="preserve"> Ø 5/8"</v>
      </c>
      <c r="AU235" s="18">
        <f>LOOKUP(AQ235,$BS$207:$BS$215,$BU$207:$BU$215)</f>
        <v>1.5874999999999999</v>
      </c>
      <c r="AV235" s="3">
        <f>LOOKUP(AQ235,$BS$207:$BS$215,$BV$207:$BV$215)</f>
        <v>1.9793260902246004</v>
      </c>
      <c r="BC235" s="40" t="s">
        <v>123</v>
      </c>
      <c r="BD235" s="78">
        <f>BD234*$AE$214/(0.85*$AE$213*$AE$221*100)</f>
        <v>2.3150133806142303</v>
      </c>
      <c r="BE235" s="78" t="s">
        <v>125</v>
      </c>
      <c r="BF235" s="78"/>
      <c r="BI235" s="40" t="s">
        <v>123</v>
      </c>
      <c r="BJ235" s="78">
        <f>BJ234*$AE$214/(0.85*$AE$213*$AE$221*100)</f>
        <v>4.3796192722098111</v>
      </c>
      <c r="BK235" s="78" t="s">
        <v>125</v>
      </c>
      <c r="BL235" s="78"/>
    </row>
    <row r="236" spans="1:64" ht="12" customHeight="1" x14ac:dyDescent="0.25">
      <c r="H236" s="22"/>
      <c r="N236" s="23"/>
      <c r="P236" s="121">
        <v>2.66</v>
      </c>
      <c r="Q236" s="121"/>
      <c r="R236" s="121"/>
      <c r="S236" s="121"/>
      <c r="T236" s="121"/>
      <c r="AC236" s="9" t="s">
        <v>121</v>
      </c>
      <c r="AD236" s="81">
        <f>P246</f>
        <v>7.68</v>
      </c>
      <c r="AE236" s="81"/>
      <c r="AF236" s="81"/>
      <c r="AG236" s="81"/>
      <c r="AH236" s="3" t="s">
        <v>130</v>
      </c>
      <c r="AP236" s="9" t="s">
        <v>121</v>
      </c>
      <c r="AQ236" s="81">
        <f>C241</f>
        <v>10.26</v>
      </c>
      <c r="AR236" s="81"/>
      <c r="AS236" s="81"/>
      <c r="AT236" s="81"/>
      <c r="AU236" s="3" t="s">
        <v>130</v>
      </c>
      <c r="BC236" s="38" t="s">
        <v>122</v>
      </c>
      <c r="BD236" s="79">
        <f>AD236*100000/($AE$219*$AE$214*(AD237-BD235/2))</f>
        <v>9.8116464477861278</v>
      </c>
      <c r="BE236" s="79" t="s">
        <v>124</v>
      </c>
      <c r="BF236" s="79"/>
      <c r="BI236" s="38" t="s">
        <v>122</v>
      </c>
      <c r="BJ236" s="79">
        <f>AQ236*100000/($AE$219*$AE$214*(AQ237-BJ235/2))</f>
        <v>18.698011676723542</v>
      </c>
      <c r="BK236" s="79" t="s">
        <v>124</v>
      </c>
      <c r="BL236" s="79"/>
    </row>
    <row r="237" spans="1:64" ht="12" customHeight="1" x14ac:dyDescent="0.25">
      <c r="H237" s="22"/>
      <c r="N237" s="62"/>
      <c r="O237" s="35"/>
      <c r="P237" s="82" t="str">
        <f>AD263</f>
        <v xml:space="preserve"> Ø 5/8" @ 47.96 cm</v>
      </c>
      <c r="Q237" s="82"/>
      <c r="R237" s="82"/>
      <c r="S237" s="82"/>
      <c r="T237" s="82"/>
      <c r="U237" s="35"/>
      <c r="AB237" s="85" t="s">
        <v>93</v>
      </c>
      <c r="AC237" s="85"/>
      <c r="AD237" s="78">
        <f>$AE$215*100-$AE$225*100-AH235/2</f>
        <v>21.864999999999998</v>
      </c>
      <c r="AE237" s="78"/>
      <c r="AF237" s="78"/>
      <c r="AG237" s="78"/>
      <c r="AH237" s="3" t="s">
        <v>107</v>
      </c>
      <c r="AO237" s="85" t="s">
        <v>92</v>
      </c>
      <c r="AP237" s="85"/>
      <c r="AQ237" s="78">
        <f>$AE$215*100-$AE$224*100-AU235/2</f>
        <v>16.706250000000001</v>
      </c>
      <c r="AR237" s="78"/>
      <c r="AS237" s="78"/>
      <c r="AT237" s="78"/>
      <c r="AU237" s="3" t="s">
        <v>106</v>
      </c>
      <c r="BC237" s="40" t="s">
        <v>123</v>
      </c>
      <c r="BD237" s="78">
        <f>BD236*$AE$214/(0.85*$AE$213*$AE$221*100)</f>
        <v>2.3086226935967358</v>
      </c>
      <c r="BE237" s="78" t="s">
        <v>125</v>
      </c>
      <c r="BF237" s="78"/>
      <c r="BI237" s="40" t="s">
        <v>123</v>
      </c>
      <c r="BJ237" s="78">
        <f>BJ236*$AE$214/(0.85*$AE$213*$AE$221*100)</f>
        <v>4.3995321592290688</v>
      </c>
      <c r="BK237" s="78" t="s">
        <v>125</v>
      </c>
      <c r="BL237" s="78"/>
    </row>
    <row r="238" spans="1:64" ht="12" customHeight="1" x14ac:dyDescent="0.25">
      <c r="H238" s="22"/>
      <c r="N238" s="63"/>
      <c r="O238" s="39"/>
      <c r="P238" s="39"/>
      <c r="Q238" s="39"/>
      <c r="R238" s="39"/>
      <c r="S238" s="39"/>
      <c r="T238" s="39"/>
      <c r="U238" s="39"/>
      <c r="AC238" s="13" t="s">
        <v>123</v>
      </c>
      <c r="AD238" s="78">
        <f>AD237/5</f>
        <v>4.3729999999999993</v>
      </c>
      <c r="AE238" s="78"/>
      <c r="AF238" s="78"/>
      <c r="AG238" s="78"/>
      <c r="AH238" s="3" t="s">
        <v>153</v>
      </c>
      <c r="AP238" s="13" t="s">
        <v>123</v>
      </c>
      <c r="AQ238" s="78">
        <f>AQ237/5</f>
        <v>3.3412500000000001</v>
      </c>
      <c r="AR238" s="78"/>
      <c r="AS238" s="78"/>
      <c r="AT238" s="78"/>
      <c r="AU238" s="3" t="s">
        <v>153</v>
      </c>
      <c r="BC238" s="38" t="s">
        <v>122</v>
      </c>
      <c r="BD238" s="79">
        <f>AD236*100000/($AE$219*$AE$214*(AD237-BD237/2))</f>
        <v>9.8101326603253618</v>
      </c>
      <c r="BE238" s="79" t="s">
        <v>124</v>
      </c>
      <c r="BF238" s="79"/>
      <c r="BI238" s="38" t="s">
        <v>122</v>
      </c>
      <c r="BJ238" s="79">
        <f>AQ236*100000/($AE$219*$AE$214*(AQ237-BJ237/2))</f>
        <v>18.710844951693783</v>
      </c>
      <c r="BK238" s="79" t="s">
        <v>124</v>
      </c>
      <c r="BL238" s="79"/>
    </row>
    <row r="239" spans="1:64" x14ac:dyDescent="0.25">
      <c r="H239" s="22"/>
      <c r="N239" s="64"/>
      <c r="O239" s="59"/>
      <c r="P239" s="59"/>
      <c r="Q239" s="59"/>
      <c r="R239" s="59"/>
      <c r="S239" s="59"/>
      <c r="T239" s="59"/>
      <c r="U239" s="59"/>
      <c r="AC239" s="9" t="s">
        <v>122</v>
      </c>
      <c r="AD239" s="79">
        <f>BD238</f>
        <v>9.8101326603253618</v>
      </c>
      <c r="AE239" s="79"/>
      <c r="AF239" s="79"/>
      <c r="AG239" s="79"/>
      <c r="AP239" s="9" t="s">
        <v>122</v>
      </c>
      <c r="AQ239" s="79">
        <f>BJ238</f>
        <v>18.710844951693783</v>
      </c>
      <c r="AR239" s="79"/>
      <c r="AS239" s="79"/>
      <c r="AT239" s="79"/>
      <c r="BD239" s="79"/>
      <c r="BE239" s="79"/>
      <c r="BF239" s="79"/>
    </row>
    <row r="240" spans="1:64" x14ac:dyDescent="0.25">
      <c r="H240" s="22"/>
      <c r="N240" s="23"/>
    </row>
    <row r="241" spans="1:64" x14ac:dyDescent="0.25">
      <c r="A241" s="35"/>
      <c r="B241" s="35"/>
      <c r="C241" s="121">
        <v>10.26</v>
      </c>
      <c r="D241" s="121"/>
      <c r="E241" s="121"/>
      <c r="F241" s="35"/>
      <c r="G241" s="35"/>
      <c r="H241" s="22"/>
      <c r="N241" s="23"/>
      <c r="AC241" s="48" t="s">
        <v>146</v>
      </c>
      <c r="AD241" s="80">
        <f>MAX($AE$226,AD239)</f>
        <v>9.8101326603253618</v>
      </c>
      <c r="AE241" s="80"/>
      <c r="AF241" s="80"/>
      <c r="AG241" s="80"/>
      <c r="AP241" s="47" t="s">
        <v>148</v>
      </c>
      <c r="AQ241" s="80">
        <f>MAX(AQ239,$AE$226)</f>
        <v>18.710844951693783</v>
      </c>
      <c r="AR241" s="80"/>
      <c r="AS241" s="80"/>
      <c r="AT241" s="80"/>
    </row>
    <row r="242" spans="1:64" x14ac:dyDescent="0.25">
      <c r="A242" s="39"/>
      <c r="B242" s="39"/>
      <c r="C242" s="82" t="str">
        <f>AQ246</f>
        <v xml:space="preserve"> Ø 5/8" @ 11.36 cm</v>
      </c>
      <c r="D242" s="82"/>
      <c r="E242" s="82"/>
      <c r="G242" s="39"/>
      <c r="H242" s="22"/>
      <c r="N242" s="23"/>
    </row>
    <row r="243" spans="1:64" x14ac:dyDescent="0.25">
      <c r="A243" s="59"/>
      <c r="B243" s="59"/>
      <c r="C243" s="59"/>
      <c r="D243" s="59"/>
      <c r="E243" s="59"/>
      <c r="F243" s="59"/>
      <c r="G243" s="59"/>
      <c r="H243" s="22"/>
      <c r="N243" s="23"/>
      <c r="AC243" s="13" t="s">
        <v>150</v>
      </c>
      <c r="AD243" s="76">
        <f>ROUND(AD241/AI235,0)</f>
        <v>8</v>
      </c>
      <c r="AE243" s="76"/>
      <c r="AP243" s="13" t="s">
        <v>150</v>
      </c>
      <c r="AQ243" s="76">
        <f>ROUND(AQ241/AV235,0)</f>
        <v>9</v>
      </c>
      <c r="AR243" s="76"/>
    </row>
    <row r="244" spans="1:64" x14ac:dyDescent="0.25">
      <c r="H244" s="22"/>
      <c r="N244" s="23"/>
      <c r="AC244" s="13" t="s">
        <v>151</v>
      </c>
      <c r="AD244" s="77">
        <f>($AE$221-$AE$225-AH235/100)/(AD243-1)</f>
        <v>0.13747142857142855</v>
      </c>
      <c r="AE244" s="77"/>
      <c r="AP244" s="13" t="s">
        <v>151</v>
      </c>
      <c r="AQ244" s="77">
        <f>($AE$221-$AE$224-AU235/100)/(AQ243-1)</f>
        <v>0.11364062500000001</v>
      </c>
      <c r="AR244" s="77"/>
    </row>
    <row r="245" spans="1:64" x14ac:dyDescent="0.25">
      <c r="H245" s="22"/>
      <c r="N245" s="23"/>
    </row>
    <row r="246" spans="1:64" ht="13.2" x14ac:dyDescent="0.25">
      <c r="H246" s="22"/>
      <c r="N246" s="62"/>
      <c r="O246" s="35"/>
      <c r="P246" s="121">
        <v>7.68</v>
      </c>
      <c r="Q246" s="121"/>
      <c r="R246" s="121"/>
      <c r="S246" s="121"/>
      <c r="T246" s="121"/>
      <c r="U246" s="35"/>
      <c r="AC246" s="50" t="s">
        <v>152</v>
      </c>
      <c r="AD246" s="51" t="str">
        <f>CONCATENATE(AF235," @ ",ROUND(AD244*100,2)," cm")</f>
        <v xml:space="preserve"> Ø 1/2" @ 13.75 cm</v>
      </c>
      <c r="AE246" s="51"/>
      <c r="AP246" s="50" t="s">
        <v>152</v>
      </c>
      <c r="AQ246" s="51" t="str">
        <f>CONCATENATE(AS235," @ ",ROUND(AQ244*100,2)," cm")</f>
        <v xml:space="preserve"> Ø 5/8" @ 11.36 cm</v>
      </c>
      <c r="AR246" s="51"/>
    </row>
    <row r="247" spans="1:64" x14ac:dyDescent="0.25">
      <c r="H247" s="22"/>
      <c r="N247" s="63"/>
      <c r="O247" s="39"/>
      <c r="P247" s="82" t="str">
        <f>AD246</f>
        <v xml:space="preserve"> Ø 1/2" @ 13.75 cm</v>
      </c>
      <c r="Q247" s="82"/>
      <c r="R247" s="82"/>
      <c r="S247" s="82"/>
      <c r="T247" s="82"/>
      <c r="U247" s="39"/>
    </row>
    <row r="248" spans="1:64" ht="13.8" x14ac:dyDescent="0.3">
      <c r="H248" s="22"/>
      <c r="N248" s="64"/>
      <c r="O248" s="59"/>
      <c r="P248" s="59"/>
      <c r="Q248" s="59"/>
      <c r="R248" s="59"/>
      <c r="S248" s="59"/>
      <c r="T248" s="59"/>
      <c r="U248" s="59"/>
      <c r="AC248" s="69" t="s">
        <v>154</v>
      </c>
      <c r="BC248" s="3" t="s">
        <v>127</v>
      </c>
      <c r="BI248" s="3" t="s">
        <v>129</v>
      </c>
    </row>
    <row r="249" spans="1:64" x14ac:dyDescent="0.25">
      <c r="H249" s="22"/>
      <c r="N249" s="23"/>
      <c r="BC249" s="38" t="s">
        <v>122</v>
      </c>
      <c r="BD249" s="79">
        <f>AD253*100000/($AE$219*$AE$214*(AD254-AD255/2))</f>
        <v>3.602156080001043</v>
      </c>
      <c r="BE249" s="79"/>
      <c r="BF249" s="79"/>
      <c r="BI249" s="38" t="s">
        <v>122</v>
      </c>
      <c r="BJ249" s="79">
        <f>AQ253*100000/($AE$219*$AE$214*(AQ254-AQ255/2))</f>
        <v>9.3956746905992432</v>
      </c>
      <c r="BK249" s="79"/>
      <c r="BL249" s="79"/>
    </row>
    <row r="250" spans="1:64" x14ac:dyDescent="0.25">
      <c r="H250" s="22"/>
      <c r="N250" s="23"/>
      <c r="AC250" s="83" t="s">
        <v>126</v>
      </c>
      <c r="AD250" s="83"/>
      <c r="AE250" s="83"/>
      <c r="AG250" s="41"/>
      <c r="AP250" s="42" t="s">
        <v>128</v>
      </c>
      <c r="AQ250" s="42"/>
      <c r="AR250" s="42"/>
      <c r="BC250" s="40" t="s">
        <v>123</v>
      </c>
      <c r="BD250" s="78">
        <f>BD249*$AE$214/(0.85*$AE$213*$AE$221*100)</f>
        <v>0.84756613647083356</v>
      </c>
      <c r="BE250" s="78" t="s">
        <v>125</v>
      </c>
      <c r="BF250" s="78"/>
      <c r="BI250" s="40" t="s">
        <v>123</v>
      </c>
      <c r="BJ250" s="78">
        <f>BJ249*$AE$214/(0.85*$AE$213*$AE$221*100)</f>
        <v>2.2107469860233513</v>
      </c>
      <c r="BK250" s="78" t="s">
        <v>125</v>
      </c>
      <c r="BL250" s="78"/>
    </row>
    <row r="251" spans="1:64" x14ac:dyDescent="0.25">
      <c r="H251" s="22"/>
      <c r="N251" s="23"/>
      <c r="BC251" s="38" t="s">
        <v>122</v>
      </c>
      <c r="BD251" s="79">
        <f>AD253*100000/($AE$219*$AE$214*(AD254-BD250/2))</f>
        <v>3.3064949940244439</v>
      </c>
      <c r="BE251" s="79" t="s">
        <v>124</v>
      </c>
      <c r="BF251" s="79"/>
      <c r="BI251" s="38" t="s">
        <v>122</v>
      </c>
      <c r="BJ251" s="79">
        <f>AQ253*100000/($AE$219*$AE$214*(AQ254-BJ250/2))</f>
        <v>9.055250274339409</v>
      </c>
      <c r="BK251" s="79" t="s">
        <v>124</v>
      </c>
      <c r="BL251" s="79"/>
    </row>
    <row r="252" spans="1:64" x14ac:dyDescent="0.25">
      <c r="H252" s="24"/>
      <c r="I252" s="25"/>
      <c r="J252" s="25"/>
      <c r="K252" s="25"/>
      <c r="L252" s="25"/>
      <c r="M252" s="25"/>
      <c r="N252" s="26"/>
      <c r="AC252" s="48" t="s">
        <v>149</v>
      </c>
      <c r="AD252" s="84">
        <v>5</v>
      </c>
      <c r="AE252" s="84"/>
      <c r="AF252" s="3" t="str">
        <f>LOOKUP(AD252,$BS$207:$BS$215,$BT$207:$BT$215)</f>
        <v xml:space="preserve"> Ø 5/8"</v>
      </c>
      <c r="AH252" s="18">
        <f>LOOKUP(AD252,$BS$207:$BS$215,$BU$207:$BU$215)</f>
        <v>1.5874999999999999</v>
      </c>
      <c r="AI252" s="3">
        <f>LOOKUP(AD252,$BS$207:$BS$215,$BV$207:$BV$215)</f>
        <v>1.9793260902246004</v>
      </c>
      <c r="AP252" s="48" t="s">
        <v>149</v>
      </c>
      <c r="AQ252" s="84">
        <v>5</v>
      </c>
      <c r="AR252" s="84"/>
      <c r="AS252" s="3" t="str">
        <f>LOOKUP(AQ252,$BS$207:$BS$215,$BT$207:$BT$215)</f>
        <v xml:space="preserve"> Ø 5/8"</v>
      </c>
      <c r="AU252" s="18">
        <f>LOOKUP(AQ252,$BS$207:$BS$215,$BU$207:$BU$215)</f>
        <v>1.5874999999999999</v>
      </c>
      <c r="AV252" s="3">
        <f>LOOKUP(AQ252,$BS$207:$BS$215,$BV$207:$BV$215)</f>
        <v>1.9793260902246004</v>
      </c>
      <c r="BC252" s="40" t="s">
        <v>123</v>
      </c>
      <c r="BD252" s="78">
        <f>BD251*$AE$214/(0.85*$AE$213*$AE$221*100)</f>
        <v>0.77799882212339866</v>
      </c>
      <c r="BE252" s="78" t="s">
        <v>125</v>
      </c>
      <c r="BF252" s="78"/>
      <c r="BI252" s="40" t="s">
        <v>123</v>
      </c>
      <c r="BJ252" s="78">
        <f>BJ251*$AE$214/(0.85*$AE$213*$AE$221*100)</f>
        <v>2.1306471233739788</v>
      </c>
      <c r="BK252" s="78" t="s">
        <v>125</v>
      </c>
      <c r="BL252" s="78"/>
    </row>
    <row r="253" spans="1:64" x14ac:dyDescent="0.25">
      <c r="AC253" s="9" t="s">
        <v>121</v>
      </c>
      <c r="AD253" s="81">
        <f>P236</f>
        <v>2.66</v>
      </c>
      <c r="AE253" s="81"/>
      <c r="AF253" s="81"/>
      <c r="AG253" s="81"/>
      <c r="AH253" s="3" t="s">
        <v>130</v>
      </c>
      <c r="AP253" s="9" t="s">
        <v>121</v>
      </c>
      <c r="AQ253" s="81">
        <f>C231</f>
        <v>5.34</v>
      </c>
      <c r="AR253" s="81"/>
      <c r="AS253" s="81"/>
      <c r="AT253" s="81"/>
      <c r="AU253" s="3" t="s">
        <v>130</v>
      </c>
      <c r="BC253" s="38" t="s">
        <v>122</v>
      </c>
      <c r="BD253" s="79">
        <f>AD253*100000/($AE$219*$AE$214*(AD254-BD252/2))</f>
        <v>3.3010997397049948</v>
      </c>
      <c r="BE253" s="79" t="s">
        <v>124</v>
      </c>
      <c r="BF253" s="79"/>
      <c r="BI253" s="38" t="s">
        <v>122</v>
      </c>
      <c r="BJ253" s="79">
        <f>AQ253*100000/($AE$219*$AE$214*(AQ254-BJ252/2))</f>
        <v>9.0320635306995438</v>
      </c>
      <c r="BK253" s="79" t="s">
        <v>124</v>
      </c>
      <c r="BL253" s="79"/>
    </row>
    <row r="254" spans="1:64" x14ac:dyDescent="0.25">
      <c r="C254" s="7"/>
      <c r="D254" s="7"/>
      <c r="E254" s="7"/>
      <c r="F254" s="7"/>
      <c r="G254" s="7"/>
      <c r="H254" s="7"/>
      <c r="I254" s="7"/>
      <c r="J254" s="7"/>
      <c r="L254" s="128"/>
      <c r="M254" s="114"/>
      <c r="N254" s="114"/>
      <c r="O254" s="114"/>
      <c r="P254" s="114"/>
      <c r="Q254" s="114"/>
      <c r="R254" s="19"/>
      <c r="AB254" s="85" t="s">
        <v>93</v>
      </c>
      <c r="AC254" s="85"/>
      <c r="AD254" s="78">
        <f>$AE$216*100-$AE$225*100-AH252/2</f>
        <v>21.706250000000001</v>
      </c>
      <c r="AE254" s="78"/>
      <c r="AF254" s="78"/>
      <c r="AG254" s="78"/>
      <c r="AH254" s="3" t="s">
        <v>107</v>
      </c>
      <c r="AO254" s="85" t="s">
        <v>92</v>
      </c>
      <c r="AP254" s="85"/>
      <c r="AQ254" s="78">
        <f>$AE$216*100-$AE$224*100-AU252/2</f>
        <v>16.706250000000001</v>
      </c>
      <c r="AR254" s="78"/>
      <c r="AS254" s="78"/>
      <c r="AT254" s="78"/>
      <c r="AU254" s="3" t="s">
        <v>106</v>
      </c>
      <c r="BC254" s="40" t="s">
        <v>123</v>
      </c>
      <c r="BD254" s="78">
        <f>BD253*$AE$214/(0.85*$AE$213*$AE$221*100)</f>
        <v>0.7767293505188223</v>
      </c>
      <c r="BE254" s="78" t="s">
        <v>125</v>
      </c>
      <c r="BF254" s="78"/>
      <c r="BI254" s="40" t="s">
        <v>123</v>
      </c>
      <c r="BJ254" s="78">
        <f>BJ253*$AE$214/(0.85*$AE$213*$AE$221*100)</f>
        <v>2.1251914189881278</v>
      </c>
      <c r="BK254" s="78" t="s">
        <v>125</v>
      </c>
      <c r="BL254" s="78"/>
    </row>
    <row r="255" spans="1:64" x14ac:dyDescent="0.25">
      <c r="AC255" s="13" t="s">
        <v>123</v>
      </c>
      <c r="AD255" s="78">
        <f>AD254/5</f>
        <v>4.3412500000000005</v>
      </c>
      <c r="AE255" s="78"/>
      <c r="AF255" s="78"/>
      <c r="AG255" s="78"/>
      <c r="AH255" s="3" t="s">
        <v>153</v>
      </c>
      <c r="AP255" s="13" t="s">
        <v>123</v>
      </c>
      <c r="AQ255" s="78">
        <f>AQ254/5</f>
        <v>3.3412500000000001</v>
      </c>
      <c r="AR255" s="78"/>
      <c r="AS255" s="78"/>
      <c r="AT255" s="78"/>
      <c r="AU255" s="3" t="s">
        <v>153</v>
      </c>
      <c r="BC255" s="38" t="s">
        <v>122</v>
      </c>
      <c r="BD255" s="79">
        <f>AD253*100000/($AE$219*$AE$214*(AD254-BD254/2))</f>
        <v>3.3010014501157698</v>
      </c>
      <c r="BE255" s="79" t="s">
        <v>124</v>
      </c>
      <c r="BF255" s="79"/>
      <c r="BI255" s="38" t="s">
        <v>122</v>
      </c>
      <c r="BJ255" s="79">
        <f>AQ253*100000/($AE$219*$AE$214*(AQ254-BJ254/2))</f>
        <v>9.0304885704088527</v>
      </c>
      <c r="BK255" s="79" t="s">
        <v>124</v>
      </c>
      <c r="BL255" s="79"/>
    </row>
    <row r="256" spans="1:64" x14ac:dyDescent="0.25">
      <c r="AC256" s="9" t="s">
        <v>122</v>
      </c>
      <c r="AD256" s="79">
        <f>BD255</f>
        <v>3.3010014501157698</v>
      </c>
      <c r="AE256" s="79"/>
      <c r="AF256" s="79"/>
      <c r="AG256" s="79"/>
      <c r="AP256" s="9" t="s">
        <v>122</v>
      </c>
      <c r="AQ256" s="79">
        <f>BJ255</f>
        <v>9.0304885704088527</v>
      </c>
      <c r="AR256" s="79"/>
      <c r="AS256" s="79"/>
      <c r="AT256" s="79"/>
      <c r="BD256" s="79"/>
      <c r="BE256" s="79"/>
      <c r="BF256" s="79"/>
    </row>
    <row r="257" spans="1:64" x14ac:dyDescent="0.25">
      <c r="A257" s="88" t="s">
        <v>85</v>
      </c>
      <c r="B257" s="88"/>
      <c r="C257" s="88"/>
      <c r="D257" s="88"/>
      <c r="E257" s="88"/>
      <c r="F257" s="88"/>
      <c r="G257" s="88"/>
      <c r="H257" s="88"/>
    </row>
    <row r="258" spans="1:64" x14ac:dyDescent="0.25">
      <c r="AC258" s="48" t="s">
        <v>146</v>
      </c>
      <c r="AD258" s="80">
        <f>MAX($AE$226,AD256)</f>
        <v>5</v>
      </c>
      <c r="AE258" s="80"/>
      <c r="AF258" s="80"/>
      <c r="AG258" s="80"/>
      <c r="AP258" s="47" t="s">
        <v>148</v>
      </c>
      <c r="AQ258" s="80">
        <f>MAX(AQ256,$AE$226)</f>
        <v>9.0304885704088527</v>
      </c>
      <c r="AR258" s="80"/>
      <c r="AS258" s="80"/>
      <c r="AT258" s="80"/>
    </row>
    <row r="259" spans="1:64" x14ac:dyDescent="0.25">
      <c r="D259" s="110" t="s">
        <v>18</v>
      </c>
      <c r="E259" s="110"/>
      <c r="F259" s="110"/>
      <c r="G259" s="65"/>
      <c r="H259" s="7"/>
      <c r="O259" s="114" t="s">
        <v>156</v>
      </c>
      <c r="P259" s="114"/>
      <c r="Q259" s="114"/>
      <c r="R259" s="114"/>
      <c r="S259" s="7"/>
    </row>
    <row r="260" spans="1:64" x14ac:dyDescent="0.25">
      <c r="H260" s="32"/>
      <c r="I260" s="60"/>
      <c r="J260" s="60"/>
      <c r="K260" s="60"/>
      <c r="L260" s="60"/>
      <c r="M260" s="60"/>
      <c r="N260" s="61"/>
      <c r="AC260" s="13" t="s">
        <v>150</v>
      </c>
      <c r="AD260" s="76">
        <f>ROUND(AD258/AI252,0)</f>
        <v>3</v>
      </c>
      <c r="AE260" s="76"/>
      <c r="AP260" s="13" t="s">
        <v>150</v>
      </c>
      <c r="AQ260" s="76">
        <f>ROUND(AQ258/AV252,0)</f>
        <v>5</v>
      </c>
      <c r="AR260" s="76"/>
    </row>
    <row r="261" spans="1:64" x14ac:dyDescent="0.25">
      <c r="H261" s="22"/>
      <c r="N261" s="23"/>
      <c r="AC261" s="13" t="s">
        <v>151</v>
      </c>
      <c r="AD261" s="77">
        <f>($AE$221-$AE$225-AH252/100)/(AD260-1)</f>
        <v>0.4795625</v>
      </c>
      <c r="AE261" s="77"/>
      <c r="AP261" s="13" t="s">
        <v>151</v>
      </c>
      <c r="AQ261" s="77">
        <f>($AE$221-$AE$224-AU252/100)/(AQ260-1)</f>
        <v>0.22728125000000002</v>
      </c>
      <c r="AR261" s="77"/>
    </row>
    <row r="262" spans="1:64" x14ac:dyDescent="0.25">
      <c r="C262" s="120">
        <v>5.31</v>
      </c>
      <c r="D262" s="120"/>
      <c r="E262" s="120"/>
      <c r="F262" s="120"/>
      <c r="H262" s="22"/>
      <c r="N262" s="23"/>
    </row>
    <row r="263" spans="1:64" ht="13.2" x14ac:dyDescent="0.25">
      <c r="C263" s="119">
        <f>AL319</f>
        <v>11.010087950543044</v>
      </c>
      <c r="D263" s="119"/>
      <c r="E263" s="119"/>
      <c r="F263" s="119"/>
      <c r="H263" s="22"/>
      <c r="N263" s="23"/>
      <c r="AC263" s="50" t="s">
        <v>152</v>
      </c>
      <c r="AD263" s="51" t="str">
        <f>CONCATENATE(AF252," @ ",ROUND(AD261*100,2)," cm")</f>
        <v xml:space="preserve"> Ø 5/8" @ 47.96 cm</v>
      </c>
      <c r="AE263" s="51"/>
      <c r="AP263" s="50" t="s">
        <v>152</v>
      </c>
      <c r="AQ263" s="51" t="str">
        <f>CONCATENATE(AS252," @ ",ROUND(AQ261*100,2)," cm")</f>
        <v xml:space="preserve"> Ø 5/8" @ 22.73 cm</v>
      </c>
      <c r="AR263" s="51"/>
    </row>
    <row r="264" spans="1:64" x14ac:dyDescent="0.25">
      <c r="C264" s="90" t="str">
        <f>IF(C263&gt;C262,"CUMPLE ESPESOR","NO CUMPLE ESPESOR")</f>
        <v>CUMPLE ESPESOR</v>
      </c>
      <c r="D264" s="90"/>
      <c r="E264" s="90"/>
      <c r="F264" s="90"/>
      <c r="H264" s="22"/>
      <c r="N264" s="23"/>
    </row>
    <row r="265" spans="1:64" ht="13.8" x14ac:dyDescent="0.3">
      <c r="H265" s="22"/>
      <c r="N265" s="23"/>
      <c r="AC265" s="69" t="s">
        <v>155</v>
      </c>
      <c r="BC265" s="3" t="s">
        <v>127</v>
      </c>
      <c r="BI265" s="3" t="s">
        <v>129</v>
      </c>
    </row>
    <row r="266" spans="1:64" x14ac:dyDescent="0.25">
      <c r="H266" s="22"/>
      <c r="N266" s="23"/>
      <c r="BC266" s="38" t="s">
        <v>122</v>
      </c>
      <c r="BD266" s="79">
        <f>AD270*100000/($AE$219*$AE$214*(AD271-AD272/2))</f>
        <v>3.5368797626713637</v>
      </c>
      <c r="BE266" s="79"/>
      <c r="BF266" s="79"/>
      <c r="BI266" s="38" t="s">
        <v>122</v>
      </c>
      <c r="BJ266" s="79">
        <f>AQ270*100000/($AE$219*$AE$214*(AQ271-AQ272/2))</f>
        <v>9.7429652392264003</v>
      </c>
      <c r="BK266" s="79"/>
      <c r="BL266" s="79"/>
    </row>
    <row r="267" spans="1:64" x14ac:dyDescent="0.25">
      <c r="H267" s="22"/>
      <c r="N267" s="23"/>
      <c r="AC267" s="83" t="s">
        <v>126</v>
      </c>
      <c r="AD267" s="83"/>
      <c r="AE267" s="83"/>
      <c r="AG267" s="41"/>
      <c r="AP267" s="42" t="s">
        <v>128</v>
      </c>
      <c r="AQ267" s="42"/>
      <c r="AR267" s="42"/>
      <c r="BC267" s="40" t="s">
        <v>123</v>
      </c>
      <c r="BD267" s="78">
        <f>BD266*$AE$214/(0.85*$AE$213*$AE$221*100)</f>
        <v>0.83220700298149741</v>
      </c>
      <c r="BE267" s="78" t="s">
        <v>125</v>
      </c>
      <c r="BF267" s="78"/>
      <c r="BI267" s="40" t="s">
        <v>123</v>
      </c>
      <c r="BJ267" s="78">
        <f>BJ266*$AE$214/(0.85*$AE$213*$AE$221*100)</f>
        <v>2.2924624092297412</v>
      </c>
      <c r="BK267" s="78" t="s">
        <v>125</v>
      </c>
      <c r="BL267" s="78"/>
    </row>
    <row r="268" spans="1:64" x14ac:dyDescent="0.25">
      <c r="H268" s="22"/>
      <c r="N268" s="23"/>
      <c r="BC268" s="38" t="s">
        <v>122</v>
      </c>
      <c r="BD268" s="79">
        <f>AD270*100000/($AE$219*$AE$214*(AD271-BD267/2))</f>
        <v>3.2444912550127487</v>
      </c>
      <c r="BE268" s="79" t="s">
        <v>124</v>
      </c>
      <c r="BF268" s="79"/>
      <c r="BI268" s="38" t="s">
        <v>122</v>
      </c>
      <c r="BJ268" s="79">
        <f>AQ270*100000/($AE$219*$AE$214*(AQ271-BJ267/2))</f>
        <v>9.4080904050840815</v>
      </c>
      <c r="BK268" s="79" t="s">
        <v>124</v>
      </c>
      <c r="BL268" s="79"/>
    </row>
    <row r="269" spans="1:64" x14ac:dyDescent="0.25">
      <c r="H269" s="22"/>
      <c r="N269" s="23"/>
      <c r="AC269" s="48" t="s">
        <v>149</v>
      </c>
      <c r="AD269" s="84">
        <v>3</v>
      </c>
      <c r="AE269" s="84"/>
      <c r="AF269" s="3" t="str">
        <f>LOOKUP(AD269,$BS$207:$BS$215,$BT$207:$BT$215)</f>
        <v xml:space="preserve"> Ø 3/8"</v>
      </c>
      <c r="AH269" s="18">
        <f>LOOKUP(AD269,$BS$207:$BS$215,$BU$207:$BU$215)</f>
        <v>0.95250000000000001</v>
      </c>
      <c r="AI269" s="3">
        <f>LOOKUP(AD269,$BS$207:$BS$215,$BV$207:$BV$215)</f>
        <v>0.71255739248085614</v>
      </c>
      <c r="AP269" s="48" t="s">
        <v>149</v>
      </c>
      <c r="AQ269" s="84">
        <v>4</v>
      </c>
      <c r="AR269" s="84"/>
      <c r="AS269" s="3" t="str">
        <f>LOOKUP(AQ269,$BS$207:$BS$215,$BT$207:$BT$215)</f>
        <v xml:space="preserve"> Ø 1/2"</v>
      </c>
      <c r="AU269" s="18">
        <f>LOOKUP(AQ269,$BS$207:$BS$215,$BU$207:$BU$215)</f>
        <v>1.27</v>
      </c>
      <c r="AV269" s="3">
        <f>LOOKUP(AQ269,$BS$207:$BS$215,$BV$207:$BV$215)</f>
        <v>1.2667686977437445</v>
      </c>
      <c r="BC269" s="40" t="s">
        <v>123</v>
      </c>
      <c r="BD269" s="78">
        <f>BD268*$AE$214/(0.85*$AE$213*$AE$221*100)</f>
        <v>0.76340970706182321</v>
      </c>
      <c r="BE269" s="78" t="s">
        <v>125</v>
      </c>
      <c r="BF269" s="78"/>
      <c r="BI269" s="40" t="s">
        <v>123</v>
      </c>
      <c r="BJ269" s="78">
        <f>BJ268*$AE$214/(0.85*$AE$213*$AE$221*100)</f>
        <v>2.2136683306080194</v>
      </c>
      <c r="BK269" s="78" t="s">
        <v>125</v>
      </c>
      <c r="BL269" s="78"/>
    </row>
    <row r="270" spans="1:64" x14ac:dyDescent="0.25">
      <c r="H270" s="22"/>
      <c r="N270" s="23"/>
      <c r="P270" s="120">
        <v>10.08</v>
      </c>
      <c r="Q270" s="120"/>
      <c r="R270" s="120"/>
      <c r="S270" s="120"/>
      <c r="T270" s="120"/>
      <c r="U270" s="120"/>
      <c r="AC270" s="9" t="s">
        <v>121</v>
      </c>
      <c r="AD270" s="81">
        <f>P226</f>
        <v>2.65</v>
      </c>
      <c r="AE270" s="81"/>
      <c r="AF270" s="81"/>
      <c r="AG270" s="81"/>
      <c r="AH270" s="3" t="s">
        <v>130</v>
      </c>
      <c r="AP270" s="9" t="s">
        <v>121</v>
      </c>
      <c r="AQ270" s="81">
        <f>C221</f>
        <v>5.59</v>
      </c>
      <c r="AR270" s="81"/>
      <c r="AS270" s="81"/>
      <c r="AT270" s="81"/>
      <c r="AU270" s="3" t="s">
        <v>130</v>
      </c>
      <c r="BC270" s="38" t="s">
        <v>122</v>
      </c>
      <c r="BD270" s="79">
        <f>AD270*100000/($AE$219*$AE$214*(AD271-BD269/2))</f>
        <v>3.2393343434669766</v>
      </c>
      <c r="BE270" s="79" t="s">
        <v>124</v>
      </c>
      <c r="BF270" s="79"/>
      <c r="BI270" s="38" t="s">
        <v>122</v>
      </c>
      <c r="BJ270" s="79">
        <f>AQ270*100000/($AE$219*$AE$214*(AQ271-BJ269/2))</f>
        <v>9.3845692090630859</v>
      </c>
      <c r="BK270" s="79" t="s">
        <v>124</v>
      </c>
      <c r="BL270" s="79"/>
    </row>
    <row r="271" spans="1:64" x14ac:dyDescent="0.25">
      <c r="C271" s="120">
        <v>10.39</v>
      </c>
      <c r="D271" s="120"/>
      <c r="E271" s="120"/>
      <c r="F271" s="120"/>
      <c r="H271" s="22"/>
      <c r="N271" s="23"/>
      <c r="P271" s="119">
        <f>AD319</f>
        <v>14.274270562622212</v>
      </c>
      <c r="Q271" s="119"/>
      <c r="R271" s="119"/>
      <c r="S271" s="119"/>
      <c r="T271" s="119"/>
      <c r="U271" s="119"/>
      <c r="AB271" s="85" t="s">
        <v>93</v>
      </c>
      <c r="AC271" s="85"/>
      <c r="AD271" s="78">
        <f>$AE$217*100-$AE$225*100-AH269/2</f>
        <v>22.02375</v>
      </c>
      <c r="AE271" s="78"/>
      <c r="AF271" s="78"/>
      <c r="AG271" s="78"/>
      <c r="AH271" s="3" t="s">
        <v>107</v>
      </c>
      <c r="AO271" s="85" t="s">
        <v>92</v>
      </c>
      <c r="AP271" s="85"/>
      <c r="AQ271" s="78">
        <f>$AE$217*100-$AE$224*100-AU269/2</f>
        <v>16.864999999999998</v>
      </c>
      <c r="AR271" s="78"/>
      <c r="AS271" s="78"/>
      <c r="AT271" s="78"/>
      <c r="AU271" s="3" t="s">
        <v>106</v>
      </c>
      <c r="BC271" s="40" t="s">
        <v>123</v>
      </c>
      <c r="BD271" s="78">
        <f>BD270*$AE$214/(0.85*$AE$213*$AE$221*100)</f>
        <v>0.76219631610987681</v>
      </c>
      <c r="BE271" s="78" t="s">
        <v>125</v>
      </c>
      <c r="BF271" s="78"/>
      <c r="BI271" s="40" t="s">
        <v>123</v>
      </c>
      <c r="BJ271" s="78">
        <f>BJ270*$AE$214/(0.85*$AE$213*$AE$221*100)</f>
        <v>2.2081339315442552</v>
      </c>
      <c r="BK271" s="78" t="s">
        <v>125</v>
      </c>
      <c r="BL271" s="78"/>
    </row>
    <row r="272" spans="1:64" x14ac:dyDescent="0.25">
      <c r="C272" s="119">
        <f>AL314</f>
        <v>11.010087950543044</v>
      </c>
      <c r="D272" s="119"/>
      <c r="E272" s="119"/>
      <c r="F272" s="119"/>
      <c r="H272" s="22"/>
      <c r="N272" s="23"/>
      <c r="P272" s="90" t="str">
        <f>IF(P271&gt;P270,"CUMPLE ESPESOR","NO CUMPLE ESPESOR")</f>
        <v>CUMPLE ESPESOR</v>
      </c>
      <c r="Q272" s="90"/>
      <c r="R272" s="90"/>
      <c r="S272" s="90"/>
      <c r="T272" s="90"/>
      <c r="U272" s="90"/>
      <c r="V272" s="90"/>
      <c r="AC272" s="13" t="s">
        <v>123</v>
      </c>
      <c r="AD272" s="78">
        <f>AD271/5</f>
        <v>4.4047499999999999</v>
      </c>
      <c r="AE272" s="78"/>
      <c r="AF272" s="78"/>
      <c r="AG272" s="78"/>
      <c r="AH272" s="3" t="s">
        <v>153</v>
      </c>
      <c r="AP272" s="13" t="s">
        <v>123</v>
      </c>
      <c r="AQ272" s="78">
        <f>AQ271/5</f>
        <v>3.3729999999999998</v>
      </c>
      <c r="AR272" s="78"/>
      <c r="AS272" s="78"/>
      <c r="AT272" s="78"/>
      <c r="AU272" s="3" t="s">
        <v>153</v>
      </c>
      <c r="BC272" s="38" t="s">
        <v>122</v>
      </c>
      <c r="BD272" s="79">
        <f>AD270*100000/($AE$219*$AE$214*(AD271-BD271/2))</f>
        <v>3.2392435371505561</v>
      </c>
      <c r="BE272" s="79" t="s">
        <v>124</v>
      </c>
      <c r="BF272" s="79"/>
      <c r="BI272" s="38" t="s">
        <v>122</v>
      </c>
      <c r="BJ272" s="79">
        <f>AQ270*100000/($AE$219*$AE$214*(AQ271-BJ271/2))</f>
        <v>9.382921528975503</v>
      </c>
      <c r="BK272" s="79" t="s">
        <v>124</v>
      </c>
      <c r="BL272" s="79"/>
    </row>
    <row r="273" spans="3:64" x14ac:dyDescent="0.25">
      <c r="C273" s="90" t="str">
        <f>+IF(C272&gt;C271,"CUMPLE ESPESOR","NO CUMPLE ESPESOR")</f>
        <v>CUMPLE ESPESOR</v>
      </c>
      <c r="D273" s="90"/>
      <c r="E273" s="90"/>
      <c r="F273" s="90"/>
      <c r="H273" s="22"/>
      <c r="N273" s="23"/>
      <c r="AC273" s="9" t="s">
        <v>122</v>
      </c>
      <c r="AD273" s="79">
        <f>BD272</f>
        <v>3.2392435371505561</v>
      </c>
      <c r="AE273" s="79"/>
      <c r="AF273" s="79"/>
      <c r="AG273" s="79"/>
      <c r="AP273" s="9" t="s">
        <v>122</v>
      </c>
      <c r="AQ273" s="79">
        <f>BJ272</f>
        <v>9.382921528975503</v>
      </c>
      <c r="AR273" s="79"/>
      <c r="AS273" s="79"/>
      <c r="AT273" s="79"/>
      <c r="BD273" s="79"/>
      <c r="BE273" s="79"/>
      <c r="BF273" s="79"/>
    </row>
    <row r="274" spans="3:64" x14ac:dyDescent="0.25">
      <c r="H274" s="22"/>
      <c r="N274" s="23"/>
    </row>
    <row r="275" spans="3:64" x14ac:dyDescent="0.25">
      <c r="H275" s="22"/>
      <c r="N275" s="23"/>
      <c r="AC275" s="48" t="s">
        <v>146</v>
      </c>
      <c r="AD275" s="80">
        <f>MAX($AE$226,AD273)</f>
        <v>5</v>
      </c>
      <c r="AE275" s="80"/>
      <c r="AF275" s="80"/>
      <c r="AG275" s="80"/>
      <c r="AP275" s="47" t="s">
        <v>148</v>
      </c>
      <c r="AQ275" s="80">
        <f>MAX(AQ273,$AE$226)</f>
        <v>9.382921528975503</v>
      </c>
      <c r="AR275" s="80"/>
      <c r="AS275" s="80"/>
      <c r="AT275" s="80"/>
    </row>
    <row r="276" spans="3:64" x14ac:dyDescent="0.25">
      <c r="H276" s="22"/>
      <c r="N276" s="23"/>
    </row>
    <row r="277" spans="3:64" x14ac:dyDescent="0.25">
      <c r="H277" s="22"/>
      <c r="N277" s="23"/>
      <c r="AC277" s="13" t="s">
        <v>150</v>
      </c>
      <c r="AD277" s="76">
        <f>ROUND(AD275/AI269,0)</f>
        <v>7</v>
      </c>
      <c r="AE277" s="76"/>
      <c r="AP277" s="13" t="s">
        <v>150</v>
      </c>
      <c r="AQ277" s="76">
        <f>ROUND(AQ275/AV269,0)</f>
        <v>7</v>
      </c>
      <c r="AR277" s="76"/>
    </row>
    <row r="278" spans="3:64" x14ac:dyDescent="0.25">
      <c r="H278" s="22"/>
      <c r="N278" s="23"/>
      <c r="AC278" s="13" t="s">
        <v>151</v>
      </c>
      <c r="AD278" s="77">
        <f>($AE$221-$AE$225-AH269/100)/(AD277-1)</f>
        <v>0.16091249999999999</v>
      </c>
      <c r="AE278" s="77"/>
      <c r="AP278" s="13" t="s">
        <v>151</v>
      </c>
      <c r="AQ278" s="77">
        <f>($AE$221-$AE$224-AU269/100)/(AQ277-1)</f>
        <v>0.15204999999999999</v>
      </c>
      <c r="AR278" s="77"/>
    </row>
    <row r="279" spans="3:64" x14ac:dyDescent="0.25">
      <c r="H279" s="22"/>
      <c r="N279" s="23"/>
      <c r="P279" s="120">
        <v>11.26</v>
      </c>
      <c r="Q279" s="120"/>
      <c r="R279" s="120"/>
      <c r="S279" s="120"/>
      <c r="T279" s="120"/>
      <c r="U279" s="120"/>
    </row>
    <row r="280" spans="3:64" ht="13.2" x14ac:dyDescent="0.25">
      <c r="C280" s="120">
        <v>11.79</v>
      </c>
      <c r="D280" s="120"/>
      <c r="E280" s="120"/>
      <c r="F280" s="120"/>
      <c r="H280" s="22"/>
      <c r="N280" s="23"/>
      <c r="P280" s="119">
        <f>AD314</f>
        <v>14.377908360555727</v>
      </c>
      <c r="Q280" s="119"/>
      <c r="R280" s="119"/>
      <c r="S280" s="119"/>
      <c r="T280" s="119"/>
      <c r="U280" s="119"/>
      <c r="AC280" s="50" t="s">
        <v>152</v>
      </c>
      <c r="AD280" s="51" t="str">
        <f>CONCATENATE(AF269," @ ",ROUND(AD278*100,2)," cm")</f>
        <v xml:space="preserve"> Ø 3/8" @ 16.09 cm</v>
      </c>
      <c r="AE280" s="51"/>
      <c r="AP280" s="50" t="s">
        <v>152</v>
      </c>
      <c r="AQ280" s="51" t="str">
        <f>CONCATENATE(AS269," @ ",ROUND(AQ278*100,2)," cm")</f>
        <v xml:space="preserve"> Ø 1/2" @ 15.21 cm</v>
      </c>
      <c r="AR280" s="51"/>
    </row>
    <row r="281" spans="3:64" x14ac:dyDescent="0.25">
      <c r="C281" s="119">
        <f>AL309</f>
        <v>10.90645015260953</v>
      </c>
      <c r="D281" s="119"/>
      <c r="E281" s="119"/>
      <c r="F281" s="119"/>
      <c r="H281" s="22"/>
      <c r="N281" s="23"/>
      <c r="P281" s="90" t="str">
        <f>IF(P280&gt;P279,"CUMPLE ESPESOR","NO CUMPLE ESPESOR")</f>
        <v>CUMPLE ESPESOR</v>
      </c>
      <c r="Q281" s="90"/>
      <c r="R281" s="90"/>
      <c r="S281" s="90"/>
      <c r="T281" s="90"/>
      <c r="U281" s="90"/>
      <c r="V281" s="90"/>
    </row>
    <row r="282" spans="3:64" ht="13.8" x14ac:dyDescent="0.3">
      <c r="C282" s="90" t="str">
        <f>IF(C281&gt;C280,"CUMPLE ESPESOR","NO CUMPLE ESPESOR")</f>
        <v>NO CUMPLE ESPESOR</v>
      </c>
      <c r="D282" s="90"/>
      <c r="E282" s="90"/>
      <c r="F282" s="90"/>
      <c r="H282" s="22"/>
      <c r="N282" s="23"/>
      <c r="AC282" s="69" t="s">
        <v>157</v>
      </c>
      <c r="BC282" s="3" t="s">
        <v>127</v>
      </c>
    </row>
    <row r="283" spans="3:64" x14ac:dyDescent="0.25">
      <c r="H283" s="22"/>
      <c r="N283" s="23"/>
      <c r="AP283" s="42" t="s">
        <v>128</v>
      </c>
      <c r="AQ283" s="42"/>
      <c r="AR283" s="42"/>
      <c r="BC283" s="38" t="s">
        <v>122</v>
      </c>
      <c r="BD283" s="79">
        <f>AD287*100000/($AE$219*$AE$214*(AD288-AD289/2))</f>
        <v>3.9927549646278209</v>
      </c>
      <c r="BE283" s="79"/>
      <c r="BF283" s="79"/>
      <c r="BI283" s="38"/>
      <c r="BJ283" s="82"/>
      <c r="BK283" s="79"/>
      <c r="BL283" s="79"/>
    </row>
    <row r="284" spans="3:64" x14ac:dyDescent="0.25">
      <c r="H284" s="22"/>
      <c r="N284" s="23"/>
      <c r="AC284" s="83" t="s">
        <v>126</v>
      </c>
      <c r="AD284" s="83"/>
      <c r="AE284" s="83"/>
      <c r="AG284" s="41"/>
      <c r="BC284" s="40" t="s">
        <v>123</v>
      </c>
      <c r="BD284" s="78">
        <f>BD283*$AE$214/(0.85*$AE$213*$AE$221*100)</f>
        <v>0.93947175638301672</v>
      </c>
      <c r="BE284" s="78" t="s">
        <v>125</v>
      </c>
      <c r="BF284" s="78"/>
      <c r="BI284" s="40"/>
      <c r="BJ284" s="78"/>
      <c r="BK284" s="78"/>
      <c r="BL284" s="78"/>
    </row>
    <row r="285" spans="3:64" x14ac:dyDescent="0.25">
      <c r="H285" s="22"/>
      <c r="N285" s="23"/>
      <c r="AP285" s="48" t="s">
        <v>149</v>
      </c>
      <c r="AQ285" s="84">
        <v>4</v>
      </c>
      <c r="AR285" s="84"/>
      <c r="AS285" s="3" t="str">
        <f>LOOKUP(AQ285,$BS$207:$BS$215,$BT$207:$BT$215)</f>
        <v xml:space="preserve"> Ø 1/2"</v>
      </c>
      <c r="AU285" s="18">
        <f>LOOKUP(AQ285,$BS$207:$BS$215,$BU$207:$BU$215)</f>
        <v>1.27</v>
      </c>
      <c r="AV285" s="3">
        <f>LOOKUP(AQ285,$BS$207:$BS$215,$BV$207:$BV$215)</f>
        <v>1.2667686977437445</v>
      </c>
      <c r="BC285" s="38" t="s">
        <v>122</v>
      </c>
      <c r="BD285" s="79">
        <f>AD287*100000/($AE$219*$AE$214*(AD288-BD284/2))</f>
        <v>3.6723747893039382</v>
      </c>
      <c r="BE285" s="79" t="s">
        <v>124</v>
      </c>
      <c r="BF285" s="79"/>
      <c r="BI285" s="38"/>
      <c r="BJ285" s="79"/>
      <c r="BK285" s="79"/>
      <c r="BL285" s="79"/>
    </row>
    <row r="286" spans="3:64" x14ac:dyDescent="0.25">
      <c r="H286" s="22"/>
      <c r="N286" s="23"/>
      <c r="AC286" s="48" t="s">
        <v>149</v>
      </c>
      <c r="AD286" s="84">
        <v>4</v>
      </c>
      <c r="AE286" s="84"/>
      <c r="AF286" s="3" t="str">
        <f>LOOKUP(AD286,$BS$207:$BS$215,$BT$207:$BT$215)</f>
        <v xml:space="preserve"> Ø 1/2"</v>
      </c>
      <c r="AH286" s="18">
        <f>LOOKUP(AD286,$BS$207:$BS$215,$BU$207:$BU$215)</f>
        <v>1.27</v>
      </c>
      <c r="AI286" s="3">
        <f>LOOKUP(AD286,$BS$207:$BS$215,$BV$207:$BV$215)</f>
        <v>1.2667686977437445</v>
      </c>
      <c r="AP286" s="9"/>
      <c r="AQ286" s="81"/>
      <c r="AR286" s="81"/>
      <c r="AS286" s="81"/>
      <c r="AT286" s="81"/>
      <c r="BC286" s="40" t="s">
        <v>123</v>
      </c>
      <c r="BD286" s="78">
        <f>BD285*$AE$214/(0.85*$AE$213*$AE$221*100)</f>
        <v>0.86408818571857371</v>
      </c>
      <c r="BE286" s="78" t="s">
        <v>125</v>
      </c>
      <c r="BF286" s="78"/>
      <c r="BI286" s="40"/>
      <c r="BJ286" s="78"/>
      <c r="BK286" s="78"/>
      <c r="BL286" s="78"/>
    </row>
    <row r="287" spans="3:64" x14ac:dyDescent="0.25">
      <c r="H287" s="22"/>
      <c r="N287" s="23"/>
      <c r="P287" s="120">
        <v>16.11</v>
      </c>
      <c r="Q287" s="120"/>
      <c r="R287" s="120"/>
      <c r="S287" s="120"/>
      <c r="T287" s="120"/>
      <c r="U287" s="120"/>
      <c r="AC287" s="9" t="s">
        <v>121</v>
      </c>
      <c r="AD287" s="81">
        <f>P216</f>
        <v>2.97</v>
      </c>
      <c r="AE287" s="81"/>
      <c r="AF287" s="81"/>
      <c r="AG287" s="81"/>
      <c r="AH287" s="3" t="s">
        <v>130</v>
      </c>
      <c r="AO287" s="85" t="s">
        <v>92</v>
      </c>
      <c r="AP287" s="85"/>
      <c r="AQ287" s="78">
        <f>$AE$218*100-$AE$224*100-AU285/2</f>
        <v>16.864999999999998</v>
      </c>
      <c r="AR287" s="78"/>
      <c r="AS287" s="78"/>
      <c r="AT287" s="78"/>
      <c r="AU287" s="3" t="s">
        <v>106</v>
      </c>
      <c r="BC287" s="38" t="s">
        <v>122</v>
      </c>
      <c r="BD287" s="79">
        <f>AD287*100000/($AE$219*$AE$214*(AD288-BD286/2))</f>
        <v>3.6659165871400559</v>
      </c>
      <c r="BE287" s="79" t="s">
        <v>124</v>
      </c>
      <c r="BF287" s="79"/>
      <c r="BI287" s="38"/>
      <c r="BJ287" s="79"/>
      <c r="BK287" s="79"/>
      <c r="BL287" s="79"/>
    </row>
    <row r="288" spans="3:64" x14ac:dyDescent="0.25">
      <c r="C288" s="120">
        <v>19.98</v>
      </c>
      <c r="D288" s="120"/>
      <c r="E288" s="120"/>
      <c r="F288" s="120"/>
      <c r="H288" s="22"/>
      <c r="N288" s="23"/>
      <c r="P288" s="119">
        <f>AD309</f>
        <v>14.170632764688703</v>
      </c>
      <c r="Q288" s="119"/>
      <c r="R288" s="119"/>
      <c r="S288" s="119"/>
      <c r="T288" s="119"/>
      <c r="U288" s="119"/>
      <c r="AB288" s="85" t="s">
        <v>93</v>
      </c>
      <c r="AC288" s="85"/>
      <c r="AD288" s="78">
        <f>$AE$218*100-$AE$225*100-AH286/2</f>
        <v>21.864999999999998</v>
      </c>
      <c r="AE288" s="78"/>
      <c r="AF288" s="78"/>
      <c r="AG288" s="78"/>
      <c r="AH288" s="3" t="s">
        <v>107</v>
      </c>
      <c r="AP288" s="13"/>
      <c r="AQ288" s="78"/>
      <c r="AR288" s="78"/>
      <c r="AS288" s="78"/>
      <c r="AT288" s="78"/>
      <c r="BC288" s="40" t="s">
        <v>123</v>
      </c>
      <c r="BD288" s="78">
        <f>BD287*$AE$214/(0.85*$AE$213*$AE$221*100)</f>
        <v>0.86256860873883667</v>
      </c>
      <c r="BE288" s="78" t="s">
        <v>125</v>
      </c>
      <c r="BF288" s="78"/>
      <c r="BI288" s="40"/>
      <c r="BJ288" s="78"/>
      <c r="BK288" s="78"/>
      <c r="BL288" s="78"/>
    </row>
    <row r="289" spans="3:64" x14ac:dyDescent="0.25">
      <c r="C289" s="119">
        <f>AL304</f>
        <v>10.90645015260953</v>
      </c>
      <c r="D289" s="119"/>
      <c r="E289" s="119"/>
      <c r="F289" s="119"/>
      <c r="H289" s="22"/>
      <c r="N289" s="23"/>
      <c r="P289" s="90" t="str">
        <f>IF(P288&gt;P287,"CUMPLE ESPESOR","NO CUMPLE ESPESOR")</f>
        <v>NO CUMPLE ESPESOR</v>
      </c>
      <c r="Q289" s="90"/>
      <c r="R289" s="90"/>
      <c r="S289" s="90"/>
      <c r="T289" s="90"/>
      <c r="U289" s="90"/>
      <c r="V289" s="90"/>
      <c r="AC289" s="13" t="s">
        <v>123</v>
      </c>
      <c r="AD289" s="78">
        <f>AD288/5</f>
        <v>4.3729999999999993</v>
      </c>
      <c r="AE289" s="78"/>
      <c r="AF289" s="78"/>
      <c r="AG289" s="78"/>
      <c r="AH289" s="3" t="s">
        <v>153</v>
      </c>
      <c r="AP289" s="9"/>
      <c r="AQ289" s="79"/>
      <c r="AR289" s="79"/>
      <c r="AS289" s="79"/>
      <c r="AT289" s="79"/>
      <c r="BC289" s="38" t="s">
        <v>122</v>
      </c>
      <c r="BD289" s="79">
        <f>AD287*100000/($AE$219*$AE$214*(AD288-BD288/2))</f>
        <v>3.6657866366794223</v>
      </c>
      <c r="BE289" s="79" t="s">
        <v>124</v>
      </c>
      <c r="BF289" s="79"/>
      <c r="BI289" s="38"/>
      <c r="BJ289" s="79"/>
      <c r="BK289" s="79"/>
      <c r="BL289" s="79"/>
    </row>
    <row r="290" spans="3:64" x14ac:dyDescent="0.25">
      <c r="C290" s="90" t="str">
        <f>IF(C289&gt;C288,"CUMPLE ESPESOR","NO CUMPLE ESPESOR")</f>
        <v>NO CUMPLE ESPESOR</v>
      </c>
      <c r="D290" s="90"/>
      <c r="E290" s="90"/>
      <c r="F290" s="90"/>
      <c r="H290" s="22"/>
      <c r="N290" s="23"/>
      <c r="AC290" s="9" t="s">
        <v>122</v>
      </c>
      <c r="AD290" s="79">
        <f>BD289</f>
        <v>3.6657866366794223</v>
      </c>
      <c r="AE290" s="79"/>
      <c r="AF290" s="79"/>
      <c r="AG290" s="79"/>
      <c r="BD290" s="79"/>
      <c r="BE290" s="79"/>
      <c r="BF290" s="79"/>
    </row>
    <row r="291" spans="3:64" x14ac:dyDescent="0.25">
      <c r="H291" s="22"/>
      <c r="N291" s="23"/>
    </row>
    <row r="292" spans="3:64" x14ac:dyDescent="0.25">
      <c r="H292" s="22"/>
      <c r="N292" s="23"/>
      <c r="AC292" s="48" t="s">
        <v>146</v>
      </c>
      <c r="AD292" s="80">
        <f>MAX($AE$226,AD290)</f>
        <v>5</v>
      </c>
      <c r="AE292" s="80"/>
      <c r="AF292" s="80"/>
      <c r="AG292" s="80"/>
      <c r="AP292" s="47"/>
      <c r="AQ292" s="80"/>
      <c r="AR292" s="80"/>
      <c r="AS292" s="80"/>
      <c r="AT292" s="80"/>
    </row>
    <row r="293" spans="3:64" x14ac:dyDescent="0.25">
      <c r="H293" s="22"/>
      <c r="N293" s="23"/>
    </row>
    <row r="294" spans="3:64" x14ac:dyDescent="0.25">
      <c r="H294" s="22"/>
      <c r="N294" s="23"/>
      <c r="AC294" s="13" t="s">
        <v>150</v>
      </c>
      <c r="AD294" s="76">
        <f>ROUND(AD292/AI286,0)</f>
        <v>4</v>
      </c>
      <c r="AE294" s="76"/>
      <c r="AP294" s="13"/>
      <c r="AQ294" s="76"/>
      <c r="AR294" s="76"/>
    </row>
    <row r="295" spans="3:64" x14ac:dyDescent="0.25">
      <c r="H295" s="22"/>
      <c r="N295" s="23"/>
      <c r="P295" s="120">
        <v>14.18</v>
      </c>
      <c r="Q295" s="120"/>
      <c r="R295" s="120"/>
      <c r="S295" s="120"/>
      <c r="T295" s="120"/>
      <c r="U295" s="120"/>
      <c r="AC295" s="13" t="s">
        <v>151</v>
      </c>
      <c r="AD295" s="77">
        <f>($AE$221-$AE$225-AH286/100)/(AD294-1)</f>
        <v>0.32076666666666664</v>
      </c>
      <c r="AE295" s="77"/>
      <c r="AP295" s="13"/>
      <c r="AQ295" s="77"/>
      <c r="AR295" s="77"/>
    </row>
    <row r="296" spans="3:64" x14ac:dyDescent="0.25">
      <c r="H296" s="22"/>
      <c r="N296" s="23"/>
      <c r="P296" s="119">
        <f>AD304</f>
        <v>14.274270562622212</v>
      </c>
      <c r="Q296" s="119"/>
      <c r="R296" s="119"/>
      <c r="S296" s="119"/>
      <c r="T296" s="119"/>
      <c r="U296" s="119"/>
    </row>
    <row r="297" spans="3:64" ht="13.2" x14ac:dyDescent="0.25">
      <c r="H297" s="22"/>
      <c r="N297" s="23"/>
      <c r="P297" s="90" t="str">
        <f>IF(P296&gt;P295,"CUMPLE ESPESOR","NO CUMPLE ESPESOR")</f>
        <v>CUMPLE ESPESOR</v>
      </c>
      <c r="Q297" s="90"/>
      <c r="R297" s="90"/>
      <c r="S297" s="90"/>
      <c r="T297" s="90"/>
      <c r="U297" s="90"/>
      <c r="V297" s="90"/>
      <c r="AC297" s="50" t="s">
        <v>152</v>
      </c>
      <c r="AD297" s="51" t="str">
        <f>CONCATENATE(AF286," @ ",ROUND(AD295*100,2)," cm")</f>
        <v xml:space="preserve"> Ø 1/2" @ 32.08 cm</v>
      </c>
      <c r="AE297" s="51"/>
      <c r="AP297" s="50"/>
      <c r="AQ297" s="51"/>
      <c r="AR297" s="51"/>
    </row>
    <row r="298" spans="3:64" x14ac:dyDescent="0.25">
      <c r="H298" s="24"/>
      <c r="I298" s="25"/>
      <c r="J298" s="25"/>
      <c r="K298" s="25"/>
      <c r="L298" s="25"/>
      <c r="M298" s="25"/>
      <c r="N298" s="26"/>
    </row>
    <row r="299" spans="3:64" ht="13.8" x14ac:dyDescent="0.3">
      <c r="Z299" s="124" t="s">
        <v>169</v>
      </c>
      <c r="AA299" s="124"/>
      <c r="AB299" s="124"/>
      <c r="AC299" s="124"/>
      <c r="AD299" s="124"/>
      <c r="AE299" s="124"/>
      <c r="AF299" s="124"/>
      <c r="AG299" s="124"/>
    </row>
    <row r="301" spans="3:64" ht="13.2" x14ac:dyDescent="0.25">
      <c r="AC301" s="52" t="s">
        <v>120</v>
      </c>
      <c r="AK301" s="52"/>
    </row>
    <row r="302" spans="3:64" x14ac:dyDescent="0.25">
      <c r="AC302" s="68" t="s">
        <v>126</v>
      </c>
      <c r="AK302" s="68" t="s">
        <v>128</v>
      </c>
    </row>
    <row r="303" spans="3:64" x14ac:dyDescent="0.25">
      <c r="AC303" s="9" t="s">
        <v>170</v>
      </c>
      <c r="AD303" s="123">
        <f>0.53*SQRT($AE$213)*($AE$221*100)*(AD237/100)/10</f>
        <v>16.793259485437897</v>
      </c>
      <c r="AE303" s="123"/>
      <c r="AF303" s="123"/>
      <c r="AG303" s="66"/>
      <c r="AK303" s="9" t="s">
        <v>170</v>
      </c>
      <c r="AL303" s="123">
        <f>0.53*SQRT($AE$213)*($AE$221*100)*(AQ237/100)/10</f>
        <v>12.831117826599447</v>
      </c>
      <c r="AM303" s="123"/>
      <c r="AN303" s="123"/>
      <c r="AO303" s="66"/>
    </row>
    <row r="304" spans="3:64" x14ac:dyDescent="0.25">
      <c r="AC304" s="9" t="s">
        <v>171</v>
      </c>
      <c r="AD304" s="123">
        <f>$AE$220*AD303</f>
        <v>14.274270562622212</v>
      </c>
      <c r="AE304" s="123"/>
      <c r="AF304" s="123"/>
      <c r="AK304" s="9" t="s">
        <v>171</v>
      </c>
      <c r="AL304" s="123">
        <f>$AE$220*AL303</f>
        <v>10.90645015260953</v>
      </c>
      <c r="AM304" s="123"/>
      <c r="AN304" s="123"/>
    </row>
    <row r="305" spans="29:40" ht="15" customHeight="1" x14ac:dyDescent="0.25">
      <c r="AC305" s="7"/>
      <c r="AK305" s="7"/>
    </row>
    <row r="306" spans="29:40" ht="13.2" x14ac:dyDescent="0.25">
      <c r="AC306" s="52" t="s">
        <v>154</v>
      </c>
      <c r="AK306" s="52"/>
    </row>
    <row r="307" spans="29:40" x14ac:dyDescent="0.25">
      <c r="AC307" s="68" t="s">
        <v>126</v>
      </c>
      <c r="AK307" s="68" t="s">
        <v>128</v>
      </c>
    </row>
    <row r="308" spans="29:40" x14ac:dyDescent="0.25">
      <c r="AC308" s="9" t="s">
        <v>170</v>
      </c>
      <c r="AD308" s="123">
        <f>0.53*SQRT($AE$213)*($AE$221*100)*(AD254/100)/10</f>
        <v>16.671332664339651</v>
      </c>
      <c r="AE308" s="123"/>
      <c r="AF308" s="123"/>
      <c r="AK308" s="9" t="s">
        <v>170</v>
      </c>
      <c r="AL308" s="123">
        <f>0.53*SQRT($AE$213)*($AE$221*100)*(AQ254/100)/10</f>
        <v>12.831117826599447</v>
      </c>
      <c r="AM308" s="123"/>
      <c r="AN308" s="123"/>
    </row>
    <row r="309" spans="29:40" x14ac:dyDescent="0.25">
      <c r="AC309" s="9" t="s">
        <v>171</v>
      </c>
      <c r="AD309" s="123">
        <f>$AE$220*AD308</f>
        <v>14.170632764688703</v>
      </c>
      <c r="AE309" s="123"/>
      <c r="AF309" s="123"/>
      <c r="AK309" s="9" t="s">
        <v>171</v>
      </c>
      <c r="AL309" s="123">
        <f>$AE$220*AL308</f>
        <v>10.90645015260953</v>
      </c>
      <c r="AM309" s="123"/>
      <c r="AN309" s="123"/>
    </row>
    <row r="311" spans="29:40" ht="13.2" x14ac:dyDescent="0.25">
      <c r="AC311" s="52" t="s">
        <v>155</v>
      </c>
      <c r="AK311" s="52"/>
    </row>
    <row r="312" spans="29:40" x14ac:dyDescent="0.25">
      <c r="AC312" s="68" t="s">
        <v>126</v>
      </c>
      <c r="AK312" s="68" t="s">
        <v>128</v>
      </c>
    </row>
    <row r="313" spans="29:40" x14ac:dyDescent="0.25">
      <c r="AC313" s="9" t="s">
        <v>170</v>
      </c>
      <c r="AD313" s="123">
        <f>0.53*SQRT($AE$213)*($AE$221*100)*(AD271/100)/10</f>
        <v>16.91518630653615</v>
      </c>
      <c r="AE313" s="123"/>
      <c r="AF313" s="123"/>
      <c r="AK313" s="9" t="s">
        <v>170</v>
      </c>
      <c r="AL313" s="123">
        <f>0.53*SQRT($AE$213)*($AE$221*100)*(AQ271/100)/10</f>
        <v>12.953044647697698</v>
      </c>
      <c r="AM313" s="123"/>
      <c r="AN313" s="123"/>
    </row>
    <row r="314" spans="29:40" x14ac:dyDescent="0.25">
      <c r="AC314" s="9" t="s">
        <v>171</v>
      </c>
      <c r="AD314" s="123">
        <f>$AE$220*AD313</f>
        <v>14.377908360555727</v>
      </c>
      <c r="AE314" s="123"/>
      <c r="AF314" s="123"/>
      <c r="AK314" s="9" t="s">
        <v>171</v>
      </c>
      <c r="AL314" s="123">
        <f>$AE$220*AL313</f>
        <v>11.010087950543044</v>
      </c>
      <c r="AM314" s="123"/>
      <c r="AN314" s="123"/>
    </row>
    <row r="316" spans="29:40" ht="13.2" x14ac:dyDescent="0.25">
      <c r="AC316" s="52" t="s">
        <v>157</v>
      </c>
      <c r="AK316" s="52"/>
    </row>
    <row r="317" spans="29:40" x14ac:dyDescent="0.25">
      <c r="AC317" s="68" t="s">
        <v>126</v>
      </c>
      <c r="AK317" s="68" t="s">
        <v>128</v>
      </c>
    </row>
    <row r="318" spans="29:40" x14ac:dyDescent="0.25">
      <c r="AC318" s="9" t="s">
        <v>170</v>
      </c>
      <c r="AD318" s="123">
        <f>0.53*SQRT($AE$213)*($AE$221*100)*(AD288/100)/10</f>
        <v>16.793259485437897</v>
      </c>
      <c r="AE318" s="123"/>
      <c r="AF318" s="123"/>
      <c r="AK318" s="9" t="s">
        <v>170</v>
      </c>
      <c r="AL318" s="123">
        <f>0.53*SQRT($AE$213)*($AE$221*100)*(AQ287/100)/10</f>
        <v>12.953044647697698</v>
      </c>
      <c r="AM318" s="123"/>
      <c r="AN318" s="123"/>
    </row>
    <row r="319" spans="29:40" x14ac:dyDescent="0.25">
      <c r="AC319" s="9" t="s">
        <v>171</v>
      </c>
      <c r="AD319" s="123">
        <f>$AE$220*AD318</f>
        <v>14.274270562622212</v>
      </c>
      <c r="AE319" s="123"/>
      <c r="AF319" s="123"/>
      <c r="AK319" s="9" t="s">
        <v>171</v>
      </c>
      <c r="AL319" s="123">
        <f>$AE$220*AL318</f>
        <v>11.010087950543044</v>
      </c>
      <c r="AM319" s="123"/>
      <c r="AN319" s="123"/>
    </row>
  </sheetData>
  <mergeCells count="332">
    <mergeCell ref="A2:AF2"/>
    <mergeCell ref="V102:X102"/>
    <mergeCell ref="V104:X104"/>
    <mergeCell ref="AL304:AN304"/>
    <mergeCell ref="AL308:AN308"/>
    <mergeCell ref="AL309:AN309"/>
    <mergeCell ref="AL313:AN313"/>
    <mergeCell ref="AL314:AN314"/>
    <mergeCell ref="AL318:AN318"/>
    <mergeCell ref="AL303:AN303"/>
    <mergeCell ref="Z209:AY209"/>
    <mergeCell ref="AE213:AG213"/>
    <mergeCell ref="AE214:AG214"/>
    <mergeCell ref="Z229:AG229"/>
    <mergeCell ref="O211:R211"/>
    <mergeCell ref="O259:R259"/>
    <mergeCell ref="D259:F259"/>
    <mergeCell ref="L254:Q254"/>
    <mergeCell ref="A257:H257"/>
    <mergeCell ref="C241:E241"/>
    <mergeCell ref="C242:E242"/>
    <mergeCell ref="C232:E232"/>
    <mergeCell ref="C231:E231"/>
    <mergeCell ref="C221:E221"/>
    <mergeCell ref="AL319:AN319"/>
    <mergeCell ref="P227:T227"/>
    <mergeCell ref="P237:T237"/>
    <mergeCell ref="P247:T247"/>
    <mergeCell ref="P236:T236"/>
    <mergeCell ref="P246:T246"/>
    <mergeCell ref="AD308:AF308"/>
    <mergeCell ref="AD309:AF309"/>
    <mergeCell ref="AD313:AF313"/>
    <mergeCell ref="AD314:AF314"/>
    <mergeCell ref="AD318:AF318"/>
    <mergeCell ref="AD319:AF319"/>
    <mergeCell ref="P287:U287"/>
    <mergeCell ref="P295:U295"/>
    <mergeCell ref="AD304:AF304"/>
    <mergeCell ref="P297:V297"/>
    <mergeCell ref="AD303:AF303"/>
    <mergeCell ref="Z299:AG299"/>
    <mergeCell ref="AD253:AG253"/>
    <mergeCell ref="AD255:AG255"/>
    <mergeCell ref="AD261:AE261"/>
    <mergeCell ref="AD270:AG270"/>
    <mergeCell ref="AD272:AG272"/>
    <mergeCell ref="AD278:AE278"/>
    <mergeCell ref="C222:E222"/>
    <mergeCell ref="P217:T217"/>
    <mergeCell ref="P216:T216"/>
    <mergeCell ref="P226:T226"/>
    <mergeCell ref="W220:X220"/>
    <mergeCell ref="AE221:AG221"/>
    <mergeCell ref="AE222:AG222"/>
    <mergeCell ref="AE223:AG223"/>
    <mergeCell ref="AE224:AG224"/>
    <mergeCell ref="AE225:AG225"/>
    <mergeCell ref="AQ289:AT289"/>
    <mergeCell ref="AE215:AG215"/>
    <mergeCell ref="AE216:AG216"/>
    <mergeCell ref="AE217:AG217"/>
    <mergeCell ref="AE218:AG218"/>
    <mergeCell ref="AE219:AG219"/>
    <mergeCell ref="AE220:AG220"/>
    <mergeCell ref="BJ237:BL237"/>
    <mergeCell ref="BJ238:BL238"/>
    <mergeCell ref="BD237:BF237"/>
    <mergeCell ref="BD238:BF238"/>
    <mergeCell ref="BD239:BF239"/>
    <mergeCell ref="AQ236:AT236"/>
    <mergeCell ref="AD239:AG239"/>
    <mergeCell ref="AD236:AG236"/>
    <mergeCell ref="BD232:BF232"/>
    <mergeCell ref="BD233:BF233"/>
    <mergeCell ref="AE226:AG226"/>
    <mergeCell ref="AE227:AG227"/>
    <mergeCell ref="BD234:BF234"/>
    <mergeCell ref="BD235:BF235"/>
    <mergeCell ref="AQ239:AT239"/>
    <mergeCell ref="BD236:BF236"/>
    <mergeCell ref="BJ232:BL232"/>
    <mergeCell ref="AC233:AE233"/>
    <mergeCell ref="BJ233:BL233"/>
    <mergeCell ref="BJ234:BL234"/>
    <mergeCell ref="BJ235:BL235"/>
    <mergeCell ref="BJ236:BL236"/>
    <mergeCell ref="AB237:AC237"/>
    <mergeCell ref="C289:F289"/>
    <mergeCell ref="P289:V289"/>
    <mergeCell ref="C290:F290"/>
    <mergeCell ref="AQ241:AT241"/>
    <mergeCell ref="AD237:AG237"/>
    <mergeCell ref="AD235:AE235"/>
    <mergeCell ref="AQ235:AR235"/>
    <mergeCell ref="AD243:AE243"/>
    <mergeCell ref="AD244:AE244"/>
    <mergeCell ref="AQ243:AR243"/>
    <mergeCell ref="AQ244:AR244"/>
    <mergeCell ref="AQ237:AT237"/>
    <mergeCell ref="AD238:AG238"/>
    <mergeCell ref="AQ238:AT238"/>
    <mergeCell ref="AO237:AP237"/>
    <mergeCell ref="AD241:AG241"/>
    <mergeCell ref="BD249:BF249"/>
    <mergeCell ref="BJ249:BL249"/>
    <mergeCell ref="P296:U296"/>
    <mergeCell ref="C262:F262"/>
    <mergeCell ref="C263:F263"/>
    <mergeCell ref="C264:F264"/>
    <mergeCell ref="C271:F271"/>
    <mergeCell ref="P271:U271"/>
    <mergeCell ref="C281:F281"/>
    <mergeCell ref="P281:V281"/>
    <mergeCell ref="C282:F282"/>
    <mergeCell ref="C288:F288"/>
    <mergeCell ref="P288:U288"/>
    <mergeCell ref="C272:F272"/>
    <mergeCell ref="P272:V272"/>
    <mergeCell ref="C273:F273"/>
    <mergeCell ref="C280:F280"/>
    <mergeCell ref="P280:U280"/>
    <mergeCell ref="P270:U270"/>
    <mergeCell ref="P279:U279"/>
    <mergeCell ref="M179:N179"/>
    <mergeCell ref="J183:K183"/>
    <mergeCell ref="D211:F211"/>
    <mergeCell ref="K172:O173"/>
    <mergeCell ref="S172:U172"/>
    <mergeCell ref="A173:D173"/>
    <mergeCell ref="S173:U173"/>
    <mergeCell ref="B175:G175"/>
    <mergeCell ref="J175:O175"/>
    <mergeCell ref="R175:W175"/>
    <mergeCell ref="A209:G209"/>
    <mergeCell ref="H146:K146"/>
    <mergeCell ref="B158:F158"/>
    <mergeCell ref="I158:M158"/>
    <mergeCell ref="P158:W158"/>
    <mergeCell ref="S160:V160"/>
    <mergeCell ref="C170:F170"/>
    <mergeCell ref="J170:M170"/>
    <mergeCell ref="A134:K134"/>
    <mergeCell ref="B136:Q136"/>
    <mergeCell ref="D138:F138"/>
    <mergeCell ref="B140:Q140"/>
    <mergeCell ref="D142:F142"/>
    <mergeCell ref="D144:Q144"/>
    <mergeCell ref="D126:F126"/>
    <mergeCell ref="B128:Q128"/>
    <mergeCell ref="B132:C132"/>
    <mergeCell ref="D132:F132"/>
    <mergeCell ref="B108:Q108"/>
    <mergeCell ref="B112:C112"/>
    <mergeCell ref="D112:F112"/>
    <mergeCell ref="B114:Q114"/>
    <mergeCell ref="B118:C118"/>
    <mergeCell ref="D118:F118"/>
    <mergeCell ref="B68:C68"/>
    <mergeCell ref="D68:F68"/>
    <mergeCell ref="D44:F44"/>
    <mergeCell ref="D49:F49"/>
    <mergeCell ref="D51:Q51"/>
    <mergeCell ref="O52:Q52"/>
    <mergeCell ref="M57:N57"/>
    <mergeCell ref="J47:J48"/>
    <mergeCell ref="D18:F18"/>
    <mergeCell ref="D22:F22"/>
    <mergeCell ref="A24:K24"/>
    <mergeCell ref="B26:Q26"/>
    <mergeCell ref="B31:Q31"/>
    <mergeCell ref="D34:F34"/>
    <mergeCell ref="B29:C29"/>
    <mergeCell ref="D29:F29"/>
    <mergeCell ref="D62:G62"/>
    <mergeCell ref="I62:M62"/>
    <mergeCell ref="O62:T62"/>
    <mergeCell ref="A64:K64"/>
    <mergeCell ref="B66:Q66"/>
    <mergeCell ref="B41:Q41"/>
    <mergeCell ref="D16:F16"/>
    <mergeCell ref="D17:F17"/>
    <mergeCell ref="D12:F12"/>
    <mergeCell ref="D13:F13"/>
    <mergeCell ref="D14:F14"/>
    <mergeCell ref="D15:F15"/>
    <mergeCell ref="D19:F19"/>
    <mergeCell ref="D20:F20"/>
    <mergeCell ref="D21:F21"/>
    <mergeCell ref="A4:C4"/>
    <mergeCell ref="B6:C6"/>
    <mergeCell ref="D6:F6"/>
    <mergeCell ref="BS203:BV203"/>
    <mergeCell ref="B7:C7"/>
    <mergeCell ref="D7:F7"/>
    <mergeCell ref="B11:C11"/>
    <mergeCell ref="D11:F11"/>
    <mergeCell ref="B10:C10"/>
    <mergeCell ref="D10:F10"/>
    <mergeCell ref="B80:Q80"/>
    <mergeCell ref="B69:C69"/>
    <mergeCell ref="D69:F69"/>
    <mergeCell ref="B70:C70"/>
    <mergeCell ref="D70:F70"/>
    <mergeCell ref="B71:C71"/>
    <mergeCell ref="D71:F71"/>
    <mergeCell ref="U29:U48"/>
    <mergeCell ref="B39:C39"/>
    <mergeCell ref="D39:F39"/>
    <mergeCell ref="B36:Q36"/>
    <mergeCell ref="B72:C72"/>
    <mergeCell ref="D72:F72"/>
    <mergeCell ref="R24:S25"/>
    <mergeCell ref="BS204:BV204"/>
    <mergeCell ref="B8:C8"/>
    <mergeCell ref="D8:F8"/>
    <mergeCell ref="D104:F104"/>
    <mergeCell ref="A106:K106"/>
    <mergeCell ref="B84:C84"/>
    <mergeCell ref="D84:F84"/>
    <mergeCell ref="B90:C90"/>
    <mergeCell ref="D90:F90"/>
    <mergeCell ref="G90:H90"/>
    <mergeCell ref="B92:Q92"/>
    <mergeCell ref="B86:Q86"/>
    <mergeCell ref="A120:K120"/>
    <mergeCell ref="B122:Q122"/>
    <mergeCell ref="B126:C126"/>
    <mergeCell ref="B97:C97"/>
    <mergeCell ref="D97:F97"/>
    <mergeCell ref="B99:Q99"/>
    <mergeCell ref="B104:C104"/>
    <mergeCell ref="B74:Q74"/>
    <mergeCell ref="B78:C78"/>
    <mergeCell ref="D78:F78"/>
    <mergeCell ref="B9:C9"/>
    <mergeCell ref="D9:F9"/>
    <mergeCell ref="AC250:AE250"/>
    <mergeCell ref="BD250:BF250"/>
    <mergeCell ref="BJ250:BL250"/>
    <mergeCell ref="BD251:BF251"/>
    <mergeCell ref="BJ251:BL251"/>
    <mergeCell ref="AD252:AE252"/>
    <mergeCell ref="AQ252:AR252"/>
    <mergeCell ref="BD252:BF252"/>
    <mergeCell ref="BJ252:BL252"/>
    <mergeCell ref="AQ253:AT253"/>
    <mergeCell ref="BD253:BF253"/>
    <mergeCell ref="BJ253:BL253"/>
    <mergeCell ref="AB254:AC254"/>
    <mergeCell ref="AD254:AG254"/>
    <mergeCell ref="AO254:AP254"/>
    <mergeCell ref="AQ254:AT254"/>
    <mergeCell ref="BD254:BF254"/>
    <mergeCell ref="BJ254:BL254"/>
    <mergeCell ref="AQ255:AT255"/>
    <mergeCell ref="BD255:BF255"/>
    <mergeCell ref="BJ255:BL255"/>
    <mergeCell ref="AD256:AG256"/>
    <mergeCell ref="AQ256:AT256"/>
    <mergeCell ref="BD256:BF256"/>
    <mergeCell ref="AD258:AG258"/>
    <mergeCell ref="AQ258:AT258"/>
    <mergeCell ref="AD260:AE260"/>
    <mergeCell ref="AQ260:AR260"/>
    <mergeCell ref="AQ261:AR261"/>
    <mergeCell ref="BD266:BF266"/>
    <mergeCell ref="BJ266:BL266"/>
    <mergeCell ref="AC267:AE267"/>
    <mergeCell ref="BD267:BF267"/>
    <mergeCell ref="BJ267:BL267"/>
    <mergeCell ref="BD268:BF268"/>
    <mergeCell ref="BJ268:BL268"/>
    <mergeCell ref="AD269:AE269"/>
    <mergeCell ref="AQ269:AR269"/>
    <mergeCell ref="BD269:BF269"/>
    <mergeCell ref="BJ269:BL269"/>
    <mergeCell ref="AQ270:AT270"/>
    <mergeCell ref="BD270:BF270"/>
    <mergeCell ref="BJ270:BL270"/>
    <mergeCell ref="AB271:AC271"/>
    <mergeCell ref="AD271:AG271"/>
    <mergeCell ref="AO271:AP271"/>
    <mergeCell ref="AQ271:AT271"/>
    <mergeCell ref="BD271:BF271"/>
    <mergeCell ref="BJ271:BL271"/>
    <mergeCell ref="BJ284:BL284"/>
    <mergeCell ref="BD285:BF285"/>
    <mergeCell ref="BJ285:BL285"/>
    <mergeCell ref="AD286:AE286"/>
    <mergeCell ref="BD286:BF286"/>
    <mergeCell ref="BJ286:BL286"/>
    <mergeCell ref="AB288:AC288"/>
    <mergeCell ref="AQ272:AT272"/>
    <mergeCell ref="BD272:BF272"/>
    <mergeCell ref="BJ272:BL272"/>
    <mergeCell ref="AD273:AG273"/>
    <mergeCell ref="AQ273:AT273"/>
    <mergeCell ref="BD273:BF273"/>
    <mergeCell ref="AD275:AG275"/>
    <mergeCell ref="AQ275:AT275"/>
    <mergeCell ref="AD277:AE277"/>
    <mergeCell ref="AQ277:AR277"/>
    <mergeCell ref="AQ285:AR285"/>
    <mergeCell ref="AQ286:AT286"/>
    <mergeCell ref="AO287:AP287"/>
    <mergeCell ref="AQ287:AT287"/>
    <mergeCell ref="AQ288:AT288"/>
    <mergeCell ref="BZ204:CC204"/>
    <mergeCell ref="BZ205:CC205"/>
    <mergeCell ref="AD294:AE294"/>
    <mergeCell ref="AQ294:AR294"/>
    <mergeCell ref="AD295:AE295"/>
    <mergeCell ref="AQ295:AR295"/>
    <mergeCell ref="AD289:AG289"/>
    <mergeCell ref="BD289:BF289"/>
    <mergeCell ref="BJ289:BL289"/>
    <mergeCell ref="AD290:AG290"/>
    <mergeCell ref="BD290:BF290"/>
    <mergeCell ref="AD292:AG292"/>
    <mergeCell ref="AQ292:AT292"/>
    <mergeCell ref="AD287:AG287"/>
    <mergeCell ref="BD287:BF287"/>
    <mergeCell ref="BJ287:BL287"/>
    <mergeCell ref="AD288:AG288"/>
    <mergeCell ref="BD288:BF288"/>
    <mergeCell ref="AQ278:AR278"/>
    <mergeCell ref="BJ288:BL288"/>
    <mergeCell ref="BD283:BF283"/>
    <mergeCell ref="BJ283:BL283"/>
    <mergeCell ref="AC284:AE284"/>
    <mergeCell ref="BD284:BF284"/>
  </mergeCells>
  <dataValidations count="2">
    <dataValidation type="list" allowBlank="1" showInputMessage="1" showErrorMessage="1" sqref="AD235 AQ235 AD286 AQ269 AD269 AQ252 AD252 AQ285" xr:uid="{AEF5ED0F-F2E2-414B-B6A7-CA0FD7014369}">
      <formula1>$BS$207:$BS$215</formula1>
    </dataValidation>
    <dataValidation type="list" allowBlank="1" showInputMessage="1" showErrorMessage="1" sqref="BY241:CA241 BW231:BW236" xr:uid="{32ADE76E-495A-4DD8-A76E-872D1C5340D5}">
      <formula1>$CF$222:$CF$226</formula1>
    </dataValidation>
  </dataValidation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MUROS DE SOTANO ETABS</vt:lpstr>
      <vt:lpstr>'MUROS DE SOTANO ETABS'!fy</vt:lpstr>
      <vt:lpstr>'MUROS DE SOTANO ETABS'!parrita</vt:lpstr>
      <vt:lpstr>'MUROS DE SOTANO ETABS'!TABLA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DELL</cp:lastModifiedBy>
  <dcterms:created xsi:type="dcterms:W3CDTF">2021-06-19T05:27:28Z</dcterms:created>
  <dcterms:modified xsi:type="dcterms:W3CDTF">2024-04-22T13:15:04Z</dcterms:modified>
</cp:coreProperties>
</file>