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329164FD-4276-42A2-9523-6B8AA3BBFE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 TRAMO TIP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00" i="1"/>
  <c r="D81" i="1" l="1"/>
  <c r="G35" i="1" l="1"/>
  <c r="F35" i="1"/>
  <c r="D105" i="1" l="1"/>
  <c r="D104" i="1"/>
  <c r="A144" i="1"/>
  <c r="F147" i="1"/>
  <c r="E147" i="1"/>
  <c r="C147" i="1"/>
  <c r="A147" i="1"/>
  <c r="H125" i="1" l="1"/>
  <c r="E125" i="1"/>
  <c r="C125" i="1"/>
  <c r="E128" i="1" s="1"/>
  <c r="H116" i="1"/>
  <c r="E116" i="1"/>
  <c r="C116" i="1"/>
  <c r="E119" i="1" s="1"/>
  <c r="H101" i="1"/>
  <c r="E101" i="1"/>
  <c r="C101" i="1"/>
  <c r="E108" i="1" s="1"/>
  <c r="B86" i="1"/>
  <c r="D86" i="1"/>
  <c r="C89" i="1" s="1"/>
  <c r="G86" i="1"/>
  <c r="C51" i="1" l="1"/>
  <c r="F38" i="1"/>
  <c r="C31" i="1"/>
  <c r="E31" i="1"/>
  <c r="G27" i="1"/>
  <c r="C113" i="1" s="1"/>
  <c r="C122" i="1" l="1"/>
  <c r="G57" i="1"/>
  <c r="G62" i="1" s="1"/>
  <c r="G133" i="1"/>
  <c r="C61" i="1"/>
  <c r="F96" i="1"/>
  <c r="C96" i="1"/>
  <c r="B99" i="1"/>
  <c r="C62" i="1"/>
  <c r="C55" i="1"/>
  <c r="C56" i="1" s="1"/>
  <c r="C58" i="1" s="1"/>
  <c r="G56" i="1" s="1"/>
  <c r="C123" i="1" l="1"/>
  <c r="F36" i="1"/>
  <c r="C128" i="1" l="1"/>
  <c r="D127" i="1" s="1"/>
  <c r="F70" i="1"/>
  <c r="D70" i="1"/>
  <c r="C63" i="1"/>
  <c r="G61" i="1" s="1"/>
  <c r="G128" i="1" l="1"/>
  <c r="F127" i="1"/>
  <c r="G63" i="1"/>
  <c r="F66" i="1" s="1"/>
  <c r="G58" i="1"/>
  <c r="A139" i="1" l="1"/>
  <c r="C143" i="1"/>
  <c r="D131" i="1"/>
  <c r="E140" i="1"/>
  <c r="D65" i="1"/>
  <c r="C72" i="1"/>
  <c r="C73" i="1" l="1"/>
  <c r="D75" i="1"/>
  <c r="G75" i="1"/>
  <c r="G77" i="1" s="1"/>
  <c r="G81" i="1" s="1"/>
  <c r="C84" i="1" s="1"/>
  <c r="N88" i="1" l="1"/>
  <c r="N89" i="1" s="1"/>
  <c r="N90" i="1" s="1"/>
  <c r="N91" i="1" s="1"/>
  <c r="N92" i="1" s="1"/>
  <c r="N93" i="1" s="1"/>
  <c r="N94" i="1" s="1"/>
  <c r="C93" i="1" l="1"/>
  <c r="C98" i="1" s="1"/>
  <c r="C99" i="1" s="1"/>
  <c r="C112" i="1" s="1"/>
  <c r="C114" i="1" l="1"/>
  <c r="C119" i="1" s="1"/>
  <c r="D118" i="1" s="1"/>
  <c r="I119" i="1" s="1"/>
  <c r="B137" i="1" s="1"/>
  <c r="C108" i="1"/>
  <c r="G119" i="1" l="1"/>
  <c r="F118" i="1"/>
  <c r="G108" i="1"/>
  <c r="D107" i="1"/>
  <c r="C133" i="1"/>
  <c r="F107" i="1" l="1"/>
  <c r="I108" i="1"/>
  <c r="E137" i="1" l="1"/>
  <c r="C141" i="1"/>
</calcChain>
</file>

<file path=xl/sharedStrings.xml><?xml version="1.0" encoding="utf-8"?>
<sst xmlns="http://schemas.openxmlformats.org/spreadsheetml/2006/main" count="221" uniqueCount="117">
  <si>
    <t>1) DIMENSIONAMIENTO</t>
  </si>
  <si>
    <t>m</t>
  </si>
  <si>
    <t>Pasos =</t>
  </si>
  <si>
    <t>Contrapasos =</t>
  </si>
  <si>
    <t>Kg/cm2</t>
  </si>
  <si>
    <t>t =</t>
  </si>
  <si>
    <t>fy =</t>
  </si>
  <si>
    <t>t promedio =</t>
  </si>
  <si>
    <t>s/c =</t>
  </si>
  <si>
    <t>Kg/m2</t>
  </si>
  <si>
    <t>cm</t>
  </si>
  <si>
    <t>Parte Inclinada:</t>
  </si>
  <si>
    <t>D =</t>
  </si>
  <si>
    <t>Tn/m2</t>
  </si>
  <si>
    <t>L =</t>
  </si>
  <si>
    <t>Tn/m</t>
  </si>
  <si>
    <t>Carga Muerta =</t>
  </si>
  <si>
    <t>Descanso:</t>
  </si>
  <si>
    <t>Tn</t>
  </si>
  <si>
    <t>Mx =</t>
  </si>
  <si>
    <t>&gt;&gt;&gt;&gt;&gt;&gt;&gt;&gt;&gt;</t>
  </si>
  <si>
    <t>X=</t>
  </si>
  <si>
    <t>Mmax =</t>
  </si>
  <si>
    <t>Tn - m</t>
  </si>
  <si>
    <t>As =</t>
  </si>
  <si>
    <t>cm2</t>
  </si>
  <si>
    <t>As principal</t>
  </si>
  <si>
    <t>Usar</t>
  </si>
  <si>
    <t>que equivale a</t>
  </si>
  <si>
    <t>cm2  @</t>
  </si>
  <si>
    <t>As(-) =</t>
  </si>
  <si>
    <t>As (-) adoptado =</t>
  </si>
  <si>
    <t>As ( - )</t>
  </si>
  <si>
    <t>As temp en 1 m. =</t>
  </si>
  <si>
    <t>Long. del primer tramo =</t>
  </si>
  <si>
    <t>As temp en todo el tramo =</t>
  </si>
  <si>
    <t>As temp</t>
  </si>
  <si>
    <t xml:space="preserve">    @</t>
  </si>
  <si>
    <t>R1 =</t>
  </si>
  <si>
    <t>Tn-m</t>
  </si>
  <si>
    <t>espesor promedio  (hm) =</t>
  </si>
  <si>
    <t>TABLA 1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</si>
  <si>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</si>
  <si>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</si>
  <si>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</si>
  <si>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</si>
  <si>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</si>
  <si>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</si>
  <si>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</si>
  <si>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</si>
  <si>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</si>
  <si>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</si>
  <si>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</si>
  <si>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</si>
  <si>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</si>
  <si>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r>
      <rPr>
        <sz val="10"/>
        <color theme="1"/>
        <rFont val="Calibri"/>
        <family val="2"/>
      </rPr>
      <t xml:space="preserve">φ </t>
    </r>
    <r>
      <rPr>
        <sz val="11"/>
        <color theme="1"/>
        <rFont val="Arial"/>
        <family val="2"/>
      </rPr>
      <t>(pulg)</t>
    </r>
  </si>
  <si>
    <t xml:space="preserve"> Usar:  t =</t>
  </si>
  <si>
    <t>DATOS:</t>
  </si>
  <si>
    <t>Lc =</t>
  </si>
  <si>
    <t>Li =</t>
  </si>
  <si>
    <t>Ld =</t>
  </si>
  <si>
    <t>Lm =</t>
  </si>
  <si>
    <t>Hc =</t>
  </si>
  <si>
    <t>Ancho b =</t>
  </si>
  <si>
    <t>descanso t =</t>
  </si>
  <si>
    <t>cos𝜃  =</t>
  </si>
  <si>
    <t>DIMENSIONAMIENTO:</t>
  </si>
  <si>
    <t>P.P =</t>
  </si>
  <si>
    <t>Acab. =</t>
  </si>
  <si>
    <t>Wu1 = 1.4D+1.7L =</t>
  </si>
  <si>
    <t>Wu2 = 1.4D+1.7L =</t>
  </si>
  <si>
    <t>R1</t>
  </si>
  <si>
    <t>R2</t>
  </si>
  <si>
    <t>Diseño:</t>
  </si>
  <si>
    <t>As min2 =</t>
  </si>
  <si>
    <t>As min1 =</t>
  </si>
  <si>
    <t>Usar: As =</t>
  </si>
  <si>
    <t xml:space="preserve">Muro portante </t>
  </si>
  <si>
    <t>de Albañileria</t>
  </si>
  <si>
    <t>⁺ Mdiseño =</t>
  </si>
  <si>
    <t>a =</t>
  </si>
  <si>
    <t>Considerando:</t>
  </si>
  <si>
    <t>Diam. =</t>
  </si>
  <si>
    <t>Area =</t>
  </si>
  <si>
    <t>d =</t>
  </si>
  <si>
    <t>Recubrim. R =</t>
  </si>
  <si>
    <t>Usar acero #</t>
  </si>
  <si>
    <t>Espaciamiento</t>
  </si>
  <si>
    <t>S =</t>
  </si>
  <si>
    <r>
      <rPr>
        <b/>
        <sz val="10"/>
        <rFont val="Calibri"/>
        <family val="2"/>
      </rPr>
      <t>Ø</t>
    </r>
    <r>
      <rPr>
        <b/>
        <sz val="7.5"/>
        <rFont val="Arial"/>
      </rPr>
      <t xml:space="preserve">  de </t>
    </r>
  </si>
  <si>
    <t>t</t>
  </si>
  <si>
    <t>Espaciamiento Máximo</t>
  </si>
  <si>
    <t>Smax1 =</t>
  </si>
  <si>
    <t>Smax2 =</t>
  </si>
  <si>
    <t xml:space="preserve">2) DISEÑO </t>
  </si>
  <si>
    <t>f'c =</t>
  </si>
  <si>
    <t>α</t>
  </si>
  <si>
    <t>α =</t>
  </si>
  <si>
    <t>TABLA 2</t>
  </si>
  <si>
    <t>(Ver tabla 1)</t>
  </si>
  <si>
    <t>Valores "α" para momento de diseño</t>
  </si>
  <si>
    <t>La eleccion de pende del nivel de empotramiento y rigidez de los elementos donde se apoyan la estructura</t>
  </si>
  <si>
    <t>Cuando nuestro apoyo es muy rigido, grande, tiene buen peralte, tiene buen espesor en las bases</t>
  </si>
  <si>
    <t>Cuando nuestro apoyo tiene mayor dimension que puede ser una viga, placas, el apoyo obsorbe momentos</t>
  </si>
  <si>
    <t>(Ver tabla 2)</t>
  </si>
  <si>
    <r>
      <t xml:space="preserve">Nota: generalmente se usa para el diseño los valores de α=0.9 y </t>
    </r>
    <r>
      <rPr>
        <sz val="11"/>
        <color theme="1"/>
        <rFont val="Calibri"/>
        <family val="2"/>
      </rPr>
      <t>β= 2</t>
    </r>
  </si>
  <si>
    <t>TABLA 3</t>
  </si>
  <si>
    <t>As(-) = As(+)/β &gt;= As temp</t>
  </si>
  <si>
    <t>β</t>
  </si>
  <si>
    <t>β =</t>
  </si>
  <si>
    <t>(Ver tabla 3)</t>
  </si>
  <si>
    <t>Valores "β" para momento de diseño negativo</t>
  </si>
  <si>
    <t>Apoyos monoliticos poco rigidos</t>
  </si>
  <si>
    <t>Apoyos monoliticos rigidos</t>
  </si>
  <si>
    <t>Cuando nuestros apoyos no absorben nada de momentos. Ocurre cuando no hay empotramiento, el espesor del apoyo es muy pequeño de 10 a 15 cm, no deja fluir nuestro acero.</t>
  </si>
  <si>
    <t>As min =</t>
  </si>
  <si>
    <t>DISEÑO DE ESCALERA UN TRAMO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</si>
</sst>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Nº&quot;\ 0"/>
  </numFmts>
  <fonts count="23" x14ac:knownFonts="1">
    <font>
      <sz val="11"/>
      <color theme="1"/>
      <name val="Calibri"/>
      <family val="2"/>
      <scheme val="minor"/>
    </font>
    <font>
      <b/>
      <u/>
      <sz val="12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Symbol"/>
      <family val="1"/>
      <charset val="2"/>
    </font>
    <font>
      <b/>
      <sz val="10"/>
      <name val="Arial"/>
    </font>
    <font>
      <sz val="10"/>
      <name val="Arial"/>
      <family val="2"/>
    </font>
    <font>
      <b/>
      <sz val="7.5"/>
      <name val="Arial"/>
    </font>
    <font>
      <sz val="10"/>
      <color indexed="47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Symbol"/>
      <family val="2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2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/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4" fillId="2" borderId="0" xfId="0" applyFont="1" applyFill="1"/>
    <xf numFmtId="0" fontId="8" fillId="2" borderId="0" xfId="0" applyFont="1" applyFill="1"/>
    <xf numFmtId="2" fontId="8" fillId="2" borderId="0" xfId="0" quotePrefix="1" applyNumberFormat="1" applyFont="1" applyFill="1"/>
    <xf numFmtId="0" fontId="8" fillId="2" borderId="0" xfId="0" quotePrefix="1" applyFont="1" applyFill="1"/>
    <xf numFmtId="12" fontId="5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0" xfId="0" applyNumberForma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12" fontId="10" fillId="2" borderId="1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164" fontId="0" fillId="2" borderId="0" xfId="0" quotePrefix="1" applyNumberFormat="1" applyFill="1" applyAlignment="1">
      <alignment horizontal="center" vertical="center"/>
    </xf>
    <xf numFmtId="2" fontId="0" fillId="3" borderId="0" xfId="0" quotePrefix="1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2" fontId="0" fillId="2" borderId="0" xfId="0" applyNumberFormat="1" applyFill="1" applyAlignment="1">
      <alignment horizontal="left" indent="5"/>
    </xf>
    <xf numFmtId="0" fontId="9" fillId="2" borderId="0" xfId="0" applyFont="1" applyFill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/>
    <xf numFmtId="0" fontId="13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right"/>
    </xf>
    <xf numFmtId="164" fontId="13" fillId="2" borderId="0" xfId="0" applyNumberFormat="1" applyFont="1" applyFill="1" applyAlignment="1">
      <alignment horizontal="center" vertical="center"/>
    </xf>
    <xf numFmtId="2" fontId="6" fillId="2" borderId="0" xfId="0" quotePrefix="1" applyNumberFormat="1" applyFont="1" applyFill="1" applyAlignment="1">
      <alignment horizontal="right"/>
    </xf>
    <xf numFmtId="0" fontId="6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3" borderId="0" xfId="0" quotePrefix="1" applyFont="1" applyFill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12" fontId="0" fillId="2" borderId="0" xfId="0" applyNumberFormat="1" applyFill="1" applyAlignment="1">
      <alignment horizontal="right" vertical="center"/>
    </xf>
    <xf numFmtId="0" fontId="15" fillId="2" borderId="3" xfId="0" applyFont="1" applyFill="1" applyBorder="1" applyAlignment="1">
      <alignment horizontal="left"/>
    </xf>
    <xf numFmtId="0" fontId="16" fillId="2" borderId="0" xfId="0" applyFont="1" applyFill="1"/>
    <xf numFmtId="0" fontId="17" fillId="2" borderId="0" xfId="0" applyFont="1" applyFill="1"/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 vertical="center"/>
    </xf>
    <xf numFmtId="2" fontId="16" fillId="2" borderId="0" xfId="0" applyNumberFormat="1" applyFont="1" applyFill="1" applyAlignment="1">
      <alignment horizontal="left"/>
    </xf>
    <xf numFmtId="0" fontId="18" fillId="2" borderId="0" xfId="0" applyFont="1" applyFill="1"/>
    <xf numFmtId="0" fontId="19" fillId="2" borderId="0" xfId="0" applyFont="1" applyFill="1"/>
    <xf numFmtId="2" fontId="0" fillId="2" borderId="3" xfId="0" applyNumberFormat="1" applyFill="1" applyBorder="1" applyAlignment="1">
      <alignment horizontal="center"/>
    </xf>
    <xf numFmtId="2" fontId="16" fillId="2" borderId="0" xfId="0" applyNumberFormat="1" applyFont="1" applyFill="1" applyAlignment="1">
      <alignment horizontal="left" indent="5"/>
    </xf>
    <xf numFmtId="2" fontId="16" fillId="2" borderId="0" xfId="0" applyNumberFormat="1" applyFont="1" applyFill="1" applyAlignment="1">
      <alignment horizontal="left" indent="6"/>
    </xf>
    <xf numFmtId="12" fontId="16" fillId="3" borderId="0" xfId="0" applyNumberFormat="1" applyFont="1" applyFill="1" applyAlignment="1">
      <alignment horizontal="left" vertical="center" indent="4"/>
    </xf>
    <xf numFmtId="165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 vertical="center"/>
    </xf>
    <xf numFmtId="0" fontId="0" fillId="4" borderId="0" xfId="0" applyFill="1"/>
    <xf numFmtId="0" fontId="16" fillId="4" borderId="0" xfId="0" applyFont="1" applyFill="1"/>
    <xf numFmtId="164" fontId="0" fillId="3" borderId="0" xfId="0" applyNumberFormat="1" applyFill="1" applyAlignment="1">
      <alignment horizontal="center" vertical="center"/>
    </xf>
    <xf numFmtId="12" fontId="16" fillId="2" borderId="0" xfId="0" applyNumberFormat="1" applyFont="1" applyFill="1" applyAlignment="1">
      <alignment horizontal="left" vertical="center" indent="4"/>
    </xf>
    <xf numFmtId="2" fontId="9" fillId="2" borderId="0" xfId="0" applyNumberFormat="1" applyFont="1" applyFill="1"/>
    <xf numFmtId="0" fontId="20" fillId="0" borderId="0" xfId="0" applyFont="1" applyAlignment="1">
      <alignment horizontal="right"/>
    </xf>
    <xf numFmtId="0" fontId="10" fillId="2" borderId="2" xfId="0" applyFont="1" applyFill="1" applyBorder="1"/>
    <xf numFmtId="0" fontId="10" fillId="2" borderId="4" xfId="0" applyFont="1" applyFill="1" applyBorder="1"/>
    <xf numFmtId="2" fontId="16" fillId="3" borderId="0" xfId="0" applyNumberFormat="1" applyFont="1" applyFill="1" applyAlignment="1">
      <alignment horizontal="center" vertical="center"/>
    </xf>
    <xf numFmtId="0" fontId="10" fillId="2" borderId="2" xfId="0" applyFont="1" applyFill="1" applyBorder="1" applyAlignment="1">
      <alignment horizontal="left"/>
    </xf>
    <xf numFmtId="2" fontId="5" fillId="2" borderId="0" xfId="0" applyNumberFormat="1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2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65</xdr:row>
      <xdr:rowOff>38100</xdr:rowOff>
    </xdr:from>
    <xdr:to>
      <xdr:col>6</xdr:col>
      <xdr:colOff>228600</xdr:colOff>
      <xdr:row>70</xdr:row>
      <xdr:rowOff>19052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277600"/>
          <a:ext cx="3505200" cy="80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723900</xdr:colOff>
      <xdr:row>23</xdr:row>
      <xdr:rowOff>197826</xdr:rowOff>
    </xdr:from>
    <xdr:to>
      <xdr:col>5</xdr:col>
      <xdr:colOff>630116</xdr:colOff>
      <xdr:row>28</xdr:row>
      <xdr:rowOff>190500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23900" y="3956538"/>
          <a:ext cx="4067908" cy="95250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190501</xdr:colOff>
      <xdr:row>24</xdr:row>
      <xdr:rowOff>0</xdr:rowOff>
    </xdr:from>
    <xdr:to>
      <xdr:col>1</xdr:col>
      <xdr:colOff>194554</xdr:colOff>
      <xdr:row>29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960607" y="583660"/>
          <a:ext cx="4053" cy="966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401266</xdr:colOff>
      <xdr:row>24</xdr:row>
      <xdr:rowOff>4053</xdr:rowOff>
    </xdr:from>
    <xdr:to>
      <xdr:col>1</xdr:col>
      <xdr:colOff>404104</xdr:colOff>
      <xdr:row>29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1171372" y="591766"/>
          <a:ext cx="2838" cy="9579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628651</xdr:colOff>
      <xdr:row>24</xdr:row>
      <xdr:rowOff>0</xdr:rowOff>
    </xdr:from>
    <xdr:to>
      <xdr:col>1</xdr:col>
      <xdr:colOff>636351</xdr:colOff>
      <xdr:row>29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1398757" y="583660"/>
          <a:ext cx="7700" cy="966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850360</xdr:colOff>
      <xdr:row>24</xdr:row>
      <xdr:rowOff>0</xdr:rowOff>
    </xdr:from>
    <xdr:to>
      <xdr:col>1</xdr:col>
      <xdr:colOff>855224</xdr:colOff>
      <xdr:row>29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1620466" y="579606"/>
          <a:ext cx="4864" cy="9701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171451</xdr:colOff>
      <xdr:row>24</xdr:row>
      <xdr:rowOff>8106</xdr:rowOff>
    </xdr:from>
    <xdr:to>
      <xdr:col>2</xdr:col>
      <xdr:colOff>178341</xdr:colOff>
      <xdr:row>29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1845419" y="595819"/>
          <a:ext cx="6890" cy="9539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390526</xdr:colOff>
      <xdr:row>24</xdr:row>
      <xdr:rowOff>4053</xdr:rowOff>
    </xdr:from>
    <xdr:to>
      <xdr:col>2</xdr:col>
      <xdr:colOff>393160</xdr:colOff>
      <xdr:row>29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2064494" y="591766"/>
          <a:ext cx="2634" cy="9579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603926</xdr:colOff>
      <xdr:row>24</xdr:row>
      <xdr:rowOff>8106</xdr:rowOff>
    </xdr:from>
    <xdr:to>
      <xdr:col>2</xdr:col>
      <xdr:colOff>607980</xdr:colOff>
      <xdr:row>29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2277894" y="595819"/>
          <a:ext cx="4054" cy="960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68872</xdr:colOff>
      <xdr:row>23</xdr:row>
      <xdr:rowOff>197826</xdr:rowOff>
    </xdr:from>
    <xdr:to>
      <xdr:col>3</xdr:col>
      <xdr:colOff>68872</xdr:colOff>
      <xdr:row>28</xdr:row>
      <xdr:rowOff>190500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2596660" y="3956538"/>
          <a:ext cx="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303989</xdr:colOff>
      <xdr:row>24</xdr:row>
      <xdr:rowOff>0</xdr:rowOff>
    </xdr:from>
    <xdr:to>
      <xdr:col>3</xdr:col>
      <xdr:colOff>308042</xdr:colOff>
      <xdr:row>29</xdr:row>
      <xdr:rowOff>4053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2731851" y="583661"/>
          <a:ext cx="4053" cy="9889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522861</xdr:colOff>
      <xdr:row>24</xdr:row>
      <xdr:rowOff>8107</xdr:rowOff>
    </xdr:from>
    <xdr:to>
      <xdr:col>3</xdr:col>
      <xdr:colOff>526915</xdr:colOff>
      <xdr:row>29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2950723" y="595820"/>
          <a:ext cx="4054" cy="9606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742951</xdr:colOff>
      <xdr:row>24</xdr:row>
      <xdr:rowOff>4053</xdr:rowOff>
    </xdr:from>
    <xdr:to>
      <xdr:col>3</xdr:col>
      <xdr:colOff>749840</xdr:colOff>
      <xdr:row>29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3170813" y="591766"/>
          <a:ext cx="6889" cy="9579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344521</xdr:colOff>
      <xdr:row>26</xdr:row>
      <xdr:rowOff>97276</xdr:rowOff>
    </xdr:from>
    <xdr:to>
      <xdr:col>4</xdr:col>
      <xdr:colOff>782266</xdr:colOff>
      <xdr:row>26</xdr:row>
      <xdr:rowOff>101330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344521" y="1065989"/>
          <a:ext cx="3619500" cy="405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202660</xdr:colOff>
      <xdr:row>26</xdr:row>
      <xdr:rowOff>40532</xdr:rowOff>
    </xdr:from>
    <xdr:to>
      <xdr:col>0</xdr:col>
      <xdr:colOff>441798</xdr:colOff>
      <xdr:row>26</xdr:row>
      <xdr:rowOff>40532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202660" y="1009245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192935</xdr:colOff>
      <xdr:row>26</xdr:row>
      <xdr:rowOff>148349</xdr:rowOff>
    </xdr:from>
    <xdr:to>
      <xdr:col>0</xdr:col>
      <xdr:colOff>432073</xdr:colOff>
      <xdr:row>26</xdr:row>
      <xdr:rowOff>148349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192935" y="1117062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705255</xdr:colOff>
      <xdr:row>29</xdr:row>
      <xdr:rowOff>125649</xdr:rowOff>
    </xdr:from>
    <xdr:to>
      <xdr:col>3</xdr:col>
      <xdr:colOff>753893</xdr:colOff>
      <xdr:row>29</xdr:row>
      <xdr:rowOff>129703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V="1">
          <a:off x="705255" y="1665862"/>
          <a:ext cx="2476500" cy="405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4054</xdr:colOff>
      <xdr:row>29</xdr:row>
      <xdr:rowOff>124558</xdr:rowOff>
    </xdr:from>
    <xdr:to>
      <xdr:col>5</xdr:col>
      <xdr:colOff>622789</xdr:colOff>
      <xdr:row>29</xdr:row>
      <xdr:rowOff>125650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 flipV="1">
          <a:off x="3286516" y="5033596"/>
          <a:ext cx="1497965" cy="10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796142</xdr:colOff>
      <xdr:row>23</xdr:row>
      <xdr:rowOff>197826</xdr:rowOff>
    </xdr:from>
    <xdr:to>
      <xdr:col>5</xdr:col>
      <xdr:colOff>808302</xdr:colOff>
      <xdr:row>29</xdr:row>
      <xdr:rowOff>8106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4957834" y="3956538"/>
          <a:ext cx="12160" cy="9606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602046</xdr:colOff>
      <xdr:row>32</xdr:row>
      <xdr:rowOff>170258</xdr:rowOff>
    </xdr:from>
    <xdr:ext cx="2084004" cy="250031"/>
    <xdr:sp macro="" textlink="">
      <xdr:nvSpPr>
        <xdr:cNvPr id="61" name="29 CuadroText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3878646" y="5494733"/>
          <a:ext cx="2084004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= Ln/25 ~  Ln/20 </a:t>
          </a:r>
        </a:p>
      </xdr:txBody>
    </xdr:sp>
    <xdr:clientData/>
  </xdr:oneCellAnchor>
  <xdr:twoCellAnchor>
    <xdr:from>
      <xdr:col>5</xdr:col>
      <xdr:colOff>443071</xdr:colOff>
      <xdr:row>7</xdr:row>
      <xdr:rowOff>56350</xdr:rowOff>
    </xdr:from>
    <xdr:to>
      <xdr:col>5</xdr:col>
      <xdr:colOff>692186</xdr:colOff>
      <xdr:row>7</xdr:row>
      <xdr:rowOff>178815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4603591" y="662140"/>
          <a:ext cx="249115" cy="122465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5</xdr:col>
      <xdr:colOff>708422</xdr:colOff>
      <xdr:row>8</xdr:row>
      <xdr:rowOff>5953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3274219" y="809625"/>
          <a:ext cx="1583531" cy="59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335017</xdr:colOff>
      <xdr:row>9</xdr:row>
      <xdr:rowOff>5953</xdr:rowOff>
    </xdr:from>
    <xdr:to>
      <xdr:col>5</xdr:col>
      <xdr:colOff>708422</xdr:colOff>
      <xdr:row>9</xdr:row>
      <xdr:rowOff>6569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3609236" y="1017984"/>
          <a:ext cx="1248514" cy="6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708026</xdr:colOff>
      <xdr:row>8</xdr:row>
      <xdr:rowOff>6803</xdr:rowOff>
    </xdr:from>
    <xdr:to>
      <xdr:col>5</xdr:col>
      <xdr:colOff>708026</xdr:colOff>
      <xdr:row>9</xdr:row>
      <xdr:rowOff>22111</xdr:rowOff>
    </xdr:to>
    <xdr:cxnSp macro="">
      <xdr:nvCxnSpPr>
        <xdr:cNvPr id="1094" name="Conector rec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CxnSpPr/>
      </xdr:nvCxnSpPr>
      <xdr:spPr>
        <a:xfrm flipV="1">
          <a:off x="4857354" y="816428"/>
          <a:ext cx="0" cy="2177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461211</xdr:colOff>
      <xdr:row>8</xdr:row>
      <xdr:rowOff>1</xdr:rowOff>
    </xdr:from>
    <xdr:to>
      <xdr:col>4</xdr:col>
      <xdr:colOff>2</xdr:colOff>
      <xdr:row>10</xdr:row>
      <xdr:rowOff>3</xdr:rowOff>
    </xdr:to>
    <xdr:cxnSp macro="">
      <xdr:nvCxnSpPr>
        <xdr:cNvPr id="1106" name="Conector: angular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CxnSpPr/>
      </xdr:nvCxnSpPr>
      <xdr:spPr>
        <a:xfrm rot="5400000" flipH="1" flipV="1">
          <a:off x="2840456" y="863066"/>
          <a:ext cx="403862" cy="29317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671764</xdr:colOff>
      <xdr:row>9</xdr:row>
      <xdr:rowOff>195509</xdr:rowOff>
    </xdr:from>
    <xdr:to>
      <xdr:col>3</xdr:col>
      <xdr:colOff>461213</xdr:colOff>
      <xdr:row>11</xdr:row>
      <xdr:rowOff>5013</xdr:rowOff>
    </xdr:to>
    <xdr:cxnSp macro="">
      <xdr:nvCxnSpPr>
        <xdr:cNvPr id="1112" name="Conector: angular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CxnSpPr/>
      </xdr:nvCxnSpPr>
      <xdr:spPr>
        <a:xfrm rot="10800000" flipV="1">
          <a:off x="2351172" y="1198141"/>
          <a:ext cx="541423" cy="21055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372982</xdr:colOff>
      <xdr:row>11</xdr:row>
      <xdr:rowOff>6653</xdr:rowOff>
    </xdr:from>
    <xdr:to>
      <xdr:col>2</xdr:col>
      <xdr:colOff>668391</xdr:colOff>
      <xdr:row>13</xdr:row>
      <xdr:rowOff>12032</xdr:rowOff>
    </xdr:to>
    <xdr:cxnSp macro="">
      <xdr:nvCxnSpPr>
        <xdr:cNvPr id="103" name="Conector: angula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rot="5400000" flipH="1" flipV="1">
          <a:off x="1996879" y="1465848"/>
          <a:ext cx="406432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738941</xdr:colOff>
      <xdr:row>13</xdr:row>
      <xdr:rowOff>12027</xdr:rowOff>
    </xdr:from>
    <xdr:to>
      <xdr:col>2</xdr:col>
      <xdr:colOff>372982</xdr:colOff>
      <xdr:row>14</xdr:row>
      <xdr:rowOff>22057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rot="10800000" flipV="1">
          <a:off x="1608615" y="1801070"/>
          <a:ext cx="536845" cy="208813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440158</xdr:colOff>
      <xdr:row>14</xdr:row>
      <xdr:rowOff>18684</xdr:rowOff>
    </xdr:from>
    <xdr:to>
      <xdr:col>1</xdr:col>
      <xdr:colOff>735567</xdr:colOff>
      <xdr:row>16</xdr:row>
      <xdr:rowOff>24063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rot="5400000" flipH="1" flipV="1">
          <a:off x="1156673" y="2079458"/>
          <a:ext cx="406432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456128</xdr:colOff>
      <xdr:row>16</xdr:row>
      <xdr:rowOff>24057</xdr:rowOff>
    </xdr:from>
    <xdr:to>
      <xdr:col>1</xdr:col>
      <xdr:colOff>440165</xdr:colOff>
      <xdr:row>17</xdr:row>
      <xdr:rowOff>40247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 rot="10800000" flipV="1">
          <a:off x="456128" y="2438846"/>
          <a:ext cx="756769" cy="21742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459597</xdr:colOff>
      <xdr:row>17</xdr:row>
      <xdr:rowOff>41985</xdr:rowOff>
    </xdr:from>
    <xdr:to>
      <xdr:col>0</xdr:col>
      <xdr:colOff>464346</xdr:colOff>
      <xdr:row>21</xdr:row>
      <xdr:rowOff>11906</xdr:rowOff>
    </xdr:to>
    <xdr:cxnSp macro="">
      <xdr:nvCxnSpPr>
        <xdr:cNvPr id="1122" name="Conector rec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CxnSpPr/>
      </xdr:nvCxnSpPr>
      <xdr:spPr>
        <a:xfrm>
          <a:off x="459597" y="2673266"/>
          <a:ext cx="4749" cy="5771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467614</xdr:colOff>
      <xdr:row>21</xdr:row>
      <xdr:rowOff>8050</xdr:rowOff>
    </xdr:from>
    <xdr:to>
      <xdr:col>1</xdr:col>
      <xdr:colOff>64395</xdr:colOff>
      <xdr:row>21</xdr:row>
      <xdr:rowOff>11907</xdr:rowOff>
    </xdr:to>
    <xdr:cxnSp macro="">
      <xdr:nvCxnSpPr>
        <xdr:cNvPr id="1124" name="Conector rec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CxnSpPr/>
      </xdr:nvCxnSpPr>
      <xdr:spPr>
        <a:xfrm flipV="1">
          <a:off x="467614" y="3227768"/>
          <a:ext cx="369513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64943</xdr:colOff>
      <xdr:row>18</xdr:row>
      <xdr:rowOff>112568</xdr:rowOff>
    </xdr:from>
    <xdr:to>
      <xdr:col>1</xdr:col>
      <xdr:colOff>68004</xdr:colOff>
      <xdr:row>21</xdr:row>
      <xdr:rowOff>8638</xdr:rowOff>
    </xdr:to>
    <xdr:cxnSp macro="">
      <xdr:nvCxnSpPr>
        <xdr:cNvPr id="1130" name="Conector rec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CxnSpPr/>
      </xdr:nvCxnSpPr>
      <xdr:spPr>
        <a:xfrm flipH="1" flipV="1">
          <a:off x="930852" y="2900795"/>
          <a:ext cx="3061" cy="4935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69273</xdr:colOff>
      <xdr:row>9</xdr:row>
      <xdr:rowOff>6570</xdr:rowOff>
    </xdr:from>
    <xdr:to>
      <xdr:col>4</xdr:col>
      <xdr:colOff>341586</xdr:colOff>
      <xdr:row>18</xdr:row>
      <xdr:rowOff>112568</xdr:rowOff>
    </xdr:to>
    <xdr:cxnSp macro="">
      <xdr:nvCxnSpPr>
        <xdr:cNvPr id="1133" name="Conector rec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CxnSpPr/>
      </xdr:nvCxnSpPr>
      <xdr:spPr>
        <a:xfrm flipV="1">
          <a:off x="935182" y="1002365"/>
          <a:ext cx="2683870" cy="18984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446942</xdr:colOff>
      <xdr:row>21</xdr:row>
      <xdr:rowOff>109904</xdr:rowOff>
    </xdr:from>
    <xdr:to>
      <xdr:col>1</xdr:col>
      <xdr:colOff>73269</xdr:colOff>
      <xdr:row>21</xdr:row>
      <xdr:rowOff>117232</xdr:rowOff>
    </xdr:to>
    <xdr:cxnSp macro="">
      <xdr:nvCxnSpPr>
        <xdr:cNvPr id="1139" name="Conector recto de flecha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CxnSpPr/>
      </xdr:nvCxnSpPr>
      <xdr:spPr>
        <a:xfrm>
          <a:off x="446942" y="3275135"/>
          <a:ext cx="395654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58615</xdr:colOff>
      <xdr:row>21</xdr:row>
      <xdr:rowOff>113109</xdr:rowOff>
    </xdr:from>
    <xdr:to>
      <xdr:col>3</xdr:col>
      <xdr:colOff>744141</xdr:colOff>
      <xdr:row>21</xdr:row>
      <xdr:rowOff>117231</xdr:rowOff>
    </xdr:to>
    <xdr:cxnSp macro="">
      <xdr:nvCxnSpPr>
        <xdr:cNvPr id="1141" name="Conector recto de flecha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CxnSpPr/>
      </xdr:nvCxnSpPr>
      <xdr:spPr>
        <a:xfrm flipV="1">
          <a:off x="827942" y="3278340"/>
          <a:ext cx="2348737" cy="41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738188</xdr:colOff>
      <xdr:row>21</xdr:row>
      <xdr:rowOff>113110</xdr:rowOff>
    </xdr:from>
    <xdr:to>
      <xdr:col>5</xdr:col>
      <xdr:colOff>457200</xdr:colOff>
      <xdr:row>21</xdr:row>
      <xdr:rowOff>114300</xdr:rowOff>
    </xdr:to>
    <xdr:cxnSp macro="">
      <xdr:nvCxnSpPr>
        <xdr:cNvPr id="1143" name="Conector recto de flecha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CxnSpPr/>
      </xdr:nvCxnSpPr>
      <xdr:spPr>
        <a:xfrm>
          <a:off x="3268028" y="3545920"/>
          <a:ext cx="1349692" cy="11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464582</xdr:colOff>
      <xdr:row>21</xdr:row>
      <xdr:rowOff>113109</xdr:rowOff>
    </xdr:from>
    <xdr:to>
      <xdr:col>5</xdr:col>
      <xdr:colOff>714613</xdr:colOff>
      <xdr:row>21</xdr:row>
      <xdr:rowOff>113109</xdr:rowOff>
    </xdr:to>
    <xdr:cxnSp macro="">
      <xdr:nvCxnSpPr>
        <xdr:cNvPr id="1145" name="Conector recto de flecha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CxnSpPr/>
      </xdr:nvCxnSpPr>
      <xdr:spPr>
        <a:xfrm>
          <a:off x="4625102" y="3545919"/>
          <a:ext cx="2500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439703</xdr:colOff>
      <xdr:row>6</xdr:row>
      <xdr:rowOff>119064</xdr:rowOff>
    </xdr:from>
    <xdr:to>
      <xdr:col>5</xdr:col>
      <xdr:colOff>688818</xdr:colOff>
      <xdr:row>7</xdr:row>
      <xdr:rowOff>39123</xdr:rowOff>
    </xdr:to>
    <xdr:sp macro="" textlink="">
      <xdr:nvSpPr>
        <xdr:cNvPr id="134" name="Rectá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4600223" y="522924"/>
          <a:ext cx="249115" cy="12198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446374</xdr:colOff>
      <xdr:row>9</xdr:row>
      <xdr:rowOff>173646</xdr:rowOff>
    </xdr:from>
    <xdr:to>
      <xdr:col>5</xdr:col>
      <xdr:colOff>695489</xdr:colOff>
      <xdr:row>10</xdr:row>
      <xdr:rowOff>93704</xdr:rowOff>
    </xdr:to>
    <xdr:sp macro="" textlink="">
      <xdr:nvSpPr>
        <xdr:cNvPr id="136" name="Rectá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4606894" y="1183296"/>
          <a:ext cx="249115" cy="121988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449209</xdr:colOff>
      <xdr:row>10</xdr:row>
      <xdr:rowOff>119166</xdr:rowOff>
    </xdr:from>
    <xdr:to>
      <xdr:col>5</xdr:col>
      <xdr:colOff>698324</xdr:colOff>
      <xdr:row>11</xdr:row>
      <xdr:rowOff>39225</xdr:rowOff>
    </xdr:to>
    <xdr:sp macro="" textlink="">
      <xdr:nvSpPr>
        <xdr:cNvPr id="137" name="Rectá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4609729" y="1330746"/>
          <a:ext cx="249115" cy="12198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0</xdr:col>
      <xdr:colOff>494846</xdr:colOff>
      <xdr:row>21</xdr:row>
      <xdr:rowOff>161420</xdr:rowOff>
    </xdr:from>
    <xdr:ext cx="348483" cy="240095"/>
    <xdr:sp macro="" textlink="">
      <xdr:nvSpPr>
        <xdr:cNvPr id="152" name="29 CuadroTexto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494846" y="3326651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90401</xdr:colOff>
      <xdr:row>21</xdr:row>
      <xdr:rowOff>159954</xdr:rowOff>
    </xdr:from>
    <xdr:ext cx="348483" cy="240095"/>
    <xdr:sp macro="" textlink="">
      <xdr:nvSpPr>
        <xdr:cNvPr id="153" name="29 CuadroTexto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1768266" y="3325185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516241</xdr:colOff>
      <xdr:row>21</xdr:row>
      <xdr:rowOff>158489</xdr:rowOff>
    </xdr:from>
    <xdr:ext cx="348483" cy="240095"/>
    <xdr:sp macro="" textlink="">
      <xdr:nvSpPr>
        <xdr:cNvPr id="154" name="29 CuadroTexto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3800461" y="3591299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402820</xdr:colOff>
      <xdr:row>21</xdr:row>
      <xdr:rowOff>157023</xdr:rowOff>
    </xdr:from>
    <xdr:ext cx="381453" cy="240095"/>
    <xdr:sp macro="" textlink="">
      <xdr:nvSpPr>
        <xdr:cNvPr id="155" name="29 CuadroTexto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4563340" y="3589833"/>
          <a:ext cx="38145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Lm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740020</xdr:colOff>
      <xdr:row>11</xdr:row>
      <xdr:rowOff>139212</xdr:rowOff>
    </xdr:from>
    <xdr:to>
      <xdr:col>3</xdr:col>
      <xdr:colOff>747347</xdr:colOff>
      <xdr:row>21</xdr:row>
      <xdr:rowOff>36634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>
          <a:off x="3172558" y="1524000"/>
          <a:ext cx="7327" cy="16778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469218</xdr:colOff>
      <xdr:row>15</xdr:row>
      <xdr:rowOff>146539</xdr:rowOff>
    </xdr:from>
    <xdr:to>
      <xdr:col>5</xdr:col>
      <xdr:colOff>478009</xdr:colOff>
      <xdr:row>21</xdr:row>
      <xdr:rowOff>49823</xdr:rowOff>
    </xdr:to>
    <xdr:cxnSp macro="">
      <xdr:nvCxnSpPr>
        <xdr:cNvPr id="160" name="Conector rec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/>
      </xdr:nvCxnSpPr>
      <xdr:spPr>
        <a:xfrm flipH="1">
          <a:off x="4629738" y="2367769"/>
          <a:ext cx="8791" cy="11148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724488</xdr:colOff>
      <xdr:row>15</xdr:row>
      <xdr:rowOff>145073</xdr:rowOff>
    </xdr:from>
    <xdr:to>
      <xdr:col>5</xdr:col>
      <xdr:colOff>733279</xdr:colOff>
      <xdr:row>21</xdr:row>
      <xdr:rowOff>48357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/>
      </xdr:nvCxnSpPr>
      <xdr:spPr>
        <a:xfrm flipH="1">
          <a:off x="4885008" y="2366303"/>
          <a:ext cx="8791" cy="11148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113109</xdr:colOff>
      <xdr:row>18</xdr:row>
      <xdr:rowOff>5953</xdr:rowOff>
    </xdr:from>
    <xdr:to>
      <xdr:col>0</xdr:col>
      <xdr:colOff>458390</xdr:colOff>
      <xdr:row>18</xdr:row>
      <xdr:rowOff>5953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113109" y="2839641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110731</xdr:colOff>
      <xdr:row>18</xdr:row>
      <xdr:rowOff>80964</xdr:rowOff>
    </xdr:from>
    <xdr:to>
      <xdr:col>0</xdr:col>
      <xdr:colOff>456012</xdr:colOff>
      <xdr:row>18</xdr:row>
      <xdr:rowOff>80964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 flipH="1">
          <a:off x="110731" y="2914652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315516</xdr:colOff>
      <xdr:row>18</xdr:row>
      <xdr:rowOff>83343</xdr:rowOff>
    </xdr:from>
    <xdr:to>
      <xdr:col>0</xdr:col>
      <xdr:colOff>315516</xdr:colOff>
      <xdr:row>21</xdr:row>
      <xdr:rowOff>0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V="1">
          <a:off x="315516" y="2917031"/>
          <a:ext cx="0" cy="32146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24549</xdr:colOff>
      <xdr:row>19</xdr:row>
      <xdr:rowOff>14331</xdr:rowOff>
    </xdr:from>
    <xdr:ext cx="348483" cy="240095"/>
    <xdr:sp macro="" textlink="">
      <xdr:nvSpPr>
        <xdr:cNvPr id="168" name="29 CuadroTexto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24549" y="3014706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Hc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681818</xdr:colOff>
      <xdr:row>33</xdr:row>
      <xdr:rowOff>170258</xdr:rowOff>
    </xdr:from>
    <xdr:ext cx="324260" cy="250031"/>
    <xdr:sp macro="" textlink="">
      <xdr:nvSpPr>
        <xdr:cNvPr id="170" name="29 CuadroTexto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1455724" y="8587977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402021</xdr:colOff>
      <xdr:row>47</xdr:row>
      <xdr:rowOff>171450</xdr:rowOff>
    </xdr:from>
    <xdr:ext cx="2084004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29 CuadroTexto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 txBox="1"/>
          </xdr:nvSpPr>
          <xdr:spPr>
            <a:xfrm>
              <a:off x="1268796" y="817245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Calibri" panose="020F0502020204030204" pitchFamily="34" charset="0"/>
                    </a:rPr>
                    <m:t>𝜃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4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PE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ES" sz="14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es-ES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1" name="29 CuadroTexto">
              <a:extLst>
                <a:ext uri="{FF2B5EF4-FFF2-40B4-BE49-F238E27FC236}">
                  <a16:creationId xmlns:a16="http://schemas.microsoft.com/office/drawing/2014/main" id="{9C480878-8629-445F-9BD7-0D368BB0A0E4}"/>
                </a:ext>
              </a:extLst>
            </xdr:cNvPr>
            <xdr:cNvSpPr txBox="1"/>
          </xdr:nvSpPr>
          <xdr:spPr>
            <a:xfrm>
              <a:off x="1268796" y="817245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𝜃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2+CP^2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459171</xdr:colOff>
      <xdr:row>52</xdr:row>
      <xdr:rowOff>38100</xdr:rowOff>
    </xdr:from>
    <xdr:ext cx="2084004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29 CuadroTexto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 txBox="1"/>
          </xdr:nvSpPr>
          <xdr:spPr>
            <a:xfrm>
              <a:off x="1325946" y="899160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CP</m:t>
                      </m:r>
                    </m:num>
                    <m:den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nor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cos</m:t>
                      </m:r>
                      <m:r>
                        <a:rPr lang="es-E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s-PE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2" name="29 CuadroTexto">
              <a:extLst>
                <a:ext uri="{FF2B5EF4-FFF2-40B4-BE49-F238E27FC236}">
                  <a16:creationId xmlns:a16="http://schemas.microsoft.com/office/drawing/2014/main" id="{B47B9F1F-7D32-4300-98AA-C9BBB74800CC}"/>
                </a:ext>
              </a:extLst>
            </xdr:cNvPr>
            <xdr:cNvSpPr txBox="1"/>
          </xdr:nvSpPr>
          <xdr:spPr>
            <a:xfrm>
              <a:off x="1325946" y="899160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CP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"cos" 𝜃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316295</xdr:colOff>
      <xdr:row>73</xdr:row>
      <xdr:rowOff>123825</xdr:rowOff>
    </xdr:from>
    <xdr:ext cx="1560129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29 CuadroTexto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 txBox="1"/>
          </xdr:nvSpPr>
          <xdr:spPr>
            <a:xfrm>
              <a:off x="1183070" y="12753975"/>
              <a:ext cx="156012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3" name="29 CuadroTexto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 txBox="1"/>
          </xdr:nvSpPr>
          <xdr:spPr>
            <a:xfrm>
              <a:off x="1183070" y="12753975"/>
              <a:ext cx="156012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297245</xdr:colOff>
      <xdr:row>75</xdr:row>
      <xdr:rowOff>142875</xdr:rowOff>
    </xdr:from>
    <xdr:ext cx="2388805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29 CuadroTexto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 txBox="1"/>
          </xdr:nvSpPr>
          <xdr:spPr>
            <a:xfrm>
              <a:off x="1164020" y="13154025"/>
              <a:ext cx="238880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</m:e>
                    <m:sup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4" name="29 CuadroTexto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 txBox="1"/>
          </xdr:nvSpPr>
          <xdr:spPr>
            <a:xfrm>
              <a:off x="1164020" y="13154025"/>
              <a:ext cx="238880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X^2/2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57150</xdr:colOff>
      <xdr:row>78</xdr:row>
      <xdr:rowOff>171450</xdr:rowOff>
    </xdr:from>
    <xdr:ext cx="1704975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29 CuadroTexto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SpPr txBox="1"/>
          </xdr:nvSpPr>
          <xdr:spPr>
            <a:xfrm>
              <a:off x="923925" y="14239875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5" name="29 CuadroTexto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SpPr txBox="1"/>
          </xdr:nvSpPr>
          <xdr:spPr>
            <a:xfrm>
              <a:off x="923925" y="14239875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444583</xdr:colOff>
      <xdr:row>9</xdr:row>
      <xdr:rowOff>28369</xdr:rowOff>
    </xdr:from>
    <xdr:to>
      <xdr:col>5</xdr:col>
      <xdr:colOff>693698</xdr:colOff>
      <xdr:row>9</xdr:row>
      <xdr:rowOff>148452</xdr:rowOff>
    </xdr:to>
    <xdr:sp macro="" textlink="">
      <xdr:nvSpPr>
        <xdr:cNvPr id="176" name="Rectá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4593911" y="1040400"/>
          <a:ext cx="249115" cy="120083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1</xdr:col>
      <xdr:colOff>192469</xdr:colOff>
      <xdr:row>93</xdr:row>
      <xdr:rowOff>133350</xdr:rowOff>
    </xdr:from>
    <xdr:ext cx="1672843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29 CuadroTexto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 txBox="1"/>
          </xdr:nvSpPr>
          <xdr:spPr>
            <a:xfrm>
              <a:off x="1057657" y="16738600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8" name="29 CuadroTexto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 txBox="1"/>
          </xdr:nvSpPr>
          <xdr:spPr>
            <a:xfrm>
              <a:off x="1057657" y="16738600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152400</xdr:colOff>
      <xdr:row>92</xdr:row>
      <xdr:rowOff>142875</xdr:rowOff>
    </xdr:from>
    <xdr:to>
      <xdr:col>6</xdr:col>
      <xdr:colOff>190500</xdr:colOff>
      <xdr:row>95</xdr:row>
      <xdr:rowOff>45288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429000" y="16583025"/>
              <a:ext cx="1800225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10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min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i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0.7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ad>
                        <m:radPr>
                          <m:degHide m:val="on"/>
                          <m:ctrlPr>
                            <a:rPr lang="es-PE" sz="1400" i="1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i="1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f</m:t>
                              </m:r>
                            </m:e>
                            <m:sup>
                              <m: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′</m:t>
                              </m:r>
                            </m:sup>
                          </m:sSup>
                          <m:r>
                            <m:rPr>
                              <m:sty m:val="p"/>
                            </m:rPr>
                            <a:rPr lang="es-PE" sz="1400" i="0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</m:t>
                          </m:r>
                        </m:e>
                      </m:rad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b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</m:den>
                  </m:f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429000" y="16583025"/>
              <a:ext cx="1800225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 min2=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(0.7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f^′ c)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t)/fy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600076</xdr:colOff>
      <xdr:row>39</xdr:row>
      <xdr:rowOff>120161</xdr:rowOff>
    </xdr:from>
    <xdr:to>
      <xdr:col>15</xdr:col>
      <xdr:colOff>590551</xdr:colOff>
      <xdr:row>43</xdr:row>
      <xdr:rowOff>131095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1" y="6978161"/>
          <a:ext cx="2000250" cy="77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58882</xdr:colOff>
      <xdr:row>66</xdr:row>
      <xdr:rowOff>79471</xdr:rowOff>
    </xdr:from>
    <xdr:to>
      <xdr:col>16</xdr:col>
      <xdr:colOff>638176</xdr:colOff>
      <xdr:row>71</xdr:row>
      <xdr:rowOff>68407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2357" y="11995246"/>
          <a:ext cx="2770044" cy="80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407670</xdr:colOff>
      <xdr:row>11</xdr:row>
      <xdr:rowOff>58276</xdr:rowOff>
    </xdr:from>
    <xdr:to>
      <xdr:col>5</xdr:col>
      <xdr:colOff>562338</xdr:colOff>
      <xdr:row>12</xdr:row>
      <xdr:rowOff>45720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4568190" y="1471786"/>
          <a:ext cx="154668" cy="18937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516321</xdr:colOff>
      <xdr:row>89</xdr:row>
      <xdr:rowOff>171451</xdr:rowOff>
    </xdr:from>
    <xdr:ext cx="1350579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29 CuadroTexto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1383096" y="16040101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Mu</m:t>
                      </m:r>
                    </m:num>
                    <m:den>
                      <m:r>
                        <m:rPr>
                          <m:nor/>
                        </m:rPr>
                        <a:rPr lang="el-GR" sz="1200" b="0" i="0" baseline="0">
                          <a:solidFill>
                            <a:schemeClr val="tx1"/>
                          </a:solidFill>
                          <a:effectLst/>
                          <a:latin typeface="Calibri" panose="020F0502020204030204" pitchFamily="34" charset="0"/>
                          <a:ea typeface="Cambria Math" panose="02040503050406030204" pitchFamily="18" charset="0"/>
                          <a:cs typeface="Calibri" panose="020F0502020204030204" pitchFamily="34" charset="0"/>
                        </a:rPr>
                        <m:t>φ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(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a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/2)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29 CuadroTexto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1383096" y="16040101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Mu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φ</a:t>
              </a:r>
              <a:r>
                <a:rPr lang="es-ES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fy (d−a/2)</a:t>
              </a:r>
              <a:r>
                <a:rPr lang="es-PE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602046</xdr:colOff>
      <xdr:row>86</xdr:row>
      <xdr:rowOff>114301</xdr:rowOff>
    </xdr:from>
    <xdr:ext cx="135057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29 CuadroText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1468821" y="1541145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a:rPr lang="es-E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8" name="29 CuadroTexto">
              <a:extLst>
                <a:ext uri="{FF2B5EF4-FFF2-40B4-BE49-F238E27FC236}">
                  <a16:creationId xmlns:a16="http://schemas.microsoft.com/office/drawing/2014/main" id="{4765DD46-FDCA-46A2-98FD-32603C11E03E}"/>
                </a:ext>
              </a:extLst>
            </xdr:cNvPr>
            <xdr:cNvSpPr txBox="1"/>
          </xdr:nvSpPr>
          <xdr:spPr>
            <a:xfrm>
              <a:off x="1468821" y="1541145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410766</xdr:colOff>
      <xdr:row>12</xdr:row>
      <xdr:rowOff>130969</xdr:rowOff>
    </xdr:from>
    <xdr:to>
      <xdr:col>2</xdr:col>
      <xdr:colOff>558362</xdr:colOff>
      <xdr:row>13</xdr:row>
      <xdr:rowOff>151086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184387" y="1707521"/>
          <a:ext cx="147596" cy="2171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818019</xdr:colOff>
      <xdr:row>7</xdr:row>
      <xdr:rowOff>190501</xdr:rowOff>
    </xdr:from>
    <xdr:to>
      <xdr:col>5</xdr:col>
      <xdr:colOff>822239</xdr:colOff>
      <xdr:row>9</xdr:row>
      <xdr:rowOff>21566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4978539" y="796291"/>
          <a:ext cx="4220" cy="2349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831850</xdr:colOff>
      <xdr:row>12</xdr:row>
      <xdr:rowOff>0</xdr:rowOff>
    </xdr:from>
    <xdr:to>
      <xdr:col>2</xdr:col>
      <xdr:colOff>406400</xdr:colOff>
      <xdr:row>13</xdr:row>
      <xdr:rowOff>88900</xdr:rowOff>
    </xdr:to>
    <xdr:cxnSp macro="">
      <xdr:nvCxnSpPr>
        <xdr:cNvPr id="22" name="Conector: curvad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701800" y="1625600"/>
          <a:ext cx="482600" cy="292100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468312</xdr:colOff>
      <xdr:row>104</xdr:row>
      <xdr:rowOff>182562</xdr:rowOff>
    </xdr:from>
    <xdr:to>
      <xdr:col>5</xdr:col>
      <xdr:colOff>161395</xdr:colOff>
      <xdr:row>106</xdr:row>
      <xdr:rowOff>39686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2238375" y="18756312"/>
              <a:ext cx="2074333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−2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R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E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PE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Ø</m:t>
                      </m:r>
                    </m:sub>
                  </m:sSub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)/(</m:t>
                  </m:r>
                  <m:sSub>
                    <m:sSubPr>
                      <m:ctrlPr>
                        <a:rPr lang="es-PE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N</m:t>
                      </m:r>
                    </m:e>
                    <m:sub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m:rPr>
                      <m:nor/>
                    </m:rPr>
                    <a:rPr lang="es-PE" sz="1100" i="0">
                      <a:effectLst/>
                      <a:latin typeface="+mn-lt"/>
                      <a:ea typeface="+mn-ea"/>
                      <a:cs typeface="+mn-cs"/>
                    </a:rPr>
                    <m:t>−1)</m:t>
                  </m:r>
                </m:oMath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8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2238375" y="18756312"/>
              <a:ext cx="2074333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(b−2R−𝑑</a:t>
              </a:r>
              <a:r>
                <a:rPr lang="es-P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100" b="0" i="0">
                  <a:effectLst/>
                  <a:latin typeface="+mn-lt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Ø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twoCellAnchor>
  <xdr:oneCellAnchor>
    <xdr:from>
      <xdr:col>2</xdr:col>
      <xdr:colOff>397453</xdr:colOff>
      <xdr:row>116</xdr:row>
      <xdr:rowOff>0</xdr:rowOff>
    </xdr:from>
    <xdr:ext cx="1897206" cy="246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2172567" y="20522045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4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2172567" y="20522045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(b−2R−d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476250</xdr:colOff>
      <xdr:row>124</xdr:row>
      <xdr:rowOff>171450</xdr:rowOff>
    </xdr:from>
    <xdr:ext cx="1809750" cy="249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2246313" y="2236470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85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2246313" y="2236470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+mn-lt"/>
                  <a:ea typeface="+mn-ea"/>
                  <a:cs typeface="+mn-cs"/>
                </a:rPr>
                <a:t>S=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 〖</a:t>
              </a:r>
              <a:r>
                <a:rPr lang="es-ES" sz="1100" b="0" i="0">
                  <a:effectLst/>
                  <a:latin typeface="+mn-lt"/>
                  <a:ea typeface="+mn-ea"/>
                  <a:cs typeface="+mn-cs"/>
                </a:rPr>
                <a:t>(b−2R−𝑑</a:t>
              </a:r>
              <a:r>
                <a:rPr lang="es-PE" sz="1100" b="0" i="0"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+mn-lt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Ø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oneCellAnchor>
  <xdr:twoCellAnchor>
    <xdr:from>
      <xdr:col>4</xdr:col>
      <xdr:colOff>4571</xdr:colOff>
      <xdr:row>132</xdr:row>
      <xdr:rowOff>0</xdr:rowOff>
    </xdr:from>
    <xdr:to>
      <xdr:col>5</xdr:col>
      <xdr:colOff>706244</xdr:colOff>
      <xdr:row>132</xdr:row>
      <xdr:rowOff>4646</xdr:rowOff>
    </xdr:to>
    <xdr:cxnSp macro="">
      <xdr:nvCxnSpPr>
        <xdr:cNvPr id="236" name="Conector rec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/>
      </xdr:nvCxnSpPr>
      <xdr:spPr>
        <a:xfrm>
          <a:off x="3284888" y="23129488"/>
          <a:ext cx="1579832" cy="46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368085</xdr:colOff>
      <xdr:row>133</xdr:row>
      <xdr:rowOff>6458</xdr:rowOff>
    </xdr:from>
    <xdr:to>
      <xdr:col>5</xdr:col>
      <xdr:colOff>333378</xdr:colOff>
      <xdr:row>133</xdr:row>
      <xdr:rowOff>6806</xdr:rowOff>
    </xdr:to>
    <xdr:cxnSp macro="">
      <xdr:nvCxnSpPr>
        <xdr:cNvPr id="237" name="Conector rec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/>
      </xdr:nvCxnSpPr>
      <xdr:spPr>
        <a:xfrm>
          <a:off x="3642102" y="23538051"/>
          <a:ext cx="840301" cy="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461211</xdr:colOff>
      <xdr:row>132</xdr:row>
      <xdr:rowOff>1</xdr:rowOff>
    </xdr:from>
    <xdr:to>
      <xdr:col>4</xdr:col>
      <xdr:colOff>2</xdr:colOff>
      <xdr:row>134</xdr:row>
      <xdr:rowOff>3</xdr:rowOff>
    </xdr:to>
    <xdr:cxnSp macro="">
      <xdr:nvCxnSpPr>
        <xdr:cNvPr id="239" name="Conector: angular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/>
      </xdr:nvCxnSpPr>
      <xdr:spPr>
        <a:xfrm rot="5400000" flipH="1" flipV="1">
          <a:off x="2930943" y="854494"/>
          <a:ext cx="400052" cy="29126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671764</xdr:colOff>
      <xdr:row>133</xdr:row>
      <xdr:rowOff>195509</xdr:rowOff>
    </xdr:from>
    <xdr:to>
      <xdr:col>3</xdr:col>
      <xdr:colOff>461213</xdr:colOff>
      <xdr:row>135</xdr:row>
      <xdr:rowOff>5013</xdr:rowOff>
    </xdr:to>
    <xdr:cxnSp macro="">
      <xdr:nvCxnSpPr>
        <xdr:cNvPr id="240" name="Conector: angular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/>
      </xdr:nvCxnSpPr>
      <xdr:spPr>
        <a:xfrm rot="10800000" flipV="1">
          <a:off x="2443414" y="1195634"/>
          <a:ext cx="541924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372982</xdr:colOff>
      <xdr:row>135</xdr:row>
      <xdr:rowOff>6653</xdr:rowOff>
    </xdr:from>
    <xdr:to>
      <xdr:col>2</xdr:col>
      <xdr:colOff>668391</xdr:colOff>
      <xdr:row>137</xdr:row>
      <xdr:rowOff>12032</xdr:rowOff>
    </xdr:to>
    <xdr:cxnSp macro="">
      <xdr:nvCxnSpPr>
        <xdr:cNvPr id="241" name="Conector: angular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 rot="5400000" flipH="1" flipV="1">
          <a:off x="2089622" y="1461838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738941</xdr:colOff>
      <xdr:row>137</xdr:row>
      <xdr:rowOff>12027</xdr:rowOff>
    </xdr:from>
    <xdr:to>
      <xdr:col>2</xdr:col>
      <xdr:colOff>372982</xdr:colOff>
      <xdr:row>138</xdr:row>
      <xdr:rowOff>22057</xdr:rowOff>
    </xdr:to>
    <xdr:cxnSp macro="">
      <xdr:nvCxnSpPr>
        <xdr:cNvPr id="242" name="Conector: angular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/>
      </xdr:nvCxnSpPr>
      <xdr:spPr>
        <a:xfrm rot="10800000" flipV="1">
          <a:off x="1605716" y="1812252"/>
          <a:ext cx="538916" cy="21005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440158</xdr:colOff>
      <xdr:row>138</xdr:row>
      <xdr:rowOff>18684</xdr:rowOff>
    </xdr:from>
    <xdr:to>
      <xdr:col>1</xdr:col>
      <xdr:colOff>735567</xdr:colOff>
      <xdr:row>140</xdr:row>
      <xdr:rowOff>24063</xdr:rowOff>
    </xdr:to>
    <xdr:cxnSp macro="">
      <xdr:nvCxnSpPr>
        <xdr:cNvPr id="243" name="Conector: angular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 rot="5400000" flipH="1" flipV="1">
          <a:off x="1251923" y="2073944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456128</xdr:colOff>
      <xdr:row>140</xdr:row>
      <xdr:rowOff>24057</xdr:rowOff>
    </xdr:from>
    <xdr:to>
      <xdr:col>1</xdr:col>
      <xdr:colOff>440165</xdr:colOff>
      <xdr:row>141</xdr:row>
      <xdr:rowOff>40247</xdr:rowOff>
    </xdr:to>
    <xdr:cxnSp macro="">
      <xdr:nvCxnSpPr>
        <xdr:cNvPr id="244" name="Conector: angular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>
        <a:xfrm rot="10800000" flipV="1">
          <a:off x="456128" y="2424357"/>
          <a:ext cx="850812" cy="21621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459597</xdr:colOff>
      <xdr:row>141</xdr:row>
      <xdr:rowOff>41985</xdr:rowOff>
    </xdr:from>
    <xdr:to>
      <xdr:col>0</xdr:col>
      <xdr:colOff>464346</xdr:colOff>
      <xdr:row>145</xdr:row>
      <xdr:rowOff>11906</xdr:rowOff>
    </xdr:to>
    <xdr:cxnSp macro="">
      <xdr:nvCxnSpPr>
        <xdr:cNvPr id="245" name="Conector rec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>
          <a:off x="459597" y="2642310"/>
          <a:ext cx="4749" cy="7700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467614</xdr:colOff>
      <xdr:row>145</xdr:row>
      <xdr:rowOff>8050</xdr:rowOff>
    </xdr:from>
    <xdr:to>
      <xdr:col>1</xdr:col>
      <xdr:colOff>64395</xdr:colOff>
      <xdr:row>145</xdr:row>
      <xdr:rowOff>11907</xdr:rowOff>
    </xdr:to>
    <xdr:cxnSp macro="">
      <xdr:nvCxnSpPr>
        <xdr:cNvPr id="246" name="Conector rec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 flipV="1">
          <a:off x="467614" y="3408475"/>
          <a:ext cx="463556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68005</xdr:colOff>
      <xdr:row>142</xdr:row>
      <xdr:rowOff>125866</xdr:rowOff>
    </xdr:from>
    <xdr:to>
      <xdr:col>1</xdr:col>
      <xdr:colOff>71438</xdr:colOff>
      <xdr:row>145</xdr:row>
      <xdr:rowOff>8638</xdr:rowOff>
    </xdr:to>
    <xdr:cxnSp macro="">
      <xdr:nvCxnSpPr>
        <xdr:cNvPr id="247" name="Conector rec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>
        <a:xfrm flipV="1">
          <a:off x="935460" y="25475973"/>
          <a:ext cx="3433" cy="4848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68036</xdr:colOff>
      <xdr:row>133</xdr:row>
      <xdr:rowOff>8659</xdr:rowOff>
    </xdr:from>
    <xdr:to>
      <xdr:col>4</xdr:col>
      <xdr:colOff>368011</xdr:colOff>
      <xdr:row>142</xdr:row>
      <xdr:rowOff>125866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/>
      </xdr:nvCxnSpPr>
      <xdr:spPr>
        <a:xfrm flipV="1">
          <a:off x="933945" y="23513761"/>
          <a:ext cx="2711532" cy="19096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446942</xdr:colOff>
      <xdr:row>145</xdr:row>
      <xdr:rowOff>109904</xdr:rowOff>
    </xdr:from>
    <xdr:to>
      <xdr:col>1</xdr:col>
      <xdr:colOff>73269</xdr:colOff>
      <xdr:row>145</xdr:row>
      <xdr:rowOff>117232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/>
      </xdr:nvCxnSpPr>
      <xdr:spPr>
        <a:xfrm>
          <a:off x="446942" y="3510329"/>
          <a:ext cx="493102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58615</xdr:colOff>
      <xdr:row>145</xdr:row>
      <xdr:rowOff>113109</xdr:rowOff>
    </xdr:from>
    <xdr:to>
      <xdr:col>3</xdr:col>
      <xdr:colOff>744141</xdr:colOff>
      <xdr:row>145</xdr:row>
      <xdr:rowOff>117231</xdr:rowOff>
    </xdr:to>
    <xdr:cxnSp macro="">
      <xdr:nvCxnSpPr>
        <xdr:cNvPr id="250" name="Conector recto de flecha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/>
      </xdr:nvCxnSpPr>
      <xdr:spPr>
        <a:xfrm flipV="1">
          <a:off x="925390" y="3513534"/>
          <a:ext cx="2342876" cy="41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738188</xdr:colOff>
      <xdr:row>145</xdr:row>
      <xdr:rowOff>113110</xdr:rowOff>
    </xdr:from>
    <xdr:to>
      <xdr:col>5</xdr:col>
      <xdr:colOff>451757</xdr:colOff>
      <xdr:row>145</xdr:row>
      <xdr:rowOff>119743</xdr:rowOff>
    </xdr:to>
    <xdr:cxnSp macro="">
      <xdr:nvCxnSpPr>
        <xdr:cNvPr id="251" name="Conector recto de flecha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/>
      </xdr:nvCxnSpPr>
      <xdr:spPr>
        <a:xfrm>
          <a:off x="3258231" y="25868710"/>
          <a:ext cx="1340983" cy="66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439003</xdr:colOff>
      <xdr:row>145</xdr:row>
      <xdr:rowOff>118552</xdr:rowOff>
    </xdr:from>
    <xdr:to>
      <xdr:col>5</xdr:col>
      <xdr:colOff>689034</xdr:colOff>
      <xdr:row>145</xdr:row>
      <xdr:rowOff>118552</xdr:rowOff>
    </xdr:to>
    <xdr:cxnSp macro="">
      <xdr:nvCxnSpPr>
        <xdr:cNvPr id="252" name="Conector recto de flecha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/>
      </xdr:nvCxnSpPr>
      <xdr:spPr>
        <a:xfrm>
          <a:off x="4586460" y="25874152"/>
          <a:ext cx="2500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740021</xdr:colOff>
      <xdr:row>141</xdr:row>
      <xdr:rowOff>53578</xdr:rowOff>
    </xdr:from>
    <xdr:to>
      <xdr:col>3</xdr:col>
      <xdr:colOff>744141</xdr:colOff>
      <xdr:row>145</xdr:row>
      <xdr:rowOff>36634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/>
      </xdr:nvCxnSpPr>
      <xdr:spPr>
        <a:xfrm flipH="1">
          <a:off x="3264146" y="25259109"/>
          <a:ext cx="4120" cy="780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467042</xdr:colOff>
      <xdr:row>141</xdr:row>
      <xdr:rowOff>88280</xdr:rowOff>
    </xdr:from>
    <xdr:to>
      <xdr:col>5</xdr:col>
      <xdr:colOff>471006</xdr:colOff>
      <xdr:row>145</xdr:row>
      <xdr:rowOff>49823</xdr:rowOff>
    </xdr:to>
    <xdr:cxnSp macro="">
      <xdr:nvCxnSpPr>
        <xdr:cNvPr id="261" name="Conector rec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/>
      </xdr:nvCxnSpPr>
      <xdr:spPr>
        <a:xfrm flipH="1">
          <a:off x="4614499" y="25049223"/>
          <a:ext cx="3964" cy="75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687476</xdr:colOff>
      <xdr:row>141</xdr:row>
      <xdr:rowOff>69695</xdr:rowOff>
    </xdr:from>
    <xdr:to>
      <xdr:col>5</xdr:col>
      <xdr:colOff>690046</xdr:colOff>
      <xdr:row>145</xdr:row>
      <xdr:rowOff>48357</xdr:rowOff>
    </xdr:to>
    <xdr:cxnSp macro="">
      <xdr:nvCxnSpPr>
        <xdr:cNvPr id="262" name="Conector rec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 flipH="1">
          <a:off x="4834933" y="25030638"/>
          <a:ext cx="2570" cy="773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113109</xdr:colOff>
      <xdr:row>142</xdr:row>
      <xdr:rowOff>5953</xdr:rowOff>
    </xdr:from>
    <xdr:to>
      <xdr:col>0</xdr:col>
      <xdr:colOff>458390</xdr:colOff>
      <xdr:row>142</xdr:row>
      <xdr:rowOff>5953</xdr:rowOff>
    </xdr:to>
    <xdr:cxnSp macro="">
      <xdr:nvCxnSpPr>
        <xdr:cNvPr id="263" name="Conector rec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/>
      </xdr:nvCxnSpPr>
      <xdr:spPr>
        <a:xfrm flipH="1">
          <a:off x="113109" y="2806303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110731</xdr:colOff>
      <xdr:row>142</xdr:row>
      <xdr:rowOff>80964</xdr:rowOff>
    </xdr:from>
    <xdr:to>
      <xdr:col>0</xdr:col>
      <xdr:colOff>456012</xdr:colOff>
      <xdr:row>142</xdr:row>
      <xdr:rowOff>80964</xdr:rowOff>
    </xdr:to>
    <xdr:cxnSp macro="">
      <xdr:nvCxnSpPr>
        <xdr:cNvPr id="264" name="Conector rec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/>
      </xdr:nvCxnSpPr>
      <xdr:spPr>
        <a:xfrm flipH="1">
          <a:off x="110731" y="2881314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315516</xdr:colOff>
      <xdr:row>142</xdr:row>
      <xdr:rowOff>83343</xdr:rowOff>
    </xdr:from>
    <xdr:to>
      <xdr:col>0</xdr:col>
      <xdr:colOff>315516</xdr:colOff>
      <xdr:row>145</xdr:row>
      <xdr:rowOff>0</xdr:rowOff>
    </xdr:to>
    <xdr:cxnSp macro="">
      <xdr:nvCxnSpPr>
        <xdr:cNvPr id="265" name="Conector recto de flecha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/>
      </xdr:nvCxnSpPr>
      <xdr:spPr>
        <a:xfrm flipV="1">
          <a:off x="315516" y="2883693"/>
          <a:ext cx="0" cy="5167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564696</xdr:colOff>
      <xdr:row>132</xdr:row>
      <xdr:rowOff>64634</xdr:rowOff>
    </xdr:from>
    <xdr:to>
      <xdr:col>4</xdr:col>
      <xdr:colOff>506866</xdr:colOff>
      <xdr:row>143</xdr:row>
      <xdr:rowOff>153080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564696" y="23407688"/>
          <a:ext cx="3218090" cy="229620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510268</xdr:colOff>
      <xdr:row>132</xdr:row>
      <xdr:rowOff>60960</xdr:rowOff>
    </xdr:from>
    <xdr:to>
      <xdr:col>4</xdr:col>
      <xdr:colOff>800100</xdr:colOff>
      <xdr:row>132</xdr:row>
      <xdr:rowOff>64634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V="1">
          <a:off x="3786188" y="23404014"/>
          <a:ext cx="289832" cy="36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136071</xdr:colOff>
      <xdr:row>132</xdr:row>
      <xdr:rowOff>167268</xdr:rowOff>
    </xdr:from>
    <xdr:to>
      <xdr:col>5</xdr:col>
      <xdr:colOff>678365</xdr:colOff>
      <xdr:row>132</xdr:row>
      <xdr:rowOff>173492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/>
      </xdr:nvCxnSpPr>
      <xdr:spPr>
        <a:xfrm flipV="1">
          <a:off x="3416388" y="23296756"/>
          <a:ext cx="1420453" cy="622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627920</xdr:colOff>
      <xdr:row>132</xdr:row>
      <xdr:rowOff>173183</xdr:rowOff>
    </xdr:from>
    <xdr:to>
      <xdr:col>4</xdr:col>
      <xdr:colOff>138682</xdr:colOff>
      <xdr:row>133</xdr:row>
      <xdr:rowOff>168853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H="1">
          <a:off x="3152045" y="23516237"/>
          <a:ext cx="262557" cy="19637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271221</xdr:colOff>
      <xdr:row>132</xdr:row>
      <xdr:rowOff>27878</xdr:rowOff>
    </xdr:from>
    <xdr:to>
      <xdr:col>5</xdr:col>
      <xdr:colOff>678365</xdr:colOff>
      <xdr:row>132</xdr:row>
      <xdr:rowOff>29058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3551538" y="23157366"/>
          <a:ext cx="1285303" cy="11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</xdr:colOff>
      <xdr:row>132</xdr:row>
      <xdr:rowOff>30308</xdr:rowOff>
    </xdr:from>
    <xdr:to>
      <xdr:col>4</xdr:col>
      <xdr:colOff>272689</xdr:colOff>
      <xdr:row>135</xdr:row>
      <xdr:rowOff>102870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2617470" y="23400848"/>
          <a:ext cx="939439" cy="6783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510268</xdr:colOff>
      <xdr:row>138</xdr:row>
      <xdr:rowOff>159884</xdr:rowOff>
    </xdr:from>
    <xdr:to>
      <xdr:col>1</xdr:col>
      <xdr:colOff>864054</xdr:colOff>
      <xdr:row>142</xdr:row>
      <xdr:rowOff>197304</xdr:rowOff>
    </xdr:to>
    <xdr:cxnSp macro="">
      <xdr:nvCxnSpPr>
        <xdr:cNvPr id="141" name="Conector rec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 flipV="1">
          <a:off x="510268" y="24707170"/>
          <a:ext cx="1221241" cy="8402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510702</xdr:colOff>
      <xdr:row>142</xdr:row>
      <xdr:rowOff>200218</xdr:rowOff>
    </xdr:from>
    <xdr:to>
      <xdr:col>0</xdr:col>
      <xdr:colOff>510702</xdr:colOff>
      <xdr:row>144</xdr:row>
      <xdr:rowOff>173979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510702" y="25521679"/>
          <a:ext cx="0" cy="3647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563394</xdr:colOff>
      <xdr:row>143</xdr:row>
      <xdr:rowOff>155568</xdr:rowOff>
    </xdr:from>
    <xdr:to>
      <xdr:col>0</xdr:col>
      <xdr:colOff>564696</xdr:colOff>
      <xdr:row>144</xdr:row>
      <xdr:rowOff>187633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563394" y="25673275"/>
          <a:ext cx="1302" cy="22256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132</xdr:row>
      <xdr:rowOff>26670</xdr:rowOff>
    </xdr:from>
    <xdr:to>
      <xdr:col>5</xdr:col>
      <xdr:colOff>156209</xdr:colOff>
      <xdr:row>132</xdr:row>
      <xdr:rowOff>72389</xdr:rowOff>
    </xdr:to>
    <xdr:sp macro="" textlink="">
      <xdr:nvSpPr>
        <xdr:cNvPr id="157" name="Diagrama de flujo: conector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4271010" y="2320671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739140</xdr:colOff>
      <xdr:row>132</xdr:row>
      <xdr:rowOff>26670</xdr:rowOff>
    </xdr:from>
    <xdr:to>
      <xdr:col>4</xdr:col>
      <xdr:colOff>784859</xdr:colOff>
      <xdr:row>132</xdr:row>
      <xdr:rowOff>72389</xdr:rowOff>
    </xdr:to>
    <xdr:sp macro="" textlink="">
      <xdr:nvSpPr>
        <xdr:cNvPr id="158" name="Diagrama de flujo: conector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4023360" y="2320671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495300</xdr:colOff>
      <xdr:row>132</xdr:row>
      <xdr:rowOff>22860</xdr:rowOff>
    </xdr:from>
    <xdr:to>
      <xdr:col>4</xdr:col>
      <xdr:colOff>541019</xdr:colOff>
      <xdr:row>132</xdr:row>
      <xdr:rowOff>68579</xdr:rowOff>
    </xdr:to>
    <xdr:sp macro="" textlink="">
      <xdr:nvSpPr>
        <xdr:cNvPr id="161" name="Diagrama de flujo: conector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3779520" y="2320290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274320</xdr:colOff>
      <xdr:row>132</xdr:row>
      <xdr:rowOff>30480</xdr:rowOff>
    </xdr:from>
    <xdr:to>
      <xdr:col>4</xdr:col>
      <xdr:colOff>320039</xdr:colOff>
      <xdr:row>132</xdr:row>
      <xdr:rowOff>76199</xdr:rowOff>
    </xdr:to>
    <xdr:sp macro="" textlink="">
      <xdr:nvSpPr>
        <xdr:cNvPr id="163" name="Diagrama de flujo: conector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3558540" y="2340102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137160</xdr:colOff>
      <xdr:row>132</xdr:row>
      <xdr:rowOff>118110</xdr:rowOff>
    </xdr:from>
    <xdr:to>
      <xdr:col>4</xdr:col>
      <xdr:colOff>182879</xdr:colOff>
      <xdr:row>132</xdr:row>
      <xdr:rowOff>163829</xdr:rowOff>
    </xdr:to>
    <xdr:sp macro="" textlink="">
      <xdr:nvSpPr>
        <xdr:cNvPr id="164" name="Diagrama de flujo: conector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3421380" y="2348865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632460</xdr:colOff>
      <xdr:row>133</xdr:row>
      <xdr:rowOff>102870</xdr:rowOff>
    </xdr:from>
    <xdr:to>
      <xdr:col>3</xdr:col>
      <xdr:colOff>678179</xdr:colOff>
      <xdr:row>133</xdr:row>
      <xdr:rowOff>148589</xdr:rowOff>
    </xdr:to>
    <xdr:sp macro="" textlink="">
      <xdr:nvSpPr>
        <xdr:cNvPr id="167" name="Diagrama de flujo: conector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3162300" y="2367534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365760</xdr:colOff>
      <xdr:row>134</xdr:row>
      <xdr:rowOff>91440</xdr:rowOff>
    </xdr:from>
    <xdr:to>
      <xdr:col>3</xdr:col>
      <xdr:colOff>411479</xdr:colOff>
      <xdr:row>134</xdr:row>
      <xdr:rowOff>137159</xdr:rowOff>
    </xdr:to>
    <xdr:sp macro="" textlink="">
      <xdr:nvSpPr>
        <xdr:cNvPr id="179" name="Diagrama de flujo: conector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2895600" y="2386584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121920</xdr:colOff>
      <xdr:row>135</xdr:row>
      <xdr:rowOff>68580</xdr:rowOff>
    </xdr:from>
    <xdr:to>
      <xdr:col>3</xdr:col>
      <xdr:colOff>167639</xdr:colOff>
      <xdr:row>135</xdr:row>
      <xdr:rowOff>114299</xdr:rowOff>
    </xdr:to>
    <xdr:sp macro="" textlink="">
      <xdr:nvSpPr>
        <xdr:cNvPr id="181" name="Diagrama de flujo: conector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2651760" y="2404491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106680</xdr:colOff>
      <xdr:row>132</xdr:row>
      <xdr:rowOff>125730</xdr:rowOff>
    </xdr:from>
    <xdr:to>
      <xdr:col>5</xdr:col>
      <xdr:colOff>152399</xdr:colOff>
      <xdr:row>132</xdr:row>
      <xdr:rowOff>171449</xdr:rowOff>
    </xdr:to>
    <xdr:sp macro="" textlink="">
      <xdr:nvSpPr>
        <xdr:cNvPr id="182" name="Diagrama de flujo: conector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4267200" y="2330577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731520</xdr:colOff>
      <xdr:row>132</xdr:row>
      <xdr:rowOff>129540</xdr:rowOff>
    </xdr:from>
    <xdr:to>
      <xdr:col>4</xdr:col>
      <xdr:colOff>777239</xdr:colOff>
      <xdr:row>132</xdr:row>
      <xdr:rowOff>175259</xdr:rowOff>
    </xdr:to>
    <xdr:sp macro="" textlink="">
      <xdr:nvSpPr>
        <xdr:cNvPr id="183" name="Diagrama de flujo: conector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4015740" y="2330958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445770</xdr:colOff>
      <xdr:row>132</xdr:row>
      <xdr:rowOff>125730</xdr:rowOff>
    </xdr:from>
    <xdr:to>
      <xdr:col>4</xdr:col>
      <xdr:colOff>491489</xdr:colOff>
      <xdr:row>132</xdr:row>
      <xdr:rowOff>171449</xdr:rowOff>
    </xdr:to>
    <xdr:sp macro="" textlink="">
      <xdr:nvSpPr>
        <xdr:cNvPr id="185" name="Diagrama de flujo: conector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3729990" y="2349627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208325</xdr:colOff>
      <xdr:row>133</xdr:row>
      <xdr:rowOff>10206</xdr:rowOff>
    </xdr:from>
    <xdr:to>
      <xdr:col>4</xdr:col>
      <xdr:colOff>254044</xdr:colOff>
      <xdr:row>133</xdr:row>
      <xdr:rowOff>54700</xdr:rowOff>
    </xdr:to>
    <xdr:sp macro="" textlink="">
      <xdr:nvSpPr>
        <xdr:cNvPr id="186" name="Diagrama de flujo: conector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3484245" y="23553965"/>
          <a:ext cx="45719" cy="4449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699407</xdr:colOff>
      <xdr:row>133</xdr:row>
      <xdr:rowOff>196079</xdr:rowOff>
    </xdr:from>
    <xdr:to>
      <xdr:col>3</xdr:col>
      <xdr:colOff>745126</xdr:colOff>
      <xdr:row>134</xdr:row>
      <xdr:rowOff>39868</xdr:rowOff>
    </xdr:to>
    <xdr:sp macro="" textlink="">
      <xdr:nvSpPr>
        <xdr:cNvPr id="188" name="Diagrama de flujo: conector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3223532" y="23739838"/>
          <a:ext cx="45719" cy="4449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439919</xdr:colOff>
      <xdr:row>134</xdr:row>
      <xdr:rowOff>180838</xdr:rowOff>
    </xdr:from>
    <xdr:to>
      <xdr:col>3</xdr:col>
      <xdr:colOff>485638</xdr:colOff>
      <xdr:row>135</xdr:row>
      <xdr:rowOff>24627</xdr:rowOff>
    </xdr:to>
    <xdr:sp macro="" textlink="">
      <xdr:nvSpPr>
        <xdr:cNvPr id="190" name="Diagrama de flujo: conector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2964044" y="23925302"/>
          <a:ext cx="45719" cy="4449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195671</xdr:colOff>
      <xdr:row>135</xdr:row>
      <xdr:rowOff>154577</xdr:rowOff>
    </xdr:from>
    <xdr:to>
      <xdr:col>3</xdr:col>
      <xdr:colOff>241390</xdr:colOff>
      <xdr:row>135</xdr:row>
      <xdr:rowOff>200296</xdr:rowOff>
    </xdr:to>
    <xdr:sp macro="" textlink="">
      <xdr:nvSpPr>
        <xdr:cNvPr id="192" name="Diagrama de flujo: conector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2719796" y="24099747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688333</xdr:colOff>
      <xdr:row>136</xdr:row>
      <xdr:rowOff>139450</xdr:rowOff>
    </xdr:from>
    <xdr:to>
      <xdr:col>2</xdr:col>
      <xdr:colOff>734052</xdr:colOff>
      <xdr:row>136</xdr:row>
      <xdr:rowOff>185169</xdr:rowOff>
    </xdr:to>
    <xdr:sp macro="" textlink="">
      <xdr:nvSpPr>
        <xdr:cNvPr id="194" name="Diagrama de flujo: conector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2460663" y="2428532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424085</xdr:colOff>
      <xdr:row>137</xdr:row>
      <xdr:rowOff>128485</xdr:rowOff>
    </xdr:from>
    <xdr:to>
      <xdr:col>2</xdr:col>
      <xdr:colOff>469804</xdr:colOff>
      <xdr:row>137</xdr:row>
      <xdr:rowOff>172067</xdr:rowOff>
    </xdr:to>
    <xdr:sp macro="" textlink="">
      <xdr:nvSpPr>
        <xdr:cNvPr id="196" name="Diagrama de flujo: conector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2196415" y="24475065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186119</xdr:colOff>
      <xdr:row>138</xdr:row>
      <xdr:rowOff>99770</xdr:rowOff>
    </xdr:from>
    <xdr:to>
      <xdr:col>2</xdr:col>
      <xdr:colOff>231838</xdr:colOff>
      <xdr:row>138</xdr:row>
      <xdr:rowOff>143352</xdr:rowOff>
    </xdr:to>
    <xdr:sp macro="" textlink="">
      <xdr:nvSpPr>
        <xdr:cNvPr id="198" name="Diagrama de flujo: conector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1958449" y="24647056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843663</xdr:colOff>
      <xdr:row>139</xdr:row>
      <xdr:rowOff>70724</xdr:rowOff>
    </xdr:from>
    <xdr:to>
      <xdr:col>1</xdr:col>
      <xdr:colOff>889382</xdr:colOff>
      <xdr:row>139</xdr:row>
      <xdr:rowOff>114305</xdr:rowOff>
    </xdr:to>
    <xdr:sp macro="" textlink="">
      <xdr:nvSpPr>
        <xdr:cNvPr id="200" name="Diagrama de flujo: conector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1711118" y="24818715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606950</xdr:colOff>
      <xdr:row>140</xdr:row>
      <xdr:rowOff>44672</xdr:rowOff>
    </xdr:from>
    <xdr:to>
      <xdr:col>1</xdr:col>
      <xdr:colOff>652669</xdr:colOff>
      <xdr:row>140</xdr:row>
      <xdr:rowOff>88253</xdr:rowOff>
    </xdr:to>
    <xdr:sp macro="" textlink="">
      <xdr:nvSpPr>
        <xdr:cNvPr id="201" name="Diagrama de flujo: conector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1474405" y="2499336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395358</xdr:colOff>
      <xdr:row>140</xdr:row>
      <xdr:rowOff>193670</xdr:rowOff>
    </xdr:from>
    <xdr:to>
      <xdr:col>1</xdr:col>
      <xdr:colOff>441077</xdr:colOff>
      <xdr:row>141</xdr:row>
      <xdr:rowOff>36545</xdr:rowOff>
    </xdr:to>
    <xdr:sp macro="" textlink="">
      <xdr:nvSpPr>
        <xdr:cNvPr id="202" name="Diagrama de flujo: conector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1262813" y="2514236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176965</xdr:colOff>
      <xdr:row>141</xdr:row>
      <xdr:rowOff>152168</xdr:rowOff>
    </xdr:from>
    <xdr:to>
      <xdr:col>1</xdr:col>
      <xdr:colOff>222684</xdr:colOff>
      <xdr:row>141</xdr:row>
      <xdr:rowOff>195749</xdr:rowOff>
    </xdr:to>
    <xdr:sp macro="" textlink="">
      <xdr:nvSpPr>
        <xdr:cNvPr id="203" name="Diagrama de flujo: conector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1044420" y="2530157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846436</xdr:colOff>
      <xdr:row>142</xdr:row>
      <xdr:rowOff>90256</xdr:rowOff>
    </xdr:from>
    <xdr:to>
      <xdr:col>1</xdr:col>
      <xdr:colOff>24700</xdr:colOff>
      <xdr:row>142</xdr:row>
      <xdr:rowOff>133837</xdr:rowOff>
    </xdr:to>
    <xdr:sp macro="" textlink="">
      <xdr:nvSpPr>
        <xdr:cNvPr id="204" name="Diagrama de flujo: conector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846436" y="2544036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651853</xdr:colOff>
      <xdr:row>143</xdr:row>
      <xdr:rowOff>21539</xdr:rowOff>
    </xdr:from>
    <xdr:to>
      <xdr:col>0</xdr:col>
      <xdr:colOff>697572</xdr:colOff>
      <xdr:row>143</xdr:row>
      <xdr:rowOff>65120</xdr:rowOff>
    </xdr:to>
    <xdr:sp macro="" textlink="">
      <xdr:nvSpPr>
        <xdr:cNvPr id="205" name="Diagrama de flujo: conector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51853" y="2557235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521225</xdr:colOff>
      <xdr:row>144</xdr:row>
      <xdr:rowOff>115428</xdr:rowOff>
    </xdr:from>
    <xdr:to>
      <xdr:col>0</xdr:col>
      <xdr:colOff>566944</xdr:colOff>
      <xdr:row>144</xdr:row>
      <xdr:rowOff>159009</xdr:rowOff>
    </xdr:to>
    <xdr:sp macro="" textlink="">
      <xdr:nvSpPr>
        <xdr:cNvPr id="207" name="Diagrama de flujo: conector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521225" y="2586694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596744</xdr:colOff>
      <xdr:row>142</xdr:row>
      <xdr:rowOff>129716</xdr:rowOff>
    </xdr:from>
    <xdr:to>
      <xdr:col>0</xdr:col>
      <xdr:colOff>642463</xdr:colOff>
      <xdr:row>142</xdr:row>
      <xdr:rowOff>173297</xdr:rowOff>
    </xdr:to>
    <xdr:sp macro="" textlink="">
      <xdr:nvSpPr>
        <xdr:cNvPr id="208" name="Diagrama de flujo: conector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596744" y="2547982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793368</xdr:colOff>
      <xdr:row>141</xdr:row>
      <xdr:rowOff>190268</xdr:rowOff>
    </xdr:from>
    <xdr:to>
      <xdr:col>0</xdr:col>
      <xdr:colOff>839087</xdr:colOff>
      <xdr:row>142</xdr:row>
      <xdr:rowOff>33144</xdr:rowOff>
    </xdr:to>
    <xdr:sp macro="" textlink="">
      <xdr:nvSpPr>
        <xdr:cNvPr id="209" name="Diagrama de flujo: conector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793368" y="2533967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119135</xdr:colOff>
      <xdr:row>141</xdr:row>
      <xdr:rowOff>60319</xdr:rowOff>
    </xdr:from>
    <xdr:to>
      <xdr:col>1</xdr:col>
      <xdr:colOff>164854</xdr:colOff>
      <xdr:row>141</xdr:row>
      <xdr:rowOff>103900</xdr:rowOff>
    </xdr:to>
    <xdr:sp macro="" textlink="">
      <xdr:nvSpPr>
        <xdr:cNvPr id="210" name="Diagrama de flujo: conector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986590" y="2520972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332767</xdr:colOff>
      <xdr:row>140</xdr:row>
      <xdr:rowOff>114068</xdr:rowOff>
    </xdr:from>
    <xdr:to>
      <xdr:col>1</xdr:col>
      <xdr:colOff>378486</xdr:colOff>
      <xdr:row>140</xdr:row>
      <xdr:rowOff>157649</xdr:rowOff>
    </xdr:to>
    <xdr:sp macro="" textlink="">
      <xdr:nvSpPr>
        <xdr:cNvPr id="211" name="Diagrama de flujo: conector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1200222" y="2506276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549801</xdr:colOff>
      <xdr:row>139</xdr:row>
      <xdr:rowOff>167816</xdr:rowOff>
    </xdr:from>
    <xdr:to>
      <xdr:col>1</xdr:col>
      <xdr:colOff>595520</xdr:colOff>
      <xdr:row>140</xdr:row>
      <xdr:rowOff>10692</xdr:rowOff>
    </xdr:to>
    <xdr:sp macro="" textlink="">
      <xdr:nvSpPr>
        <xdr:cNvPr id="212" name="Diagrama de flujo: conector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1417256" y="24915807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780442</xdr:colOff>
      <xdr:row>139</xdr:row>
      <xdr:rowOff>7252</xdr:rowOff>
    </xdr:from>
    <xdr:to>
      <xdr:col>1</xdr:col>
      <xdr:colOff>826161</xdr:colOff>
      <xdr:row>139</xdr:row>
      <xdr:rowOff>50833</xdr:rowOff>
    </xdr:to>
    <xdr:sp macro="" textlink="">
      <xdr:nvSpPr>
        <xdr:cNvPr id="213" name="Diagrama de flujo: conector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1647897" y="2475524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0</xdr:col>
      <xdr:colOff>521225</xdr:colOff>
      <xdr:row>143</xdr:row>
      <xdr:rowOff>159647</xdr:rowOff>
    </xdr:from>
    <xdr:to>
      <xdr:col>0</xdr:col>
      <xdr:colOff>566944</xdr:colOff>
      <xdr:row>144</xdr:row>
      <xdr:rowOff>12728</xdr:rowOff>
    </xdr:to>
    <xdr:sp macro="" textlink="">
      <xdr:nvSpPr>
        <xdr:cNvPr id="269" name="Diagrama de flujo: conector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521225" y="2571046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384073</xdr:colOff>
      <xdr:row>138</xdr:row>
      <xdr:rowOff>21508</xdr:rowOff>
    </xdr:from>
    <xdr:to>
      <xdr:col>2</xdr:col>
      <xdr:colOff>734786</xdr:colOff>
      <xdr:row>140</xdr:row>
      <xdr:rowOff>1</xdr:rowOff>
    </xdr:to>
    <xdr:cxnSp macro="">
      <xdr:nvCxnSpPr>
        <xdr:cNvPr id="62" name="Conector: curvad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rot="16200000" flipV="1">
          <a:off x="2143345" y="24554309"/>
          <a:ext cx="377928" cy="350713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294967</xdr:colOff>
      <xdr:row>132</xdr:row>
      <xdr:rowOff>168732</xdr:rowOff>
    </xdr:from>
    <xdr:to>
      <xdr:col>4</xdr:col>
      <xdr:colOff>576944</xdr:colOff>
      <xdr:row>136</xdr:row>
      <xdr:rowOff>3074</xdr:rowOff>
    </xdr:to>
    <xdr:cxnSp macro="">
      <xdr:nvCxnSpPr>
        <xdr:cNvPr id="270" name="Conector: curvad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/>
      </xdr:nvCxnSpPr>
      <xdr:spPr>
        <a:xfrm rot="5400000" flipH="1" flipV="1">
          <a:off x="3397793" y="23665237"/>
          <a:ext cx="633213" cy="2819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13610</xdr:colOff>
      <xdr:row>133</xdr:row>
      <xdr:rowOff>6805</xdr:rowOff>
    </xdr:from>
    <xdr:to>
      <xdr:col>3</xdr:col>
      <xdr:colOff>309563</xdr:colOff>
      <xdr:row>134</xdr:row>
      <xdr:rowOff>132669</xdr:rowOff>
    </xdr:to>
    <xdr:cxnSp macro="">
      <xdr:nvCxnSpPr>
        <xdr:cNvPr id="87" name="Conector: curvad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rot="16200000" flipH="1">
          <a:off x="2522427" y="23565872"/>
          <a:ext cx="326569" cy="29595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387458</xdr:colOff>
      <xdr:row>137</xdr:row>
      <xdr:rowOff>16142</xdr:rowOff>
    </xdr:from>
    <xdr:to>
      <xdr:col>1</xdr:col>
      <xdr:colOff>641685</xdr:colOff>
      <xdr:row>139</xdr:row>
      <xdr:rowOff>115301</xdr:rowOff>
    </xdr:to>
    <xdr:cxnSp macro="">
      <xdr:nvCxnSpPr>
        <xdr:cNvPr id="271" name="Conector: curvad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/>
      </xdr:nvCxnSpPr>
      <xdr:spPr>
        <a:xfrm rot="16200000" flipH="1">
          <a:off x="1141768" y="24277490"/>
          <a:ext cx="480159" cy="25422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581095</xdr:colOff>
      <xdr:row>135</xdr:row>
      <xdr:rowOff>75860</xdr:rowOff>
    </xdr:from>
    <xdr:to>
      <xdr:col>5</xdr:col>
      <xdr:colOff>849541</xdr:colOff>
      <xdr:row>137</xdr:row>
      <xdr:rowOff>56687</xdr:rowOff>
    </xdr:to>
    <xdr:cxnSp macro="">
      <xdr:nvCxnSpPr>
        <xdr:cNvPr id="274" name="Conector: curvad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>
        <a:xfrm rot="16200000" flipV="1">
          <a:off x="4688769" y="23810493"/>
          <a:ext cx="376481" cy="26844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234695</xdr:colOff>
      <xdr:row>135</xdr:row>
      <xdr:rowOff>193601</xdr:rowOff>
    </xdr:from>
    <xdr:to>
      <xdr:col>3</xdr:col>
      <xdr:colOff>712839</xdr:colOff>
      <xdr:row>139</xdr:row>
      <xdr:rowOff>113686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endCxn id="192" idx="5"/>
        </xdr:cNvCxnSpPr>
      </xdr:nvCxnSpPr>
      <xdr:spPr>
        <a:xfrm flipH="1" flipV="1">
          <a:off x="2760356" y="24113641"/>
          <a:ext cx="478144" cy="7189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722007</xdr:colOff>
      <xdr:row>136</xdr:row>
      <xdr:rowOff>170864</xdr:rowOff>
    </xdr:from>
    <xdr:to>
      <xdr:col>3</xdr:col>
      <xdr:colOff>704850</xdr:colOff>
      <xdr:row>139</xdr:row>
      <xdr:rowOff>110490</xdr:rowOff>
    </xdr:to>
    <xdr:cxnSp macro="">
      <xdr:nvCxnSpPr>
        <xdr:cNvPr id="279" name="Conector recto de flecha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CxnSpPr/>
      </xdr:nvCxnSpPr>
      <xdr:spPr>
        <a:xfrm flipH="1" flipV="1">
          <a:off x="2497467" y="24619634"/>
          <a:ext cx="737223" cy="5225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681038</xdr:colOff>
      <xdr:row>139</xdr:row>
      <xdr:rowOff>28575</xdr:rowOff>
    </xdr:from>
    <xdr:to>
      <xdr:col>1</xdr:col>
      <xdr:colOff>339462</xdr:colOff>
      <xdr:row>140</xdr:row>
      <xdr:rowOff>120450</xdr:rowOff>
    </xdr:to>
    <xdr:cxnSp macro="">
      <xdr:nvCxnSpPr>
        <xdr:cNvPr id="1096" name="Conector recto de flecha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CxnSpPr>
          <a:endCxn id="211" idx="1"/>
        </xdr:cNvCxnSpPr>
      </xdr:nvCxnSpPr>
      <xdr:spPr>
        <a:xfrm>
          <a:off x="681038" y="24736425"/>
          <a:ext cx="525199" cy="29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678051</xdr:colOff>
      <xdr:row>139</xdr:row>
      <xdr:rowOff>29059</xdr:rowOff>
    </xdr:from>
    <xdr:to>
      <xdr:col>1</xdr:col>
      <xdr:colOff>125830</xdr:colOff>
      <xdr:row>141</xdr:row>
      <xdr:rowOff>66701</xdr:rowOff>
    </xdr:to>
    <xdr:cxnSp macro="">
      <xdr:nvCxnSpPr>
        <xdr:cNvPr id="1099" name="Conector recto de flecha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CxnSpPr>
          <a:endCxn id="210" idx="1"/>
        </xdr:cNvCxnSpPr>
      </xdr:nvCxnSpPr>
      <xdr:spPr>
        <a:xfrm>
          <a:off x="678051" y="24742398"/>
          <a:ext cx="313101" cy="4380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595312</xdr:colOff>
      <xdr:row>130</xdr:row>
      <xdr:rowOff>190499</xdr:rowOff>
    </xdr:from>
    <xdr:to>
      <xdr:col>4</xdr:col>
      <xdr:colOff>143855</xdr:colOff>
      <xdr:row>132</xdr:row>
      <xdr:rowOff>124805</xdr:rowOff>
    </xdr:to>
    <xdr:cxnSp macro="">
      <xdr:nvCxnSpPr>
        <xdr:cNvPr id="1107" name="Conector recto de flecha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CxnSpPr>
          <a:endCxn id="164" idx="1"/>
        </xdr:cNvCxnSpPr>
      </xdr:nvCxnSpPr>
      <xdr:spPr>
        <a:xfrm>
          <a:off x="3119437" y="23169562"/>
          <a:ext cx="298637" cy="339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595313</xdr:colOff>
      <xdr:row>130</xdr:row>
      <xdr:rowOff>193902</xdr:rowOff>
    </xdr:from>
    <xdr:to>
      <xdr:col>3</xdr:col>
      <xdr:colOff>655320</xdr:colOff>
      <xdr:row>133</xdr:row>
      <xdr:rowOff>102870</xdr:rowOff>
    </xdr:to>
    <xdr:cxnSp macro="">
      <xdr:nvCxnSpPr>
        <xdr:cNvPr id="1109" name="Conector recto de flecha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CxnSpPr>
          <a:endCxn id="167" idx="0"/>
        </xdr:cNvCxnSpPr>
      </xdr:nvCxnSpPr>
      <xdr:spPr>
        <a:xfrm>
          <a:off x="3119438" y="23135545"/>
          <a:ext cx="60007" cy="5110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629810</xdr:colOff>
      <xdr:row>140</xdr:row>
      <xdr:rowOff>88253</xdr:rowOff>
    </xdr:from>
    <xdr:to>
      <xdr:col>2</xdr:col>
      <xdr:colOff>5013</xdr:colOff>
      <xdr:row>142</xdr:row>
      <xdr:rowOff>95250</xdr:rowOff>
    </xdr:to>
    <xdr:cxnSp macro="">
      <xdr:nvCxnSpPr>
        <xdr:cNvPr id="1119" name="Conector recto de flecha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CxnSpPr>
          <a:endCxn id="201" idx="4"/>
        </xdr:cNvCxnSpPr>
      </xdr:nvCxnSpPr>
      <xdr:spPr>
        <a:xfrm flipH="1" flipV="1">
          <a:off x="1497086" y="25008661"/>
          <a:ext cx="282585" cy="408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434382</xdr:colOff>
      <xdr:row>141</xdr:row>
      <xdr:rowOff>30189</xdr:rowOff>
    </xdr:from>
    <xdr:to>
      <xdr:col>2</xdr:col>
      <xdr:colOff>5013</xdr:colOff>
      <xdr:row>142</xdr:row>
      <xdr:rowOff>95250</xdr:rowOff>
    </xdr:to>
    <xdr:cxnSp macro="">
      <xdr:nvCxnSpPr>
        <xdr:cNvPr id="1121" name="Conector recto de flecha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CxnSpPr>
          <a:endCxn id="202" idx="5"/>
        </xdr:cNvCxnSpPr>
      </xdr:nvCxnSpPr>
      <xdr:spPr>
        <a:xfrm flipH="1" flipV="1">
          <a:off x="1301658" y="25151123"/>
          <a:ext cx="478013" cy="2655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443071</xdr:colOff>
      <xdr:row>131</xdr:row>
      <xdr:rowOff>60997</xdr:rowOff>
    </xdr:from>
    <xdr:to>
      <xdr:col>5</xdr:col>
      <xdr:colOff>692186</xdr:colOff>
      <xdr:row>131</xdr:row>
      <xdr:rowOff>183462</xdr:rowOff>
    </xdr:to>
    <xdr:sp macro="" textlink="">
      <xdr:nvSpPr>
        <xdr:cNvPr id="328" name="Rectángulo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4601547" y="22990692"/>
          <a:ext cx="249115" cy="122465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335017</xdr:colOff>
      <xdr:row>133</xdr:row>
      <xdr:rowOff>5953</xdr:rowOff>
    </xdr:from>
    <xdr:to>
      <xdr:col>5</xdr:col>
      <xdr:colOff>708422</xdr:colOff>
      <xdr:row>133</xdr:row>
      <xdr:rowOff>6569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/>
      </xdr:nvCxnSpPr>
      <xdr:spPr>
        <a:xfrm flipV="1">
          <a:off x="3617479" y="995088"/>
          <a:ext cx="1252635" cy="6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708026</xdr:colOff>
      <xdr:row>131</xdr:row>
      <xdr:rowOff>196467</xdr:rowOff>
    </xdr:from>
    <xdr:to>
      <xdr:col>5</xdr:col>
      <xdr:colOff>708026</xdr:colOff>
      <xdr:row>133</xdr:row>
      <xdr:rowOff>9845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/>
      </xdr:nvCxnSpPr>
      <xdr:spPr>
        <a:xfrm flipV="1">
          <a:off x="4868546" y="23174577"/>
          <a:ext cx="0" cy="2172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439703</xdr:colOff>
      <xdr:row>130</xdr:row>
      <xdr:rowOff>119064</xdr:rowOff>
    </xdr:from>
    <xdr:to>
      <xdr:col>5</xdr:col>
      <xdr:colOff>688818</xdr:colOff>
      <xdr:row>131</xdr:row>
      <xdr:rowOff>39123</xdr:rowOff>
    </xdr:to>
    <xdr:sp macro="" textlink="">
      <xdr:nvSpPr>
        <xdr:cNvPr id="332" name="Rectángul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4598179" y="22848966"/>
          <a:ext cx="249115" cy="11985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446374</xdr:colOff>
      <xdr:row>133</xdr:row>
      <xdr:rowOff>173646</xdr:rowOff>
    </xdr:from>
    <xdr:to>
      <xdr:col>5</xdr:col>
      <xdr:colOff>695489</xdr:colOff>
      <xdr:row>134</xdr:row>
      <xdr:rowOff>93704</xdr:rowOff>
    </xdr:to>
    <xdr:sp macro="" textlink="">
      <xdr:nvSpPr>
        <xdr:cNvPr id="333" name="Rectángulo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4608066" y="1162781"/>
          <a:ext cx="249115" cy="117885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449209</xdr:colOff>
      <xdr:row>134</xdr:row>
      <xdr:rowOff>119166</xdr:rowOff>
    </xdr:from>
    <xdr:to>
      <xdr:col>5</xdr:col>
      <xdr:colOff>698324</xdr:colOff>
      <xdr:row>135</xdr:row>
      <xdr:rowOff>39225</xdr:rowOff>
    </xdr:to>
    <xdr:sp macro="" textlink="">
      <xdr:nvSpPr>
        <xdr:cNvPr id="334" name="Rectángulo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4610901" y="1306128"/>
          <a:ext cx="249115" cy="117885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444583</xdr:colOff>
      <xdr:row>133</xdr:row>
      <xdr:rowOff>28369</xdr:rowOff>
    </xdr:from>
    <xdr:to>
      <xdr:col>5</xdr:col>
      <xdr:colOff>693698</xdr:colOff>
      <xdr:row>133</xdr:row>
      <xdr:rowOff>148452</xdr:rowOff>
    </xdr:to>
    <xdr:sp macro="" textlink="">
      <xdr:nvSpPr>
        <xdr:cNvPr id="335" name="Rectángulo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4606275" y="1017504"/>
          <a:ext cx="249115" cy="120083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818019</xdr:colOff>
      <xdr:row>131</xdr:row>
      <xdr:rowOff>190501</xdr:rowOff>
    </xdr:from>
    <xdr:to>
      <xdr:col>5</xdr:col>
      <xdr:colOff>822239</xdr:colOff>
      <xdr:row>133</xdr:row>
      <xdr:rowOff>21566</xdr:rowOff>
    </xdr:to>
    <xdr:cxnSp macro="">
      <xdr:nvCxnSpPr>
        <xdr:cNvPr id="337" name="Conector recto de flecha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/>
      </xdr:nvCxnSpPr>
      <xdr:spPr>
        <a:xfrm flipH="1" flipV="1">
          <a:off x="4979711" y="783982"/>
          <a:ext cx="4220" cy="22671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390664</xdr:colOff>
      <xdr:row>132</xdr:row>
      <xdr:rowOff>121270</xdr:rowOff>
    </xdr:from>
    <xdr:to>
      <xdr:col>5</xdr:col>
      <xdr:colOff>436383</xdr:colOff>
      <xdr:row>132</xdr:row>
      <xdr:rowOff>169126</xdr:rowOff>
    </xdr:to>
    <xdr:sp macro="" textlink="">
      <xdr:nvSpPr>
        <xdr:cNvPr id="345" name="Diagrama de flujo: conector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4551184" y="23301310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386854</xdr:colOff>
      <xdr:row>132</xdr:row>
      <xdr:rowOff>26020</xdr:rowOff>
    </xdr:from>
    <xdr:to>
      <xdr:col>5</xdr:col>
      <xdr:colOff>432573</xdr:colOff>
      <xdr:row>132</xdr:row>
      <xdr:rowOff>73876</xdr:rowOff>
    </xdr:to>
    <xdr:sp macro="" textlink="">
      <xdr:nvSpPr>
        <xdr:cNvPr id="346" name="Diagrama de flujo: conector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4547374" y="23206060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207959</xdr:colOff>
      <xdr:row>101</xdr:row>
      <xdr:rowOff>149225</xdr:rowOff>
    </xdr:from>
    <xdr:to>
      <xdr:col>3</xdr:col>
      <xdr:colOff>420686</xdr:colOff>
      <xdr:row>103</xdr:row>
      <xdr:rowOff>67203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 txBox="1"/>
          </xdr:nvSpPr>
          <xdr:spPr>
            <a:xfrm>
              <a:off x="1978022" y="18278475"/>
              <a:ext cx="96678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1=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3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t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49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FEEDD215-AC8E-4751-89AC-B14E1053DE2F}"/>
                </a:ext>
              </a:extLst>
            </xdr:cNvPr>
            <xdr:cNvSpPr txBox="1"/>
          </xdr:nvSpPr>
          <xdr:spPr>
            <a:xfrm>
              <a:off x="1978022" y="18278475"/>
              <a:ext cx="96678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Smax1=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t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471486</xdr:colOff>
      <xdr:row>101</xdr:row>
      <xdr:rowOff>150812</xdr:rowOff>
    </xdr:from>
    <xdr:to>
      <xdr:col>5</xdr:col>
      <xdr:colOff>7937</xdr:colOff>
      <xdr:row>103</xdr:row>
      <xdr:rowOff>68790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E010000}"/>
                </a:ext>
              </a:extLst>
            </xdr:cNvPr>
            <xdr:cNvSpPr txBox="1"/>
          </xdr:nvSpPr>
          <xdr:spPr>
            <a:xfrm>
              <a:off x="2995611" y="18280062"/>
              <a:ext cx="116363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4</m:t>
                  </m:r>
                  <m: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5 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cm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5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247230C7-B8F9-41AA-AA64-95CFBFB42E3E}"/>
                </a:ext>
              </a:extLst>
            </xdr:cNvPr>
            <xdr:cNvSpPr txBox="1"/>
          </xdr:nvSpPr>
          <xdr:spPr>
            <a:xfrm>
              <a:off x="2995611" y="18280062"/>
              <a:ext cx="116363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 cm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443346</xdr:colOff>
      <xdr:row>3</xdr:row>
      <xdr:rowOff>76201</xdr:rowOff>
    </xdr:from>
    <xdr:to>
      <xdr:col>10</xdr:col>
      <xdr:colOff>526473</xdr:colOff>
      <xdr:row>13</xdr:row>
      <xdr:rowOff>99798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7732A-4253-43F3-A3CB-721964EAB2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644" r="9847" b="35714"/>
        <a:stretch/>
      </xdr:blipFill>
      <xdr:spPr>
        <a:xfrm>
          <a:off x="5631873" y="838201"/>
          <a:ext cx="2556164" cy="2032506"/>
        </a:xfrm>
        <a:prstGeom prst="rect">
          <a:avLst/>
        </a:prstGeom>
      </xdr:spPr>
    </xdr:pic>
    <xdr:clientData/>
  </xdr:twoCellAnchor>
  <xdr:twoCellAnchor editAs="oneCell">
    <xdr:from>
      <xdr:col>2</xdr:col>
      <xdr:colOff>131619</xdr:colOff>
      <xdr:row>150</xdr:row>
      <xdr:rowOff>55417</xdr:rowOff>
    </xdr:from>
    <xdr:to>
      <xdr:col>8</xdr:col>
      <xdr:colOff>342550</xdr:colOff>
      <xdr:row>177</xdr:row>
      <xdr:rowOff>127762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F4C92-73D4-4ABA-BC51-A364720AA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3492" y="27515126"/>
          <a:ext cx="4956113" cy="4935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8"/>
  <sheetViews>
    <sheetView tabSelected="1" topLeftCell="A145" zoomScale="110" zoomScaleNormal="110" workbookViewId="0">
      <selection activeCell="N6" sqref="N6"/>
    </sheetView>
  </sheetViews>
  <sheetFormatPr defaultColWidth="9.109375" defaultRowHeight="14.4" x14ac:dyDescent="0.3"/>
  <cols>
    <col min="1" max="1" width="13" style="4" customWidth="1"/>
    <col min="2" max="2" width="13.5546875" style="4" customWidth="1"/>
    <col min="3" max="4" width="11.33203125" style="4" customWidth="1"/>
    <col min="5" max="5" width="13.109375" style="4" customWidth="1"/>
    <col min="6" max="6" width="13.33203125" style="4" customWidth="1"/>
    <col min="7" max="7" width="10.5546875" style="4" customWidth="1"/>
    <col min="8" max="8" width="9.44140625" style="4" customWidth="1"/>
    <col min="9" max="9" width="6.88671875" style="4" customWidth="1"/>
    <col min="10" max="11" width="9.109375" style="4"/>
    <col min="12" max="12" width="1.44140625" style="70" customWidth="1"/>
    <col min="13" max="13" width="9.109375" style="4"/>
    <col min="14" max="14" width="9.33203125" style="4" customWidth="1"/>
    <col min="15" max="15" width="11.6640625" style="4" customWidth="1"/>
    <col min="16" max="16" width="11.88671875" style="4" customWidth="1"/>
    <col min="17" max="17" width="11" style="4" customWidth="1"/>
    <col min="18" max="18" width="9.109375" style="4"/>
    <col min="19" max="19" width="12" style="4" customWidth="1"/>
    <col min="20" max="20" width="11.6640625" style="4" customWidth="1"/>
    <col min="21" max="16384" width="9.109375" style="4"/>
  </cols>
  <sheetData>
    <row r="1" spans="1:11" ht="15.6" x14ac:dyDescent="0.3">
      <c r="D1" s="5"/>
    </row>
    <row r="2" spans="1:11" ht="28.2" x14ac:dyDescent="0.3">
      <c r="A2" s="85" t="s">
        <v>116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15.6" x14ac:dyDescent="0.3">
      <c r="D3" s="5"/>
    </row>
    <row r="4" spans="1:11" ht="15.6" x14ac:dyDescent="0.3">
      <c r="D4" s="5"/>
    </row>
    <row r="5" spans="1:11" ht="15.6" x14ac:dyDescent="0.3">
      <c r="D5" s="5"/>
    </row>
    <row r="6" spans="1:11" ht="15.6" x14ac:dyDescent="0.3">
      <c r="A6" s="5" t="s">
        <v>0</v>
      </c>
      <c r="D6" s="6"/>
    </row>
    <row r="7" spans="1:11" ht="15.6" x14ac:dyDescent="0.3">
      <c r="A7" s="5"/>
      <c r="D7" s="6"/>
    </row>
    <row r="8" spans="1:11" ht="15.6" x14ac:dyDescent="0.3">
      <c r="A8" s="5"/>
      <c r="D8" s="6"/>
    </row>
    <row r="9" spans="1:11" ht="15.6" x14ac:dyDescent="0.3">
      <c r="A9" s="5"/>
      <c r="D9" s="6"/>
      <c r="G9" s="68" t="s">
        <v>90</v>
      </c>
    </row>
    <row r="10" spans="1:11" ht="15.6" x14ac:dyDescent="0.3">
      <c r="A10" s="5"/>
      <c r="D10" s="6"/>
    </row>
    <row r="11" spans="1:11" ht="15.6" x14ac:dyDescent="0.3">
      <c r="A11" s="5"/>
      <c r="D11" s="6"/>
    </row>
    <row r="12" spans="1:11" ht="15.6" x14ac:dyDescent="0.3">
      <c r="A12" s="5"/>
      <c r="B12" s="1" t="s">
        <v>90</v>
      </c>
      <c r="D12" s="6"/>
    </row>
    <row r="13" spans="1:11" ht="15.6" x14ac:dyDescent="0.3">
      <c r="A13" s="5"/>
      <c r="C13" s="10"/>
      <c r="D13" s="6"/>
      <c r="F13" s="4" t="s">
        <v>77</v>
      </c>
    </row>
    <row r="14" spans="1:11" ht="15.6" x14ac:dyDescent="0.3">
      <c r="A14" s="5"/>
      <c r="D14" s="6"/>
      <c r="F14" s="4" t="s">
        <v>78</v>
      </c>
    </row>
    <row r="15" spans="1:11" ht="15.6" x14ac:dyDescent="0.3">
      <c r="A15" s="5"/>
      <c r="D15" s="6"/>
    </row>
    <row r="16" spans="1:11" ht="15.6" x14ac:dyDescent="0.3">
      <c r="A16" s="5"/>
      <c r="D16" s="6"/>
    </row>
    <row r="17" spans="1:8" ht="15.6" x14ac:dyDescent="0.3">
      <c r="A17" s="5"/>
      <c r="D17" s="6"/>
    </row>
    <row r="18" spans="1:8" ht="15.6" x14ac:dyDescent="0.3">
      <c r="A18" s="5"/>
      <c r="D18" s="6"/>
    </row>
    <row r="19" spans="1:8" ht="15.6" x14ac:dyDescent="0.3">
      <c r="A19" s="5"/>
      <c r="D19" s="6"/>
    </row>
    <row r="20" spans="1:8" ht="15.6" x14ac:dyDescent="0.3">
      <c r="A20" s="5"/>
      <c r="D20" s="6"/>
    </row>
    <row r="21" spans="1:8" ht="15.6" x14ac:dyDescent="0.3">
      <c r="A21" s="5"/>
      <c r="D21" s="6"/>
    </row>
    <row r="22" spans="1:8" ht="15.6" x14ac:dyDescent="0.3">
      <c r="A22" s="5"/>
      <c r="D22" s="6"/>
    </row>
    <row r="23" spans="1:8" ht="15.6" x14ac:dyDescent="0.3">
      <c r="A23" s="5"/>
      <c r="D23" s="6"/>
    </row>
    <row r="24" spans="1:8" ht="15.6" x14ac:dyDescent="0.3">
      <c r="A24" s="5"/>
      <c r="D24" s="6"/>
    </row>
    <row r="27" spans="1:8" x14ac:dyDescent="0.3">
      <c r="G27" s="68">
        <f>+B44</f>
        <v>1.6</v>
      </c>
      <c r="H27" s="4" t="s">
        <v>1</v>
      </c>
    </row>
    <row r="31" spans="1:8" x14ac:dyDescent="0.3">
      <c r="C31" s="3">
        <f>+B39/2+B40</f>
        <v>2.3000000000000003</v>
      </c>
      <c r="D31" s="4" t="s">
        <v>1</v>
      </c>
      <c r="E31" s="35">
        <f>+B41+B42/2</f>
        <v>1.7250000000000001</v>
      </c>
      <c r="F31" s="4" t="s">
        <v>1</v>
      </c>
    </row>
    <row r="33" spans="1:17" x14ac:dyDescent="0.3">
      <c r="A33" s="36" t="s">
        <v>57</v>
      </c>
      <c r="E33" s="38" t="s">
        <v>66</v>
      </c>
      <c r="G33" s="37"/>
    </row>
    <row r="34" spans="1:17" x14ac:dyDescent="0.3">
      <c r="A34" s="1" t="s">
        <v>95</v>
      </c>
      <c r="B34" s="33">
        <v>280</v>
      </c>
      <c r="C34" s="4" t="s">
        <v>4</v>
      </c>
      <c r="F34" s="1"/>
    </row>
    <row r="35" spans="1:17" x14ac:dyDescent="0.3">
      <c r="A35" s="1" t="s">
        <v>6</v>
      </c>
      <c r="B35" s="33">
        <v>4200</v>
      </c>
      <c r="C35" s="4" t="s">
        <v>4</v>
      </c>
      <c r="E35" s="1" t="s">
        <v>5</v>
      </c>
      <c r="F35" s="30">
        <f>+(B40+B41)/25</f>
        <v>0.14800000000000002</v>
      </c>
      <c r="G35" s="30">
        <f>+(B40+B41)/20</f>
        <v>0.185</v>
      </c>
      <c r="H35" s="4" t="s">
        <v>1</v>
      </c>
    </row>
    <row r="36" spans="1:17" x14ac:dyDescent="0.3">
      <c r="A36" s="1" t="s">
        <v>8</v>
      </c>
      <c r="B36" s="33">
        <v>600</v>
      </c>
      <c r="C36" s="4" t="s">
        <v>9</v>
      </c>
      <c r="E36" s="34" t="s">
        <v>7</v>
      </c>
      <c r="F36" s="31">
        <f>ROUND((F35+G35)/2,2)</f>
        <v>0.17</v>
      </c>
      <c r="G36" s="4" t="s">
        <v>1</v>
      </c>
    </row>
    <row r="37" spans="1:17" x14ac:dyDescent="0.3">
      <c r="A37" s="1" t="s">
        <v>2</v>
      </c>
      <c r="B37" s="33">
        <v>30</v>
      </c>
      <c r="C37" s="4" t="s">
        <v>10</v>
      </c>
      <c r="E37" s="34" t="s">
        <v>56</v>
      </c>
      <c r="F37" s="32">
        <v>17</v>
      </c>
      <c r="G37" s="4" t="s">
        <v>10</v>
      </c>
      <c r="H37" s="24"/>
    </row>
    <row r="38" spans="1:17" x14ac:dyDescent="0.3">
      <c r="A38" s="1" t="s">
        <v>3</v>
      </c>
      <c r="B38" s="33">
        <v>18</v>
      </c>
      <c r="C38" s="4" t="s">
        <v>10</v>
      </c>
      <c r="E38" s="1" t="s">
        <v>64</v>
      </c>
      <c r="F38" s="37">
        <f>+F37</f>
        <v>17</v>
      </c>
      <c r="G38" s="4" t="s">
        <v>10</v>
      </c>
    </row>
    <row r="39" spans="1:17" x14ac:dyDescent="0.3">
      <c r="A39" s="34" t="s">
        <v>58</v>
      </c>
      <c r="B39" s="33">
        <v>0.4</v>
      </c>
      <c r="C39" s="4" t="s">
        <v>1</v>
      </c>
    </row>
    <row r="40" spans="1:17" x14ac:dyDescent="0.3">
      <c r="A40" s="34" t="s">
        <v>59</v>
      </c>
      <c r="B40" s="33">
        <v>2.1</v>
      </c>
      <c r="C40" s="4" t="s">
        <v>1</v>
      </c>
    </row>
    <row r="41" spans="1:17" x14ac:dyDescent="0.3">
      <c r="A41" s="34" t="s">
        <v>60</v>
      </c>
      <c r="B41" s="33">
        <v>1.6</v>
      </c>
      <c r="C41" s="4" t="s">
        <v>1</v>
      </c>
    </row>
    <row r="42" spans="1:17" x14ac:dyDescent="0.3">
      <c r="A42" s="34" t="s">
        <v>61</v>
      </c>
      <c r="B42" s="33">
        <v>0.25</v>
      </c>
      <c r="C42" s="4" t="s">
        <v>1</v>
      </c>
    </row>
    <row r="43" spans="1:17" x14ac:dyDescent="0.3">
      <c r="A43" s="34" t="s">
        <v>62</v>
      </c>
      <c r="B43" s="33">
        <v>0.7</v>
      </c>
      <c r="C43" s="4" t="s">
        <v>1</v>
      </c>
    </row>
    <row r="44" spans="1:17" x14ac:dyDescent="0.3">
      <c r="A44" s="34" t="s">
        <v>63</v>
      </c>
      <c r="B44" s="33">
        <v>1.6</v>
      </c>
      <c r="C44" s="4" t="s">
        <v>1</v>
      </c>
    </row>
    <row r="45" spans="1:17" x14ac:dyDescent="0.3">
      <c r="A45" s="1" t="s">
        <v>85</v>
      </c>
      <c r="B45" s="33">
        <v>2</v>
      </c>
      <c r="C45" s="4" t="s">
        <v>10</v>
      </c>
      <c r="N45" s="81" t="s">
        <v>41</v>
      </c>
      <c r="O45" s="81"/>
      <c r="P45" s="81"/>
      <c r="Q45" s="81"/>
    </row>
    <row r="46" spans="1:17" x14ac:dyDescent="0.3">
      <c r="A46" s="1"/>
      <c r="B46" s="37"/>
      <c r="N46" s="82" t="s">
        <v>100</v>
      </c>
      <c r="O46" s="83"/>
      <c r="P46" s="83"/>
      <c r="Q46" s="84"/>
    </row>
    <row r="47" spans="1:17" ht="15.6" x14ac:dyDescent="0.3">
      <c r="A47" s="5" t="s">
        <v>94</v>
      </c>
      <c r="N47" s="25"/>
      <c r="O47" s="25" t="s">
        <v>96</v>
      </c>
      <c r="P47" s="76" t="s">
        <v>101</v>
      </c>
      <c r="Q47" s="77"/>
    </row>
    <row r="48" spans="1:17" x14ac:dyDescent="0.3">
      <c r="A48" s="6" t="s">
        <v>11</v>
      </c>
      <c r="N48" s="25">
        <v>1</v>
      </c>
      <c r="O48" s="27">
        <v>0.8</v>
      </c>
      <c r="P48" s="76" t="s">
        <v>102</v>
      </c>
      <c r="Q48" s="77"/>
    </row>
    <row r="49" spans="1:17" x14ac:dyDescent="0.3">
      <c r="A49" s="6"/>
      <c r="N49" s="25">
        <v>2</v>
      </c>
      <c r="O49" s="27">
        <v>0.9</v>
      </c>
      <c r="P49" s="76" t="s">
        <v>103</v>
      </c>
      <c r="Q49" s="77"/>
    </row>
    <row r="50" spans="1:17" x14ac:dyDescent="0.3">
      <c r="A50" s="6"/>
      <c r="N50" s="25">
        <v>3</v>
      </c>
      <c r="O50" s="27">
        <v>1</v>
      </c>
      <c r="P50" s="76" t="s">
        <v>114</v>
      </c>
      <c r="Q50" s="77"/>
    </row>
    <row r="51" spans="1:17" x14ac:dyDescent="0.3">
      <c r="B51" s="1" t="s">
        <v>65</v>
      </c>
      <c r="C51" s="7">
        <f>ROUND(B37/(B37^2+B38^2)^(0.5),3)</f>
        <v>0.85699999999999998</v>
      </c>
      <c r="N51" s="4" t="s">
        <v>105</v>
      </c>
    </row>
    <row r="52" spans="1:17" ht="7.5" customHeight="1" x14ac:dyDescent="0.3">
      <c r="B52" s="1"/>
      <c r="C52" s="7"/>
    </row>
    <row r="53" spans="1:17" x14ac:dyDescent="0.3">
      <c r="B53" s="1"/>
      <c r="C53" s="7"/>
      <c r="N53" s="81" t="s">
        <v>98</v>
      </c>
      <c r="O53" s="81"/>
      <c r="P53" s="81"/>
      <c r="Q53" s="81"/>
    </row>
    <row r="54" spans="1:17" x14ac:dyDescent="0.3">
      <c r="B54" s="1"/>
      <c r="C54" s="7"/>
      <c r="N54" s="82" t="s">
        <v>42</v>
      </c>
      <c r="O54" s="83"/>
      <c r="P54" s="83"/>
      <c r="Q54" s="84"/>
    </row>
    <row r="55" spans="1:17" x14ac:dyDescent="0.3">
      <c r="B55" s="1" t="s">
        <v>40</v>
      </c>
      <c r="C55" s="39">
        <f>ROUND((B38/2+F37/C51)/100,3)</f>
        <v>0.28799999999999998</v>
      </c>
      <c r="D55" s="4" t="s">
        <v>1</v>
      </c>
      <c r="N55" s="25"/>
      <c r="O55" s="25"/>
      <c r="P55" s="25"/>
      <c r="Q55" s="25"/>
    </row>
    <row r="56" spans="1:17" x14ac:dyDescent="0.3">
      <c r="B56" s="1" t="s">
        <v>67</v>
      </c>
      <c r="C56" s="39">
        <f>ROUND(2.4*C55*1,3)</f>
        <v>0.69099999999999995</v>
      </c>
      <c r="D56" s="4" t="s">
        <v>15</v>
      </c>
      <c r="F56" s="1" t="s">
        <v>12</v>
      </c>
      <c r="G56" s="8">
        <f>+C58*G27</f>
        <v>1.2656000000000001</v>
      </c>
      <c r="H56" s="4" t="s">
        <v>15</v>
      </c>
      <c r="N56" s="25" t="s">
        <v>43</v>
      </c>
      <c r="O56" s="25" t="s">
        <v>44</v>
      </c>
      <c r="P56" s="25" t="s">
        <v>44</v>
      </c>
      <c r="Q56" s="25" t="s">
        <v>45</v>
      </c>
    </row>
    <row r="57" spans="1:17" x14ac:dyDescent="0.3">
      <c r="B57" s="1" t="s">
        <v>68</v>
      </c>
      <c r="C57" s="72">
        <v>0.1</v>
      </c>
      <c r="D57" s="4" t="s">
        <v>15</v>
      </c>
      <c r="F57" s="1" t="s">
        <v>14</v>
      </c>
      <c r="G57" s="8">
        <f>+B36/1000*G27</f>
        <v>0.96</v>
      </c>
      <c r="H57" s="4" t="s">
        <v>15</v>
      </c>
      <c r="N57" s="25"/>
      <c r="O57" s="25" t="s">
        <v>55</v>
      </c>
      <c r="P57" s="25" t="s">
        <v>10</v>
      </c>
      <c r="Q57" s="25" t="s">
        <v>25</v>
      </c>
    </row>
    <row r="58" spans="1:17" x14ac:dyDescent="0.3">
      <c r="B58" s="9" t="s">
        <v>16</v>
      </c>
      <c r="C58" s="40">
        <f>+C56+C57</f>
        <v>0.79099999999999993</v>
      </c>
      <c r="D58" s="6" t="s">
        <v>15</v>
      </c>
      <c r="F58" s="1" t="s">
        <v>69</v>
      </c>
      <c r="G58" s="4">
        <f>ROUND(1.4*G56+1.7*G57,2)</f>
        <v>3.4</v>
      </c>
      <c r="H58" s="4" t="s">
        <v>15</v>
      </c>
      <c r="N58" s="25">
        <v>3</v>
      </c>
      <c r="O58" s="26" t="s">
        <v>46</v>
      </c>
      <c r="P58" s="27">
        <v>0.95250000000000001</v>
      </c>
      <c r="Q58" s="28">
        <v>0.71255739248085614</v>
      </c>
    </row>
    <row r="59" spans="1:17" x14ac:dyDescent="0.3">
      <c r="B59" s="9"/>
      <c r="C59" s="40"/>
      <c r="D59" s="6"/>
      <c r="F59" s="1"/>
      <c r="N59" s="25">
        <v>4</v>
      </c>
      <c r="O59" s="26" t="s">
        <v>47</v>
      </c>
      <c r="P59" s="27">
        <v>1.27</v>
      </c>
      <c r="Q59" s="28">
        <v>1.2667686977437445</v>
      </c>
    </row>
    <row r="60" spans="1:17" x14ac:dyDescent="0.3">
      <c r="A60" s="6" t="s">
        <v>17</v>
      </c>
      <c r="C60" s="7"/>
      <c r="N60" s="25">
        <v>5</v>
      </c>
      <c r="O60" s="26" t="s">
        <v>48</v>
      </c>
      <c r="P60" s="27">
        <v>1.5874999999999999</v>
      </c>
      <c r="Q60" s="28">
        <v>1.9793260902246004</v>
      </c>
    </row>
    <row r="61" spans="1:17" x14ac:dyDescent="0.3">
      <c r="B61" s="1" t="s">
        <v>67</v>
      </c>
      <c r="C61" s="39">
        <f>1*1*F38/100*2.4</f>
        <v>0.40800000000000003</v>
      </c>
      <c r="D61" s="4" t="s">
        <v>13</v>
      </c>
      <c r="F61" s="1" t="s">
        <v>12</v>
      </c>
      <c r="G61" s="8">
        <f>+C63*G27</f>
        <v>0.81280000000000008</v>
      </c>
      <c r="H61" s="4" t="s">
        <v>15</v>
      </c>
      <c r="N61" s="25">
        <v>6</v>
      </c>
      <c r="O61" s="26" t="s">
        <v>49</v>
      </c>
      <c r="P61" s="27">
        <v>1.905</v>
      </c>
      <c r="Q61" s="28">
        <v>2.8502295699234246</v>
      </c>
    </row>
    <row r="62" spans="1:17" x14ac:dyDescent="0.3">
      <c r="B62" s="1" t="s">
        <v>68</v>
      </c>
      <c r="C62" s="39">
        <f>+C57</f>
        <v>0.1</v>
      </c>
      <c r="D62" s="4" t="s">
        <v>15</v>
      </c>
      <c r="F62" s="1" t="s">
        <v>14</v>
      </c>
      <c r="G62" s="8">
        <f>+G57</f>
        <v>0.96</v>
      </c>
      <c r="H62" s="4" t="s">
        <v>15</v>
      </c>
      <c r="N62" s="25">
        <v>7</v>
      </c>
      <c r="O62" s="26" t="s">
        <v>50</v>
      </c>
      <c r="P62" s="27">
        <v>2.2225000000000001</v>
      </c>
      <c r="Q62" s="28">
        <v>3.8794791368402173</v>
      </c>
    </row>
    <row r="63" spans="1:17" x14ac:dyDescent="0.3">
      <c r="B63" s="9" t="s">
        <v>16</v>
      </c>
      <c r="C63" s="40">
        <f>+C61+C62</f>
        <v>0.50800000000000001</v>
      </c>
      <c r="D63" s="6" t="s">
        <v>13</v>
      </c>
      <c r="F63" s="1" t="s">
        <v>70</v>
      </c>
      <c r="G63" s="4">
        <f>ROUND(1.4*G61+1.7*G62,2)</f>
        <v>2.77</v>
      </c>
      <c r="H63" s="4" t="s">
        <v>15</v>
      </c>
      <c r="N63" s="25">
        <v>8</v>
      </c>
      <c r="O63" s="26" t="s">
        <v>51</v>
      </c>
      <c r="P63" s="27">
        <v>2.54</v>
      </c>
      <c r="Q63" s="28">
        <v>5.0670747909749778</v>
      </c>
    </row>
    <row r="64" spans="1:17" x14ac:dyDescent="0.3">
      <c r="B64" s="9"/>
      <c r="C64" s="40"/>
      <c r="D64" s="6"/>
      <c r="F64" s="1"/>
      <c r="N64" s="25">
        <v>9</v>
      </c>
      <c r="O64" s="26" t="s">
        <v>52</v>
      </c>
      <c r="P64" s="27">
        <v>2.8574999999999999</v>
      </c>
      <c r="Q64" s="28">
        <v>6.4130165323277053</v>
      </c>
    </row>
    <row r="65" spans="2:21" x14ac:dyDescent="0.3">
      <c r="D65" s="2" t="str">
        <f>+ CONCATENATE(G58," Tn/m2")</f>
        <v>3.4 Tn/m2</v>
      </c>
      <c r="N65" s="25">
        <v>10</v>
      </c>
      <c r="O65" s="26" t="s">
        <v>53</v>
      </c>
      <c r="P65" s="27">
        <v>3.1749999999999998</v>
      </c>
      <c r="Q65" s="28">
        <v>7.9173043608984015</v>
      </c>
      <c r="R65" s="29"/>
      <c r="S65" s="41"/>
      <c r="T65" s="42"/>
      <c r="U65" s="43"/>
    </row>
    <row r="66" spans="2:21" x14ac:dyDescent="0.3">
      <c r="F66" s="2" t="str">
        <f>+CONCATENATE(G63," Tn/m2")</f>
        <v>2.77 Tn/m2</v>
      </c>
      <c r="N66" s="25">
        <v>11</v>
      </c>
      <c r="O66" s="26" t="s">
        <v>54</v>
      </c>
      <c r="P66" s="27">
        <v>3.4925000000000002</v>
      </c>
      <c r="Q66" s="28">
        <v>9.5799382766870682</v>
      </c>
      <c r="R66" s="29"/>
      <c r="S66" s="29"/>
      <c r="T66" s="29"/>
      <c r="U66" s="29"/>
    </row>
    <row r="69" spans="2:21" ht="4.5" customHeight="1" x14ac:dyDescent="0.3"/>
    <row r="70" spans="2:21" x14ac:dyDescent="0.3">
      <c r="B70" s="1" t="s">
        <v>71</v>
      </c>
      <c r="D70" s="3">
        <f>+C31</f>
        <v>2.3000000000000003</v>
      </c>
      <c r="F70" s="3">
        <f>+E31</f>
        <v>1.7250000000000001</v>
      </c>
      <c r="G70" s="2" t="s">
        <v>72</v>
      </c>
    </row>
    <row r="71" spans="2:21" x14ac:dyDescent="0.3">
      <c r="B71" s="1"/>
      <c r="D71" s="3"/>
      <c r="F71" s="3"/>
      <c r="G71" s="2"/>
    </row>
    <row r="72" spans="2:21" x14ac:dyDescent="0.3">
      <c r="B72" s="1" t="s">
        <v>38</v>
      </c>
      <c r="C72" s="4">
        <f>ROUND((G63*(D70+F70)*(D70+F70)/2+(G58-G63)*(D70)*(F70+D70/2))/(D70+F70),2)</f>
        <v>6.61</v>
      </c>
      <c r="D72" s="4" t="s">
        <v>18</v>
      </c>
    </row>
    <row r="73" spans="2:21" x14ac:dyDescent="0.3">
      <c r="B73" s="1" t="s">
        <v>19</v>
      </c>
      <c r="C73" s="4" t="str">
        <f>+CONCATENATE(C72,"X - ",G58,"X^2/2")</f>
        <v>6.61X - 3.4X^2/2</v>
      </c>
      <c r="N73" s="81" t="s">
        <v>106</v>
      </c>
      <c r="O73" s="81"/>
      <c r="P73" s="81"/>
      <c r="Q73" s="81"/>
    </row>
    <row r="74" spans="2:21" x14ac:dyDescent="0.3">
      <c r="N74" s="82" t="s">
        <v>111</v>
      </c>
      <c r="O74" s="83"/>
      <c r="P74" s="83"/>
      <c r="Q74" s="84"/>
    </row>
    <row r="75" spans="2:21" x14ac:dyDescent="0.3">
      <c r="B75" s="1"/>
      <c r="D75" s="4" t="str">
        <f>+CONCATENATE(C72," - ",G58,"X")</f>
        <v>6.61 - 3.4X</v>
      </c>
      <c r="E75" s="4" t="s">
        <v>20</v>
      </c>
      <c r="F75" s="1" t="s">
        <v>21</v>
      </c>
      <c r="G75" s="2">
        <f>ROUND(C72/G58,2)</f>
        <v>1.94</v>
      </c>
      <c r="H75" s="4" t="s">
        <v>1</v>
      </c>
      <c r="N75" s="25"/>
      <c r="O75" s="25" t="s">
        <v>108</v>
      </c>
      <c r="P75" s="76"/>
      <c r="Q75" s="77"/>
    </row>
    <row r="76" spans="2:21" x14ac:dyDescent="0.3">
      <c r="B76" s="1"/>
      <c r="F76" s="1"/>
      <c r="G76" s="2"/>
      <c r="N76" s="25">
        <v>1</v>
      </c>
      <c r="O76" s="27">
        <v>2</v>
      </c>
      <c r="P76" s="79" t="s">
        <v>113</v>
      </c>
      <c r="Q76" s="77"/>
    </row>
    <row r="77" spans="2:21" x14ac:dyDescent="0.3">
      <c r="E77" s="4" t="s">
        <v>20</v>
      </c>
      <c r="F77" s="1" t="s">
        <v>22</v>
      </c>
      <c r="G77" s="2">
        <f>ROUND(C72*G75-G58*G75^2/2,2)</f>
        <v>6.43</v>
      </c>
      <c r="H77" s="4" t="s">
        <v>23</v>
      </c>
      <c r="N77" s="25">
        <v>2</v>
      </c>
      <c r="O77" s="27">
        <v>3</v>
      </c>
      <c r="P77" s="76" t="s">
        <v>112</v>
      </c>
      <c r="Q77" s="77"/>
    </row>
    <row r="78" spans="2:21" x14ac:dyDescent="0.3">
      <c r="F78" s="1"/>
      <c r="G78" s="2"/>
    </row>
    <row r="79" spans="2:21" x14ac:dyDescent="0.3">
      <c r="B79" s="75" t="s">
        <v>97</v>
      </c>
      <c r="C79" s="78">
        <v>0.8</v>
      </c>
      <c r="D79" s="4" t="s">
        <v>99</v>
      </c>
      <c r="F79" s="1"/>
      <c r="G79" s="2"/>
    </row>
    <row r="80" spans="2:21" ht="4.5" customHeight="1" x14ac:dyDescent="0.3">
      <c r="G80" s="2"/>
    </row>
    <row r="81" spans="1:15" x14ac:dyDescent="0.3">
      <c r="D81" s="4" t="str">
        <f xml:space="preserve"> CONCATENATE(C79," ","Mmax")</f>
        <v>0.8 Mmax</v>
      </c>
      <c r="E81" s="4" t="s">
        <v>20</v>
      </c>
      <c r="F81" s="1" t="s">
        <v>79</v>
      </c>
      <c r="G81" s="3">
        <f>C79*G77</f>
        <v>5.1440000000000001</v>
      </c>
      <c r="H81" s="4" t="s">
        <v>23</v>
      </c>
    </row>
    <row r="82" spans="1:15" x14ac:dyDescent="0.3">
      <c r="F82" s="1"/>
      <c r="G82" s="2"/>
    </row>
    <row r="83" spans="1:15" x14ac:dyDescent="0.3">
      <c r="A83" s="6" t="s">
        <v>73</v>
      </c>
      <c r="F83" s="1"/>
      <c r="G83" s="2"/>
    </row>
    <row r="84" spans="1:15" x14ac:dyDescent="0.3">
      <c r="B84" s="1" t="s">
        <v>79</v>
      </c>
      <c r="C84" s="8">
        <f>+G81</f>
        <v>5.1440000000000001</v>
      </c>
      <c r="D84" s="4" t="s">
        <v>39</v>
      </c>
    </row>
    <row r="85" spans="1:15" x14ac:dyDescent="0.3">
      <c r="A85" s="4" t="s">
        <v>81</v>
      </c>
      <c r="B85" s="66">
        <v>4</v>
      </c>
      <c r="C85" s="4" t="s">
        <v>104</v>
      </c>
      <c r="I85" s="45"/>
      <c r="M85" s="13"/>
      <c r="N85" s="14"/>
      <c r="O85" s="12"/>
    </row>
    <row r="86" spans="1:15" x14ac:dyDescent="0.3">
      <c r="B86" s="7" t="str">
        <f>+LOOKUP(B85,N58:N66,O58:O66)</f>
        <v>1/2"</v>
      </c>
      <c r="C86" s="67" t="s">
        <v>82</v>
      </c>
      <c r="D86" s="39">
        <f>+LOOKUP(B85,N58:N66,P58:P66)</f>
        <v>1.27</v>
      </c>
      <c r="E86" s="4" t="s">
        <v>10</v>
      </c>
      <c r="F86" s="1" t="s">
        <v>83</v>
      </c>
      <c r="G86" s="39">
        <f>+LOOKUP(B85,N58:N66,Q58:Q66)</f>
        <v>1.2667686977437445</v>
      </c>
      <c r="H86" s="4" t="s">
        <v>25</v>
      </c>
    </row>
    <row r="87" spans="1:15" ht="12" customHeight="1" x14ac:dyDescent="0.3">
      <c r="B87" s="1"/>
      <c r="C87" s="11"/>
      <c r="M87" s="49" t="s">
        <v>80</v>
      </c>
      <c r="N87" s="52">
        <v>2</v>
      </c>
      <c r="O87" s="51" t="s">
        <v>10</v>
      </c>
    </row>
    <row r="88" spans="1:15" x14ac:dyDescent="0.3">
      <c r="M88" s="1" t="s">
        <v>24</v>
      </c>
      <c r="N88" s="3">
        <f>+C84*100000/(0.9*B35*(C89-N87/2))</f>
        <v>10.182166560767383</v>
      </c>
      <c r="O88" s="4" t="s">
        <v>25</v>
      </c>
    </row>
    <row r="89" spans="1:15" x14ac:dyDescent="0.3">
      <c r="B89" s="34" t="s">
        <v>84</v>
      </c>
      <c r="C89" s="3">
        <f>F37-B45-D86/2</f>
        <v>14.365</v>
      </c>
      <c r="D89" s="4" t="s">
        <v>10</v>
      </c>
      <c r="M89" s="49" t="s">
        <v>80</v>
      </c>
      <c r="N89" s="50">
        <f>+N88*B35/(0.85*B34*B44*100)</f>
        <v>1.1230330765552261</v>
      </c>
      <c r="O89" s="51" t="s">
        <v>10</v>
      </c>
    </row>
    <row r="90" spans="1:15" ht="11.25" customHeight="1" x14ac:dyDescent="0.3">
      <c r="B90" s="34"/>
      <c r="M90" s="1" t="s">
        <v>24</v>
      </c>
      <c r="N90" s="3">
        <f>C84*100000/(0.9*B35*(C89-N89/2))</f>
        <v>9.8587183780111953</v>
      </c>
      <c r="O90" s="4" t="s">
        <v>25</v>
      </c>
    </row>
    <row r="91" spans="1:15" x14ac:dyDescent="0.3">
      <c r="B91" s="34"/>
      <c r="M91" s="49" t="s">
        <v>80</v>
      </c>
      <c r="N91" s="50">
        <f>+N90*B35/(0.85*B34*B44*100)</f>
        <v>1.0873586446335877</v>
      </c>
      <c r="O91" s="51" t="s">
        <v>10</v>
      </c>
    </row>
    <row r="92" spans="1:15" x14ac:dyDescent="0.3">
      <c r="B92" s="34"/>
      <c r="M92" s="1" t="s">
        <v>24</v>
      </c>
      <c r="N92" s="3">
        <f>C84*100000/(0.9*B35*(C89-N91/2))</f>
        <v>9.8459951301460737</v>
      </c>
      <c r="O92" s="4" t="s">
        <v>25</v>
      </c>
    </row>
    <row r="93" spans="1:15" x14ac:dyDescent="0.3">
      <c r="B93" s="1" t="s">
        <v>24</v>
      </c>
      <c r="C93" s="37">
        <f>+N94</f>
        <v>9.8454953162005943</v>
      </c>
      <c r="D93" s="4" t="s">
        <v>25</v>
      </c>
      <c r="M93" s="49" t="s">
        <v>80</v>
      </c>
      <c r="N93" s="50">
        <f>+N92*B35/(0.85*B34*B44*100)</f>
        <v>1.0859553452366992</v>
      </c>
      <c r="O93" s="51" t="s">
        <v>10</v>
      </c>
    </row>
    <row r="94" spans="1:15" x14ac:dyDescent="0.3">
      <c r="B94" s="1"/>
      <c r="C94" s="3"/>
      <c r="M94" s="1" t="s">
        <v>24</v>
      </c>
      <c r="N94" s="3">
        <f>C84*100000/(0.9*B35*(C89-N93/2))</f>
        <v>9.8454953162005943</v>
      </c>
      <c r="O94" s="4" t="s">
        <v>25</v>
      </c>
    </row>
    <row r="95" spans="1:15" x14ac:dyDescent="0.3">
      <c r="B95" s="1"/>
      <c r="C95" s="8"/>
    </row>
    <row r="96" spans="1:15" x14ac:dyDescent="0.3">
      <c r="B96" s="1" t="s">
        <v>75</v>
      </c>
      <c r="C96" s="37">
        <f>0.0018*G27*C89*100</f>
        <v>4.1371200000000004</v>
      </c>
      <c r="D96" s="4" t="s">
        <v>25</v>
      </c>
      <c r="E96" s="1" t="s">
        <v>74</v>
      </c>
      <c r="F96" s="2">
        <f>ROUND(0.7*B34^0.5*100*F37*G27/B35,2)</f>
        <v>7.59</v>
      </c>
      <c r="G96" s="4" t="s">
        <v>25</v>
      </c>
      <c r="M96" s="13"/>
      <c r="N96" s="14"/>
      <c r="O96" s="12"/>
    </row>
    <row r="97" spans="1:15" x14ac:dyDescent="0.3">
      <c r="B97" s="1"/>
      <c r="C97" s="7"/>
      <c r="E97" s="1"/>
      <c r="F97" s="2"/>
      <c r="M97" s="13"/>
      <c r="N97" s="14"/>
      <c r="O97" s="12"/>
    </row>
    <row r="98" spans="1:15" x14ac:dyDescent="0.3">
      <c r="B98" s="1" t="s">
        <v>76</v>
      </c>
      <c r="C98" s="53">
        <f>MAX(C93,F96,C96)</f>
        <v>9.8454953162005943</v>
      </c>
      <c r="D98" s="4" t="s">
        <v>25</v>
      </c>
      <c r="E98" s="14"/>
      <c r="F98" s="14"/>
      <c r="G98" s="12"/>
    </row>
    <row r="99" spans="1:15" x14ac:dyDescent="0.3">
      <c r="B99" s="9" t="str">
        <f>+CONCATENATE("As para ancho de ", G27," m =")</f>
        <v>As para ancho de 1.6 m =</v>
      </c>
      <c r="C99" s="80">
        <f>ROUND(C98,2)</f>
        <v>9.85</v>
      </c>
      <c r="D99" s="6" t="s">
        <v>25</v>
      </c>
      <c r="E99" s="15"/>
      <c r="F99" s="10"/>
      <c r="G99" s="8"/>
    </row>
    <row r="100" spans="1:15" x14ac:dyDescent="0.3">
      <c r="B100" s="1" t="s">
        <v>86</v>
      </c>
      <c r="C100" s="73">
        <f>+B85</f>
        <v>4</v>
      </c>
    </row>
    <row r="101" spans="1:15" x14ac:dyDescent="0.3">
      <c r="B101" s="1"/>
      <c r="C101" s="7" t="str">
        <f>+LOOKUP(C100,N58:N66,O58:O66)</f>
        <v>1/2"</v>
      </c>
      <c r="D101" s="67" t="s">
        <v>82</v>
      </c>
      <c r="E101" s="39">
        <f>+LOOKUP(C100,N58:N66,P58:P66)</f>
        <v>1.27</v>
      </c>
      <c r="F101" s="4" t="s">
        <v>10</v>
      </c>
      <c r="G101" s="1" t="s">
        <v>83</v>
      </c>
      <c r="H101" s="39">
        <f>+LOOKUP(C100,N58:N66,Q58:Q66)</f>
        <v>1.2667686977437445</v>
      </c>
      <c r="I101" s="4" t="s">
        <v>25</v>
      </c>
    </row>
    <row r="102" spans="1:15" ht="5.25" customHeight="1" x14ac:dyDescent="0.3">
      <c r="B102" s="1"/>
      <c r="C102" s="7"/>
      <c r="D102" s="67"/>
      <c r="E102" s="39"/>
      <c r="G102" s="1"/>
      <c r="H102" s="39"/>
    </row>
    <row r="103" spans="1:15" x14ac:dyDescent="0.3">
      <c r="B103" s="1" t="s">
        <v>91</v>
      </c>
      <c r="C103" s="54"/>
      <c r="D103" s="37"/>
      <c r="E103" s="39"/>
      <c r="G103" s="1"/>
      <c r="H103" s="39"/>
    </row>
    <row r="104" spans="1:15" x14ac:dyDescent="0.3">
      <c r="B104" s="1"/>
      <c r="C104" s="34" t="s">
        <v>92</v>
      </c>
      <c r="D104" s="37">
        <f>3*F37/100</f>
        <v>0.51</v>
      </c>
      <c r="E104" s="69" t="s">
        <v>1</v>
      </c>
      <c r="G104" s="1"/>
      <c r="H104" s="39"/>
    </row>
    <row r="105" spans="1:15" x14ac:dyDescent="0.3">
      <c r="B105" s="1"/>
      <c r="C105" s="34" t="s">
        <v>93</v>
      </c>
      <c r="D105" s="37">
        <f>45/100</f>
        <v>0.45</v>
      </c>
      <c r="E105" s="69" t="s">
        <v>1</v>
      </c>
      <c r="G105" s="1"/>
      <c r="H105" s="39"/>
    </row>
    <row r="106" spans="1:15" x14ac:dyDescent="0.3">
      <c r="B106" s="1"/>
      <c r="C106" s="46"/>
      <c r="D106" s="47"/>
      <c r="E106" s="48"/>
      <c r="F106" s="45"/>
      <c r="G106" s="44"/>
      <c r="H106" s="48"/>
      <c r="I106" s="45"/>
    </row>
    <row r="107" spans="1:15" x14ac:dyDescent="0.3">
      <c r="B107" s="1" t="s">
        <v>87</v>
      </c>
      <c r="C107" s="54" t="s">
        <v>88</v>
      </c>
      <c r="D107" s="37">
        <f>(G27*100-2*B45-E101)/(C108-1)/100</f>
        <v>0.22104285714285712</v>
      </c>
      <c r="E107" s="4" t="s">
        <v>1</v>
      </c>
      <c r="F107" s="4" t="str">
        <f>IF(MAX(D104:D105)&gt;D107,"…...CONFORME","…...VERIFICAR")</f>
        <v>…...CONFORME</v>
      </c>
    </row>
    <row r="108" spans="1:15" x14ac:dyDescent="0.3">
      <c r="A108" s="16" t="s">
        <v>26</v>
      </c>
      <c r="B108" s="17" t="s">
        <v>27</v>
      </c>
      <c r="C108" s="18">
        <f>ROUNDUP(C99/H101,0)</f>
        <v>8</v>
      </c>
      <c r="D108" s="55" t="s">
        <v>89</v>
      </c>
      <c r="E108" s="19" t="str">
        <f>+C101</f>
        <v>1/2"</v>
      </c>
      <c r="F108" s="20" t="s">
        <v>28</v>
      </c>
      <c r="G108" s="21">
        <f>+C108*H101</f>
        <v>10.134149581949956</v>
      </c>
      <c r="H108" s="22" t="s">
        <v>29</v>
      </c>
      <c r="I108" s="21">
        <f>ROUND(D107,2)</f>
        <v>0.22</v>
      </c>
      <c r="J108" s="23" t="s">
        <v>1</v>
      </c>
    </row>
    <row r="110" spans="1:15" x14ac:dyDescent="0.3">
      <c r="C110" s="2" t="s">
        <v>107</v>
      </c>
    </row>
    <row r="111" spans="1:15" x14ac:dyDescent="0.3">
      <c r="B111" s="1" t="s">
        <v>109</v>
      </c>
      <c r="C111" s="78">
        <v>2</v>
      </c>
      <c r="D111" s="4" t="s">
        <v>110</v>
      </c>
    </row>
    <row r="112" spans="1:15" x14ac:dyDescent="0.3">
      <c r="B112" s="1" t="s">
        <v>30</v>
      </c>
      <c r="C112" s="8">
        <f>+C99/C111</f>
        <v>4.9249999999999998</v>
      </c>
      <c r="D112" s="4" t="s">
        <v>25</v>
      </c>
      <c r="E112" s="2"/>
    </row>
    <row r="113" spans="1:10" x14ac:dyDescent="0.3">
      <c r="B113" s="1" t="s">
        <v>115</v>
      </c>
      <c r="C113" s="8">
        <f>0.0018*G27*100*C89</f>
        <v>4.1371200000000004</v>
      </c>
      <c r="D113" s="4" t="s">
        <v>25</v>
      </c>
    </row>
    <row r="114" spans="1:10" x14ac:dyDescent="0.3">
      <c r="B114" s="9" t="s">
        <v>31</v>
      </c>
      <c r="C114" s="6">
        <f>+MAX(C112,C113)</f>
        <v>4.9249999999999998</v>
      </c>
      <c r="D114" s="6" t="s">
        <v>25</v>
      </c>
    </row>
    <row r="115" spans="1:10" x14ac:dyDescent="0.3">
      <c r="B115" s="1" t="s">
        <v>86</v>
      </c>
      <c r="C115" s="66">
        <v>3</v>
      </c>
      <c r="D115" s="4" t="s">
        <v>104</v>
      </c>
    </row>
    <row r="116" spans="1:10" x14ac:dyDescent="0.3">
      <c r="B116" s="1"/>
      <c r="C116" s="7" t="str">
        <f>+LOOKUP(C115,N58:N66,O58:O66)</f>
        <v>3/8"</v>
      </c>
      <c r="D116" s="67" t="s">
        <v>82</v>
      </c>
      <c r="E116" s="39">
        <f>+LOOKUP(C115,N58:N66,P58:P66)</f>
        <v>0.95250000000000001</v>
      </c>
      <c r="F116" s="4" t="s">
        <v>10</v>
      </c>
      <c r="G116" s="1" t="s">
        <v>83</v>
      </c>
      <c r="H116" s="39">
        <f>+LOOKUP(C115,N58:N66,Q58:Q66)</f>
        <v>0.71255739248085614</v>
      </c>
      <c r="I116" s="4" t="s">
        <v>25</v>
      </c>
    </row>
    <row r="117" spans="1:10" x14ac:dyDescent="0.3">
      <c r="B117" s="1"/>
      <c r="C117" s="46"/>
      <c r="D117" s="47"/>
      <c r="E117" s="48"/>
    </row>
    <row r="118" spans="1:10" x14ac:dyDescent="0.3">
      <c r="B118" s="1" t="s">
        <v>87</v>
      </c>
      <c r="C118" s="54" t="s">
        <v>88</v>
      </c>
      <c r="D118" s="37">
        <f>(G27*100-2*B45-E116)/(C119-1)/100</f>
        <v>0.25841250000000004</v>
      </c>
      <c r="E118" s="4" t="s">
        <v>1</v>
      </c>
      <c r="F118" s="4" t="str">
        <f>IF(MAX(D104:D105)&gt;D118,"…...CONFORME","…...VERIFICAR")</f>
        <v>…...CONFORME</v>
      </c>
    </row>
    <row r="119" spans="1:10" x14ac:dyDescent="0.3">
      <c r="A119" s="16" t="s">
        <v>32</v>
      </c>
      <c r="B119" s="17" t="s">
        <v>27</v>
      </c>
      <c r="C119" s="18">
        <f>ROUNDUP(C114/H116,0)</f>
        <v>7</v>
      </c>
      <c r="D119" s="55" t="s">
        <v>89</v>
      </c>
      <c r="E119" s="19" t="str">
        <f>+C116</f>
        <v>3/8"</v>
      </c>
      <c r="F119" s="20" t="s">
        <v>28</v>
      </c>
      <c r="G119" s="21">
        <f>+C119*H116</f>
        <v>4.987901747365993</v>
      </c>
      <c r="H119" s="22" t="s">
        <v>29</v>
      </c>
      <c r="I119" s="21">
        <f>+D118</f>
        <v>0.25841250000000004</v>
      </c>
      <c r="J119" s="23" t="s">
        <v>1</v>
      </c>
    </row>
    <row r="121" spans="1:10" x14ac:dyDescent="0.3">
      <c r="B121" s="1" t="s">
        <v>33</v>
      </c>
      <c r="C121" s="8">
        <f>ROUND(0.0018*100*F37,2)</f>
        <v>3.06</v>
      </c>
      <c r="D121" s="4" t="s">
        <v>25</v>
      </c>
    </row>
    <row r="122" spans="1:10" x14ac:dyDescent="0.3">
      <c r="B122" s="1" t="s">
        <v>34</v>
      </c>
      <c r="C122" s="8">
        <f>+C31/C51+E31</f>
        <v>4.4087806301050181</v>
      </c>
      <c r="D122" s="4" t="s">
        <v>1</v>
      </c>
    </row>
    <row r="123" spans="1:10" x14ac:dyDescent="0.3">
      <c r="B123" s="1" t="s">
        <v>35</v>
      </c>
      <c r="C123" s="74">
        <f>+C121*C122</f>
        <v>13.490868728121356</v>
      </c>
      <c r="D123" s="4" t="s">
        <v>25</v>
      </c>
    </row>
    <row r="124" spans="1:10" x14ac:dyDescent="0.3">
      <c r="B124" s="1" t="s">
        <v>86</v>
      </c>
      <c r="C124" s="66">
        <v>3</v>
      </c>
      <c r="D124" s="4" t="s">
        <v>104</v>
      </c>
    </row>
    <row r="125" spans="1:10" x14ac:dyDescent="0.3">
      <c r="B125" s="1"/>
      <c r="C125" s="7" t="str">
        <f>+LOOKUP(C124,N58:N66,O58:O66)</f>
        <v>3/8"</v>
      </c>
      <c r="D125" s="67" t="s">
        <v>82</v>
      </c>
      <c r="E125" s="39">
        <f>+LOOKUP(C124,N58:N66,P58:P66)</f>
        <v>0.95250000000000001</v>
      </c>
      <c r="F125" s="4" t="s">
        <v>10</v>
      </c>
      <c r="G125" s="1" t="s">
        <v>83</v>
      </c>
      <c r="H125" s="39">
        <f>+LOOKUP(C124,N58:N66,Q58:Q66)</f>
        <v>0.71255739248085614</v>
      </c>
      <c r="I125" s="4" t="s">
        <v>25</v>
      </c>
    </row>
    <row r="126" spans="1:10" x14ac:dyDescent="0.3">
      <c r="B126" s="1"/>
      <c r="C126" s="46"/>
      <c r="D126" s="47"/>
      <c r="E126" s="48"/>
    </row>
    <row r="127" spans="1:10" x14ac:dyDescent="0.3">
      <c r="B127" s="1" t="s">
        <v>87</v>
      </c>
      <c r="C127" s="54" t="s">
        <v>88</v>
      </c>
      <c r="D127" s="37">
        <f>(C122*100-2*B45-E125)/(C128-1)/100</f>
        <v>0.24218086833916769</v>
      </c>
      <c r="E127" s="4" t="s">
        <v>1</v>
      </c>
      <c r="F127" s="4" t="str">
        <f>IF(MAX(D104:D105)&gt;D127,"…...CONFORME","…...VERIFICAR")</f>
        <v>…...CONFORME</v>
      </c>
    </row>
    <row r="128" spans="1:10" x14ac:dyDescent="0.3">
      <c r="A128" s="16" t="s">
        <v>36</v>
      </c>
      <c r="B128" s="17" t="s">
        <v>27</v>
      </c>
      <c r="C128" s="18">
        <f>ROUNDUP(C123/H125,0)</f>
        <v>19</v>
      </c>
      <c r="D128" s="55" t="s">
        <v>89</v>
      </c>
      <c r="E128" s="19" t="str">
        <f>C125</f>
        <v>3/8"</v>
      </c>
      <c r="F128" s="22" t="s">
        <v>37</v>
      </c>
      <c r="G128" s="63">
        <f>+D127</f>
        <v>0.24218086833916769</v>
      </c>
      <c r="H128" s="23" t="s">
        <v>1</v>
      </c>
    </row>
    <row r="131" spans="1:7" ht="15.6" x14ac:dyDescent="0.3">
      <c r="A131" s="5"/>
      <c r="D131" s="56" t="str">
        <f>CONCATENATE(D128,E128,"@",ROUND(G128,2),H128)</f>
        <v>Ø  de 3/8"@0.24m</v>
      </c>
    </row>
    <row r="132" spans="1:7" ht="15.6" x14ac:dyDescent="0.3">
      <c r="A132" s="5"/>
      <c r="D132" s="6"/>
    </row>
    <row r="133" spans="1:7" ht="15.6" x14ac:dyDescent="0.3">
      <c r="A133" s="5"/>
      <c r="C133" s="62" t="str">
        <f>CONCATENATE(D119,E119,"@",ROUND(I119,2),J119)</f>
        <v>Ø  de 3/8"@0.26m</v>
      </c>
      <c r="D133" s="6"/>
      <c r="G133" s="68">
        <f>+F38</f>
        <v>17</v>
      </c>
    </row>
    <row r="134" spans="1:7" ht="15.6" x14ac:dyDescent="0.3">
      <c r="A134" s="5"/>
      <c r="D134" s="6"/>
    </row>
    <row r="135" spans="1:7" ht="15.6" x14ac:dyDescent="0.3">
      <c r="A135" s="5"/>
      <c r="D135" s="6"/>
    </row>
    <row r="136" spans="1:7" ht="15.6" x14ac:dyDescent="0.3">
      <c r="A136" s="5"/>
      <c r="D136" s="6"/>
    </row>
    <row r="137" spans="1:7" ht="15.6" x14ac:dyDescent="0.3">
      <c r="A137" s="5"/>
      <c r="B137" s="62" t="str">
        <f>CONCATENATE(D119,E119,"@",ROUND(I119,2),J119)</f>
        <v>Ø  de 3/8"@0.26m</v>
      </c>
      <c r="C137" s="10"/>
      <c r="D137" s="6"/>
      <c r="E137" s="61" t="str">
        <f>CONCATENATE(D108,E108,"@",ROUND(I108,2),J108)</f>
        <v>Ø  de 1/2"@0.22m</v>
      </c>
      <c r="G137" s="4" t="s">
        <v>77</v>
      </c>
    </row>
    <row r="138" spans="1:7" x14ac:dyDescent="0.3">
      <c r="D138" s="6"/>
      <c r="G138" s="4" t="s">
        <v>78</v>
      </c>
    </row>
    <row r="139" spans="1:7" x14ac:dyDescent="0.3">
      <c r="A139" s="56" t="str">
        <f>CONCATENATE(D128,E128,"@",ROUND(G128,2),H128)</f>
        <v>Ø  de 3/8"@0.24m</v>
      </c>
      <c r="D139" s="6"/>
    </row>
    <row r="140" spans="1:7" ht="15.6" x14ac:dyDescent="0.3">
      <c r="A140" s="5"/>
      <c r="D140" s="6"/>
      <c r="E140" s="56" t="str">
        <f>CONCATENATE(D128,E128,"@",ROUND(G128,2),H128)</f>
        <v>Ø  de 3/8"@0.24m</v>
      </c>
    </row>
    <row r="141" spans="1:7" ht="15.6" x14ac:dyDescent="0.3">
      <c r="A141" s="5"/>
      <c r="C141" s="61" t="str">
        <f>CONCATENATE(D108,E108,"@",ROUND(I108,2),J108)</f>
        <v>Ø  de 1/2"@0.22m</v>
      </c>
      <c r="D141" s="6"/>
    </row>
    <row r="142" spans="1:7" ht="15.6" x14ac:dyDescent="0.3">
      <c r="A142" s="5"/>
      <c r="D142" s="6"/>
    </row>
    <row r="143" spans="1:7" ht="15.6" x14ac:dyDescent="0.3">
      <c r="A143" s="5"/>
      <c r="C143" s="56" t="str">
        <f>CONCATENATE(D128,E128,"@",ROUND(G128,2),H128)</f>
        <v>Ø  de 3/8"@0.24m</v>
      </c>
      <c r="D143" s="6"/>
    </row>
    <row r="144" spans="1:7" x14ac:dyDescent="0.3">
      <c r="A144" s="60">
        <f>+B43</f>
        <v>0.7</v>
      </c>
      <c r="D144" s="6"/>
    </row>
    <row r="145" spans="1:12" ht="15.6" x14ac:dyDescent="0.3">
      <c r="A145" s="5"/>
      <c r="D145" s="6"/>
    </row>
    <row r="146" spans="1:12" ht="15.6" x14ac:dyDescent="0.3">
      <c r="A146" s="5"/>
      <c r="D146" s="6"/>
    </row>
    <row r="147" spans="1:12" s="56" customFormat="1" x14ac:dyDescent="0.3">
      <c r="A147" s="65">
        <f>+B39</f>
        <v>0.4</v>
      </c>
      <c r="C147" s="58">
        <f>+B40</f>
        <v>2.1</v>
      </c>
      <c r="D147" s="57"/>
      <c r="E147" s="59">
        <f>+B41</f>
        <v>1.6</v>
      </c>
      <c r="F147" s="64">
        <f>+B42</f>
        <v>0.25</v>
      </c>
      <c r="L147" s="71"/>
    </row>
    <row r="148" spans="1:12" ht="15.6" x14ac:dyDescent="0.3">
      <c r="A148" s="5"/>
      <c r="D148" s="6"/>
    </row>
  </sheetData>
  <protectedRanges>
    <protectedRange password="CCF9" sqref="G27 C57 C62 C103 F25:G26 F28:G32 A25:E32 B34:B38 F37:F38 G33 B45:B46 C118 C127 C107" name="Rango1_1"/>
  </protectedRanges>
  <dataConsolidate/>
  <mergeCells count="7">
    <mergeCell ref="A2:K2"/>
    <mergeCell ref="N73:Q73"/>
    <mergeCell ref="N74:Q74"/>
    <mergeCell ref="N53:Q53"/>
    <mergeCell ref="N54:Q54"/>
    <mergeCell ref="N45:Q45"/>
    <mergeCell ref="N46:Q46"/>
  </mergeCells>
  <dataValidations count="3">
    <dataValidation type="list" allowBlank="1" showInputMessage="1" showErrorMessage="1" sqref="B85 C124 C115 C100" xr:uid="{BAF01DE8-40DE-4F51-969E-FF7B53C47CDA}">
      <formula1>$N$58:$N$66</formula1>
    </dataValidation>
    <dataValidation type="list" allowBlank="1" showInputMessage="1" showErrorMessage="1" sqref="C79" xr:uid="{304450CF-CD39-4261-9299-B6284582B1C1}">
      <formula1>$O$48:$O$50</formula1>
    </dataValidation>
    <dataValidation type="list" allowBlank="1" showInputMessage="1" showErrorMessage="1" sqref="C111" xr:uid="{73E0B90C-1E58-455B-8FC8-00BF18342A9A}">
      <formula1>$O$76:$O$77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TRAMO TIPO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2015-06-05T18:19:34Z</dcterms:created>
  <dcterms:modified xsi:type="dcterms:W3CDTF">2024-04-22T12:46:45Z</dcterms:modified>
</cp:coreProperties>
</file>