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579D7A7D-FD04-4CD8-8C89-762CA418A2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TRAMO TIPO 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4" l="1"/>
  <c r="D79" i="4" l="1"/>
  <c r="G34" i="4"/>
  <c r="F34" i="4"/>
  <c r="D102" i="4"/>
  <c r="D103" i="4"/>
  <c r="F144" i="4"/>
  <c r="E144" i="4"/>
  <c r="C144" i="4"/>
  <c r="A144" i="4"/>
  <c r="H123" i="4"/>
  <c r="E123" i="4"/>
  <c r="C123" i="4"/>
  <c r="E126" i="4" s="1"/>
  <c r="H114" i="4"/>
  <c r="E114" i="4"/>
  <c r="C114" i="4"/>
  <c r="E117" i="4" s="1"/>
  <c r="C98" i="4"/>
  <c r="H99" i="4" s="1"/>
  <c r="G84" i="4"/>
  <c r="D84" i="4"/>
  <c r="C87" i="4" s="1"/>
  <c r="B84" i="4"/>
  <c r="C60" i="4"/>
  <c r="C49" i="4"/>
  <c r="C53" i="4" s="1"/>
  <c r="C54" i="4" s="1"/>
  <c r="C56" i="4" s="1"/>
  <c r="F37" i="4"/>
  <c r="C59" i="4" s="1"/>
  <c r="E30" i="4"/>
  <c r="F68" i="4" s="1"/>
  <c r="C30" i="4"/>
  <c r="D68" i="4" s="1"/>
  <c r="G26" i="4"/>
  <c r="C111" i="4" s="1"/>
  <c r="G54" i="4" l="1"/>
  <c r="F94" i="4"/>
  <c r="C94" i="4"/>
  <c r="C61" i="4"/>
  <c r="G59" i="4" s="1"/>
  <c r="G55" i="4"/>
  <c r="G60" i="4" s="1"/>
  <c r="C99" i="4"/>
  <c r="E106" i="4" s="1"/>
  <c r="G131" i="4"/>
  <c r="B97" i="4"/>
  <c r="E99" i="4"/>
  <c r="C120" i="4"/>
  <c r="C121" i="4" s="1"/>
  <c r="C126" i="4" s="1"/>
  <c r="D125" i="4" l="1"/>
  <c r="F35" i="4"/>
  <c r="G61" i="4"/>
  <c r="F64" i="4" s="1"/>
  <c r="G56" i="4"/>
  <c r="D63" i="4" s="1"/>
  <c r="G126" i="4" l="1"/>
  <c r="F125" i="4"/>
  <c r="C70" i="4"/>
  <c r="D73" i="4" s="1"/>
  <c r="B134" i="4" l="1"/>
  <c r="E138" i="4"/>
  <c r="D129" i="4"/>
  <c r="C141" i="4"/>
  <c r="C71" i="4"/>
  <c r="G73" i="4"/>
  <c r="G75" i="4" s="1"/>
  <c r="G79" i="4" s="1"/>
  <c r="C82" i="4" l="1"/>
  <c r="N86" i="4" s="1"/>
  <c r="N87" i="4" s="1"/>
  <c r="N88" i="4" s="1"/>
  <c r="N89" i="4" s="1"/>
  <c r="N90" i="4" s="1"/>
  <c r="N91" i="4" s="1"/>
  <c r="N92" i="4" s="1"/>
  <c r="C91" i="4" s="1"/>
  <c r="C96" i="4" l="1"/>
  <c r="C97" i="4" s="1"/>
  <c r="C110" i="4" l="1"/>
  <c r="C112" i="4" s="1"/>
  <c r="C117" i="4" s="1"/>
  <c r="C106" i="4"/>
  <c r="D105" i="4" s="1"/>
  <c r="F105" i="4" s="1"/>
  <c r="G106" i="4" l="1"/>
  <c r="I106" i="4"/>
  <c r="D116" i="4"/>
  <c r="F116" i="4" s="1"/>
  <c r="G117" i="4"/>
  <c r="C139" i="4" l="1"/>
  <c r="E135" i="4"/>
  <c r="I117" i="4"/>
  <c r="F128" i="4" s="1"/>
  <c r="C131" i="4" l="1"/>
</calcChain>
</file>

<file path=xl/sharedStrings.xml><?xml version="1.0" encoding="utf-8"?>
<sst xmlns="http://schemas.openxmlformats.org/spreadsheetml/2006/main" count="219" uniqueCount="115">
  <si>
    <t>1) DIMENSIONAMIENTO</t>
  </si>
  <si>
    <t>m</t>
  </si>
  <si>
    <t>Pasos =</t>
  </si>
  <si>
    <t>Contrapasos =</t>
  </si>
  <si>
    <t>f' c =</t>
  </si>
  <si>
    <t>Kg/cm2</t>
  </si>
  <si>
    <t>t =</t>
  </si>
  <si>
    <t>fy =</t>
  </si>
  <si>
    <t>t promedio =</t>
  </si>
  <si>
    <t>s/c =</t>
  </si>
  <si>
    <t>Kg/m2</t>
  </si>
  <si>
    <t>cm</t>
  </si>
  <si>
    <t>Parte Inclinada:</t>
  </si>
  <si>
    <t>D =</t>
  </si>
  <si>
    <t>Tn/m2</t>
  </si>
  <si>
    <t>L =</t>
  </si>
  <si>
    <t>Tn/m</t>
  </si>
  <si>
    <t>Carga Muerta =</t>
  </si>
  <si>
    <t>Descanso:</t>
  </si>
  <si>
    <t>Tn</t>
  </si>
  <si>
    <t>Mx =</t>
  </si>
  <si>
    <t>&gt;&gt;&gt;&gt;&gt;&gt;&gt;&gt;&gt;</t>
  </si>
  <si>
    <t>X=</t>
  </si>
  <si>
    <t>Mmax =</t>
  </si>
  <si>
    <t>Tn - m</t>
  </si>
  <si>
    <t>As =</t>
  </si>
  <si>
    <t>cm2</t>
  </si>
  <si>
    <t>As principal</t>
  </si>
  <si>
    <t>Usar</t>
  </si>
  <si>
    <t>que equivale a</t>
  </si>
  <si>
    <t>cm2  @</t>
  </si>
  <si>
    <t>As(-) =</t>
  </si>
  <si>
    <t>As (-) adoptado =</t>
  </si>
  <si>
    <t>As ( - )</t>
  </si>
  <si>
    <t>As temp en 1 m. =</t>
  </si>
  <si>
    <t>Long. del primer tramo =</t>
  </si>
  <si>
    <t>As temp en todo el tramo =</t>
  </si>
  <si>
    <t>As temp</t>
  </si>
  <si>
    <t xml:space="preserve">    @</t>
  </si>
  <si>
    <t>R1 =</t>
  </si>
  <si>
    <t>Tn-m</t>
  </si>
  <si>
    <t>espesor promedio  (hm)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</si>
  <si>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</si>
  <si>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</si>
  <si>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</si>
  <si>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</si>
  <si>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</si>
  <si>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</si>
  <si>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</si>
  <si>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</si>
  <si>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</si>
  <si>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</si>
  <si>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</si>
  <si>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</si>
  <si>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</si>
  <si>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</si>
  <si>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r>
      <rPr>
        <sz val="10"/>
        <color theme="1"/>
        <rFont val="Calibri"/>
        <family val="2"/>
      </rPr>
      <t xml:space="preserve">φ </t>
    </r>
    <r>
      <rPr>
        <sz val="11"/>
        <color theme="1"/>
        <rFont val="Arial"/>
        <family val="2"/>
      </rPr>
      <t>(pulg)</t>
    </r>
  </si>
  <si>
    <t xml:space="preserve"> Usar:  t =</t>
  </si>
  <si>
    <t>DATOS:</t>
  </si>
  <si>
    <t>Li =</t>
  </si>
  <si>
    <t>Ld =</t>
  </si>
  <si>
    <t>Ancho b =</t>
  </si>
  <si>
    <t>descanso t =</t>
  </si>
  <si>
    <t>cos𝜃  =</t>
  </si>
  <si>
    <t>DIMENSIONAMIENTO:</t>
  </si>
  <si>
    <t>P.P =</t>
  </si>
  <si>
    <t>Acab. =</t>
  </si>
  <si>
    <t>Wu1 = 1.4D+1.7L =</t>
  </si>
  <si>
    <t>Wu2 = 1.4D+1.7L =</t>
  </si>
  <si>
    <t>R1</t>
  </si>
  <si>
    <t>R2</t>
  </si>
  <si>
    <t>Diseño:</t>
  </si>
  <si>
    <t>As min2 =</t>
  </si>
  <si>
    <t>As min1 =</t>
  </si>
  <si>
    <t>Usar: As =</t>
  </si>
  <si>
    <t>⁺ Mdiseño =</t>
  </si>
  <si>
    <t>a =</t>
  </si>
  <si>
    <t>Considerando:</t>
  </si>
  <si>
    <t>Diam. =</t>
  </si>
  <si>
    <t>Area =</t>
  </si>
  <si>
    <t>d =</t>
  </si>
  <si>
    <t>Recubrim. R =</t>
  </si>
  <si>
    <t>Usar acero #</t>
  </si>
  <si>
    <t>Espaciamiento</t>
  </si>
  <si>
    <t>S =</t>
  </si>
  <si>
    <r>
      <rPr>
        <b/>
        <sz val="10"/>
        <rFont val="Calibri"/>
        <family val="2"/>
      </rPr>
      <t>Ø</t>
    </r>
    <r>
      <rPr>
        <b/>
        <sz val="7.5"/>
        <rFont val="Arial"/>
        <family val="2"/>
      </rPr>
      <t xml:space="preserve">  de </t>
    </r>
  </si>
  <si>
    <t>t</t>
  </si>
  <si>
    <t xml:space="preserve">Viga  </t>
  </si>
  <si>
    <t>Viga</t>
  </si>
  <si>
    <t>Espaciamiento Máximo</t>
  </si>
  <si>
    <t>Smax1 =</t>
  </si>
  <si>
    <t>Smax2 =</t>
  </si>
  <si>
    <t xml:space="preserve">2) DISEÑO </t>
  </si>
  <si>
    <t>Valores "α" para momento de diseño</t>
  </si>
  <si>
    <t>α</t>
  </si>
  <si>
    <t>La eleccion de pende del nivel de empotramiento y rigidez de los elementos donde se apoyan la estructura</t>
  </si>
  <si>
    <t>Cuando nuestro apoyo es muy rigido, grande, tiene buen peralte, tiene buen espesor en las bases</t>
  </si>
  <si>
    <t>Cuando nuestro apoyo tiene mayor dimension que puede ser una viga, placas, el apoyo obsorbe momentos</t>
  </si>
  <si>
    <r>
      <t xml:space="preserve">Nota: generalmente se usa para el diseño los valores de α=0.9 y </t>
    </r>
    <r>
      <rPr>
        <sz val="11"/>
        <color theme="1"/>
        <rFont val="Calibri"/>
        <family val="2"/>
      </rPr>
      <t>β= 2</t>
    </r>
  </si>
  <si>
    <t>TABLA 3</t>
  </si>
  <si>
    <t>Valores "β" para momento de diseño negativo</t>
  </si>
  <si>
    <t>β</t>
  </si>
  <si>
    <t>Apoyos monoliticos rigidos</t>
  </si>
  <si>
    <t>Apoyos monoliticos poco rigidos</t>
  </si>
  <si>
    <t>α =</t>
  </si>
  <si>
    <t>(Ver tabla 1)</t>
  </si>
  <si>
    <t>(Ver tabla 2)</t>
  </si>
  <si>
    <t>As(-) = As(+)/β &gt;= As temp</t>
  </si>
  <si>
    <t>β =</t>
  </si>
  <si>
    <t>(Ver tabla 3)</t>
  </si>
  <si>
    <t>Lv1 =</t>
  </si>
  <si>
    <t>Lv2 =</t>
  </si>
  <si>
    <t>Cuando nuestros apoyos no absorben nada de momentos. Ocurre cuando no hay empotramiento, el espesor del apoyo es muy pequeño de 10 a 15 cm, no deja fluir nuestro acero.</t>
  </si>
  <si>
    <t>As min =</t>
  </si>
  <si>
    <t>DISEÑO DE ESCALERA UN TRAMO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</si>
</sst>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Nº&quot;\ 0"/>
  </numFmts>
  <fonts count="23" x14ac:knownFonts="1">
    <font>
      <sz val="11"/>
      <color theme="1"/>
      <name val="Calibri"/>
      <family val="2"/>
      <scheme val="minor"/>
    </font>
    <font>
      <b/>
      <u/>
      <sz val="12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Arial"/>
      <family val="2"/>
    </font>
    <font>
      <b/>
      <sz val="7.5"/>
      <name val="Arial"/>
      <family val="2"/>
    </font>
    <font>
      <sz val="10"/>
      <color indexed="47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Symbol"/>
      <family val="2"/>
      <charset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u/>
      <sz val="2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2" borderId="0" xfId="0" applyFont="1" applyFill="1"/>
    <xf numFmtId="0" fontId="8" fillId="2" borderId="0" xfId="0" applyFont="1" applyFill="1"/>
    <xf numFmtId="2" fontId="8" fillId="2" borderId="0" xfId="0" quotePrefix="1" applyNumberFormat="1" applyFont="1" applyFill="1"/>
    <xf numFmtId="0" fontId="8" fillId="2" borderId="0" xfId="0" quotePrefix="1" applyFont="1" applyFill="1"/>
    <xf numFmtId="12" fontId="5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0" xfId="0" applyNumberForma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2" fontId="10" fillId="2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horizontal="left" indent="5"/>
    </xf>
    <xf numFmtId="0" fontId="9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0" fillId="4" borderId="0" xfId="0" applyFill="1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0" fontId="13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right"/>
    </xf>
    <xf numFmtId="164" fontId="13" fillId="2" borderId="0" xfId="0" applyNumberFormat="1" applyFont="1" applyFill="1" applyAlignment="1">
      <alignment horizontal="center" vertical="center"/>
    </xf>
    <xf numFmtId="2" fontId="6" fillId="2" borderId="0" xfId="0" quotePrefix="1" applyNumberFormat="1" applyFont="1" applyFill="1" applyAlignment="1">
      <alignment horizontal="right"/>
    </xf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3" borderId="0" xfId="0" quotePrefix="1" applyFont="1" applyFill="1" applyAlignment="1">
      <alignment horizontal="center"/>
    </xf>
    <xf numFmtId="2" fontId="6" fillId="2" borderId="0" xfId="0" applyNumberFormat="1" applyFont="1" applyFill="1" applyAlignment="1">
      <alignment horizontal="center" vertical="center"/>
    </xf>
    <xf numFmtId="12" fontId="0" fillId="2" borderId="0" xfId="0" applyNumberFormat="1" applyFill="1" applyAlignment="1">
      <alignment horizontal="right" vertical="center"/>
    </xf>
    <xf numFmtId="0" fontId="15" fillId="2" borderId="3" xfId="0" applyFont="1" applyFill="1" applyBorder="1" applyAlignment="1">
      <alignment horizontal="left"/>
    </xf>
    <xf numFmtId="0" fontId="16" fillId="2" borderId="0" xfId="0" applyFont="1" applyFill="1"/>
    <xf numFmtId="0" fontId="16" fillId="4" borderId="0" xfId="0" applyFont="1" applyFill="1"/>
    <xf numFmtId="0" fontId="17" fillId="2" borderId="0" xfId="0" applyFont="1" applyFill="1"/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 vertical="center"/>
    </xf>
    <xf numFmtId="0" fontId="18" fillId="2" borderId="0" xfId="0" applyFont="1" applyFill="1"/>
    <xf numFmtId="0" fontId="19" fillId="2" borderId="0" xfId="0" applyFont="1" applyFill="1"/>
    <xf numFmtId="2" fontId="0" fillId="2" borderId="3" xfId="0" applyNumberFormat="1" applyFill="1" applyBorder="1" applyAlignment="1">
      <alignment horizontal="center"/>
    </xf>
    <xf numFmtId="2" fontId="16" fillId="2" borderId="0" xfId="0" applyNumberFormat="1" applyFont="1" applyFill="1" applyAlignment="1">
      <alignment horizontal="left" indent="5"/>
    </xf>
    <xf numFmtId="2" fontId="16" fillId="2" borderId="0" xfId="0" applyNumberFormat="1" applyFont="1" applyFill="1" applyAlignment="1">
      <alignment horizontal="left" indent="6"/>
    </xf>
    <xf numFmtId="12" fontId="16" fillId="2" borderId="0" xfId="0" applyNumberFormat="1" applyFont="1" applyFill="1" applyAlignment="1">
      <alignment horizontal="left" vertical="center" indent="4"/>
    </xf>
    <xf numFmtId="12" fontId="16" fillId="3" borderId="0" xfId="0" applyNumberFormat="1" applyFont="1" applyFill="1" applyAlignment="1">
      <alignment horizontal="left" vertical="center" indent="4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left"/>
    </xf>
    <xf numFmtId="0" fontId="16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2" fontId="2" fillId="2" borderId="0" xfId="0" applyNumberFormat="1" applyFont="1" applyFill="1"/>
    <xf numFmtId="164" fontId="0" fillId="3" borderId="0" xfId="0" applyNumberFormat="1" applyFill="1" applyAlignment="1">
      <alignment horizontal="center" vertical="center"/>
    </xf>
    <xf numFmtId="2" fontId="9" fillId="2" borderId="0" xfId="0" applyNumberFormat="1" applyFont="1" applyFill="1"/>
    <xf numFmtId="0" fontId="10" fillId="2" borderId="2" xfId="0" applyFont="1" applyFill="1" applyBorder="1"/>
    <xf numFmtId="0" fontId="10" fillId="2" borderId="4" xfId="0" applyFont="1" applyFill="1" applyBorder="1"/>
    <xf numFmtId="0" fontId="21" fillId="0" borderId="0" xfId="0" applyFont="1" applyAlignment="1">
      <alignment horizontal="right"/>
    </xf>
    <xf numFmtId="2" fontId="16" fillId="3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2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63</xdr:row>
      <xdr:rowOff>38100</xdr:rowOff>
    </xdr:from>
    <xdr:to>
      <xdr:col>6</xdr:col>
      <xdr:colOff>228600</xdr:colOff>
      <xdr:row>68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858625"/>
          <a:ext cx="3505200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723900</xdr:colOff>
      <xdr:row>22</xdr:row>
      <xdr:rowOff>197826</xdr:rowOff>
    </xdr:from>
    <xdr:to>
      <xdr:col>5</xdr:col>
      <xdr:colOff>630116</xdr:colOff>
      <xdr:row>27</xdr:row>
      <xdr:rowOff>190500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23900" y="3998301"/>
          <a:ext cx="4059116" cy="954699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190501</xdr:colOff>
      <xdr:row>23</xdr:row>
      <xdr:rowOff>0</xdr:rowOff>
    </xdr:from>
    <xdr:to>
      <xdr:col>1</xdr:col>
      <xdr:colOff>194554</xdr:colOff>
      <xdr:row>28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1057276" y="4000500"/>
          <a:ext cx="4053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401266</xdr:colOff>
      <xdr:row>23</xdr:row>
      <xdr:rowOff>4053</xdr:rowOff>
    </xdr:from>
    <xdr:to>
      <xdr:col>1</xdr:col>
      <xdr:colOff>404104</xdr:colOff>
      <xdr:row>28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1268041" y="4004553"/>
          <a:ext cx="2838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628651</xdr:colOff>
      <xdr:row>23</xdr:row>
      <xdr:rowOff>0</xdr:rowOff>
    </xdr:from>
    <xdr:to>
      <xdr:col>1</xdr:col>
      <xdr:colOff>636351</xdr:colOff>
      <xdr:row>28</xdr:row>
      <xdr:rowOff>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495426" y="4000500"/>
          <a:ext cx="770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850360</xdr:colOff>
      <xdr:row>23</xdr:row>
      <xdr:rowOff>0</xdr:rowOff>
    </xdr:from>
    <xdr:to>
      <xdr:col>1</xdr:col>
      <xdr:colOff>855224</xdr:colOff>
      <xdr:row>28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1717135" y="4000500"/>
          <a:ext cx="4864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171451</xdr:colOff>
      <xdr:row>23</xdr:row>
      <xdr:rowOff>8106</xdr:rowOff>
    </xdr:from>
    <xdr:to>
      <xdr:col>2</xdr:col>
      <xdr:colOff>178341</xdr:colOff>
      <xdr:row>28</xdr:row>
      <xdr:rowOff>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1943101" y="4008606"/>
          <a:ext cx="6890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390526</xdr:colOff>
      <xdr:row>23</xdr:row>
      <xdr:rowOff>4053</xdr:rowOff>
    </xdr:from>
    <xdr:to>
      <xdr:col>2</xdr:col>
      <xdr:colOff>393160</xdr:colOff>
      <xdr:row>28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2162176" y="4004553"/>
          <a:ext cx="2634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603926</xdr:colOff>
      <xdr:row>23</xdr:row>
      <xdr:rowOff>8106</xdr:rowOff>
    </xdr:from>
    <xdr:to>
      <xdr:col>2</xdr:col>
      <xdr:colOff>607980</xdr:colOff>
      <xdr:row>28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375576" y="4008606"/>
          <a:ext cx="4054" cy="9443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68872</xdr:colOff>
      <xdr:row>22</xdr:row>
      <xdr:rowOff>197826</xdr:rowOff>
    </xdr:from>
    <xdr:to>
      <xdr:col>3</xdr:col>
      <xdr:colOff>68872</xdr:colOff>
      <xdr:row>27</xdr:row>
      <xdr:rowOff>190500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2592997" y="3998301"/>
          <a:ext cx="0" cy="9546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303989</xdr:colOff>
      <xdr:row>23</xdr:row>
      <xdr:rowOff>0</xdr:rowOff>
    </xdr:from>
    <xdr:to>
      <xdr:col>3</xdr:col>
      <xdr:colOff>308042</xdr:colOff>
      <xdr:row>28</xdr:row>
      <xdr:rowOff>4053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828114" y="4000500"/>
          <a:ext cx="4053" cy="9565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522861</xdr:colOff>
      <xdr:row>23</xdr:row>
      <xdr:rowOff>8107</xdr:rowOff>
    </xdr:from>
    <xdr:to>
      <xdr:col>3</xdr:col>
      <xdr:colOff>526915</xdr:colOff>
      <xdr:row>28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3046986" y="4008607"/>
          <a:ext cx="4054" cy="9443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742951</xdr:colOff>
      <xdr:row>23</xdr:row>
      <xdr:rowOff>4053</xdr:rowOff>
    </xdr:from>
    <xdr:to>
      <xdr:col>3</xdr:col>
      <xdr:colOff>749840</xdr:colOff>
      <xdr:row>28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3267076" y="4004553"/>
          <a:ext cx="6889" cy="9484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344521</xdr:colOff>
      <xdr:row>25</xdr:row>
      <xdr:rowOff>97276</xdr:rowOff>
    </xdr:from>
    <xdr:to>
      <xdr:col>4</xdr:col>
      <xdr:colOff>782266</xdr:colOff>
      <xdr:row>25</xdr:row>
      <xdr:rowOff>101330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344521" y="4478776"/>
          <a:ext cx="3714345" cy="405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202660</xdr:colOff>
      <xdr:row>25</xdr:row>
      <xdr:rowOff>40532</xdr:rowOff>
    </xdr:from>
    <xdr:to>
      <xdr:col>0</xdr:col>
      <xdr:colOff>441798</xdr:colOff>
      <xdr:row>25</xdr:row>
      <xdr:rowOff>40532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02660" y="4422032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192935</xdr:colOff>
      <xdr:row>25</xdr:row>
      <xdr:rowOff>148349</xdr:rowOff>
    </xdr:from>
    <xdr:to>
      <xdr:col>0</xdr:col>
      <xdr:colOff>432073</xdr:colOff>
      <xdr:row>25</xdr:row>
      <xdr:rowOff>148349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92935" y="4529849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705255</xdr:colOff>
      <xdr:row>28</xdr:row>
      <xdr:rowOff>125649</xdr:rowOff>
    </xdr:from>
    <xdr:to>
      <xdr:col>3</xdr:col>
      <xdr:colOff>753893</xdr:colOff>
      <xdr:row>28</xdr:row>
      <xdr:rowOff>129703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705255" y="5078649"/>
          <a:ext cx="2572763" cy="405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4054</xdr:colOff>
      <xdr:row>28</xdr:row>
      <xdr:rowOff>124558</xdr:rowOff>
    </xdr:from>
    <xdr:to>
      <xdr:col>5</xdr:col>
      <xdr:colOff>622789</xdr:colOff>
      <xdr:row>28</xdr:row>
      <xdr:rowOff>125650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3280654" y="5077558"/>
          <a:ext cx="1495035" cy="10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796142</xdr:colOff>
      <xdr:row>22</xdr:row>
      <xdr:rowOff>197826</xdr:rowOff>
    </xdr:from>
    <xdr:to>
      <xdr:col>5</xdr:col>
      <xdr:colOff>808302</xdr:colOff>
      <xdr:row>28</xdr:row>
      <xdr:rowOff>8106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H="1" flipV="1">
          <a:off x="4949042" y="3998301"/>
          <a:ext cx="12160" cy="96280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31</xdr:row>
      <xdr:rowOff>170258</xdr:rowOff>
    </xdr:from>
    <xdr:ext cx="2084004" cy="250031"/>
    <xdr:sp macro="" textlink="">
      <xdr:nvSpPr>
        <xdr:cNvPr id="21" name="29 CuadroTexto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878646" y="5694758"/>
          <a:ext cx="2084004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twoCellAnchor>
    <xdr:from>
      <xdr:col>4</xdr:col>
      <xdr:colOff>0</xdr:colOff>
      <xdr:row>8</xdr:row>
      <xdr:rowOff>0</xdr:rowOff>
    </xdr:from>
    <xdr:to>
      <xdr:col>5</xdr:col>
      <xdr:colOff>737681</xdr:colOff>
      <xdr:row>8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3279032" y="794426"/>
          <a:ext cx="16131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336415</xdr:colOff>
      <xdr:row>9</xdr:row>
      <xdr:rowOff>5953</xdr:rowOff>
    </xdr:from>
    <xdr:to>
      <xdr:col>5</xdr:col>
      <xdr:colOff>392274</xdr:colOff>
      <xdr:row>9</xdr:row>
      <xdr:rowOff>12159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3615447" y="998985"/>
          <a:ext cx="931348" cy="62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8</xdr:row>
      <xdr:rowOff>1</xdr:rowOff>
    </xdr:from>
    <xdr:to>
      <xdr:col>4</xdr:col>
      <xdr:colOff>2</xdr:colOff>
      <xdr:row>10</xdr:row>
      <xdr:rowOff>3</xdr:rowOff>
    </xdr:to>
    <xdr:cxnSp macro="">
      <xdr:nvCxnSpPr>
        <xdr:cNvPr id="26" name="Conector: angula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rot="5400000" flipH="1" flipV="1">
          <a:off x="2930943" y="854494"/>
          <a:ext cx="400052" cy="2912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9</xdr:row>
      <xdr:rowOff>195509</xdr:rowOff>
    </xdr:from>
    <xdr:to>
      <xdr:col>3</xdr:col>
      <xdr:colOff>461213</xdr:colOff>
      <xdr:row>11</xdr:row>
      <xdr:rowOff>5013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rot="10800000" flipV="1">
          <a:off x="2443414" y="1195634"/>
          <a:ext cx="5419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11</xdr:row>
      <xdr:rowOff>6653</xdr:rowOff>
    </xdr:from>
    <xdr:to>
      <xdr:col>2</xdr:col>
      <xdr:colOff>668391</xdr:colOff>
      <xdr:row>13</xdr:row>
      <xdr:rowOff>12032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rot="5400000" flipH="1" flipV="1">
          <a:off x="2089622" y="1461838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13</xdr:row>
      <xdr:rowOff>12027</xdr:rowOff>
    </xdr:from>
    <xdr:to>
      <xdr:col>2</xdr:col>
      <xdr:colOff>372982</xdr:colOff>
      <xdr:row>14</xdr:row>
      <xdr:rowOff>22057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rot="10800000" flipV="1">
          <a:off x="1605716" y="1812252"/>
          <a:ext cx="538916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14</xdr:row>
      <xdr:rowOff>18684</xdr:rowOff>
    </xdr:from>
    <xdr:to>
      <xdr:col>1</xdr:col>
      <xdr:colOff>735567</xdr:colOff>
      <xdr:row>16</xdr:row>
      <xdr:rowOff>24063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rot="5400000" flipH="1" flipV="1">
          <a:off x="1251923" y="2073944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737152</xdr:colOff>
      <xdr:row>16</xdr:row>
      <xdr:rowOff>24056</xdr:rowOff>
    </xdr:from>
    <xdr:to>
      <xdr:col>1</xdr:col>
      <xdr:colOff>440166</xdr:colOff>
      <xdr:row>17</xdr:row>
      <xdr:rowOff>41413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rot="10800000" flipV="1">
          <a:off x="737152" y="2409447"/>
          <a:ext cx="572688" cy="21614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811530</xdr:colOff>
      <xdr:row>9</xdr:row>
      <xdr:rowOff>6570</xdr:rowOff>
    </xdr:from>
    <xdr:to>
      <xdr:col>4</xdr:col>
      <xdr:colOff>341586</xdr:colOff>
      <xdr:row>19</xdr:row>
      <xdr:rowOff>41910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811530" y="1016220"/>
          <a:ext cx="2814276" cy="20546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453390</xdr:colOff>
      <xdr:row>20</xdr:row>
      <xdr:rowOff>121920</xdr:rowOff>
    </xdr:from>
    <xdr:to>
      <xdr:col>0</xdr:col>
      <xdr:colOff>819150</xdr:colOff>
      <xdr:row>20</xdr:row>
      <xdr:rowOff>129540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453390" y="3352800"/>
          <a:ext cx="3657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819150</xdr:colOff>
      <xdr:row>20</xdr:row>
      <xdr:rowOff>113109</xdr:rowOff>
    </xdr:from>
    <xdr:to>
      <xdr:col>3</xdr:col>
      <xdr:colOff>744141</xdr:colOff>
      <xdr:row>20</xdr:row>
      <xdr:rowOff>125730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819150" y="3343989"/>
          <a:ext cx="2454831" cy="126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20</xdr:row>
      <xdr:rowOff>113110</xdr:rowOff>
    </xdr:from>
    <xdr:to>
      <xdr:col>5</xdr:col>
      <xdr:colOff>457200</xdr:colOff>
      <xdr:row>20</xdr:row>
      <xdr:rowOff>114300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3262313" y="3513535"/>
          <a:ext cx="1347787" cy="11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464582</xdr:colOff>
      <xdr:row>20</xdr:row>
      <xdr:rowOff>113109</xdr:rowOff>
    </xdr:from>
    <xdr:to>
      <xdr:col>5</xdr:col>
      <xdr:colOff>714613</xdr:colOff>
      <xdr:row>20</xdr:row>
      <xdr:rowOff>113109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4617482" y="3513534"/>
          <a:ext cx="25003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438150</xdr:colOff>
      <xdr:row>20</xdr:row>
      <xdr:rowOff>161420</xdr:rowOff>
    </xdr:from>
    <xdr:ext cx="424230" cy="240095"/>
    <xdr:sp macro="" textlink="">
      <xdr:nvSpPr>
        <xdr:cNvPr id="43" name="29 CuadroTexto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38150" y="3352295"/>
          <a:ext cx="42423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90401</xdr:colOff>
      <xdr:row>20</xdr:row>
      <xdr:rowOff>159954</xdr:rowOff>
    </xdr:from>
    <xdr:ext cx="348483" cy="240095"/>
    <xdr:sp macro="" textlink="">
      <xdr:nvSpPr>
        <xdr:cNvPr id="44" name="29 CuadroTexto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1862051" y="3560379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516241</xdr:colOff>
      <xdr:row>20</xdr:row>
      <xdr:rowOff>158489</xdr:rowOff>
    </xdr:from>
    <xdr:ext cx="348483" cy="240095"/>
    <xdr:sp macro="" textlink="">
      <xdr:nvSpPr>
        <xdr:cNvPr id="45" name="29 CuadroTexto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792841" y="3558914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383770</xdr:colOff>
      <xdr:row>20</xdr:row>
      <xdr:rowOff>157023</xdr:rowOff>
    </xdr:from>
    <xdr:ext cx="444905" cy="240095"/>
    <xdr:sp macro="" textlink="">
      <xdr:nvSpPr>
        <xdr:cNvPr id="46" name="29 CuadroTexto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4536670" y="3347898"/>
          <a:ext cx="444905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740020</xdr:colOff>
      <xdr:row>11</xdr:row>
      <xdr:rowOff>139212</xdr:rowOff>
    </xdr:from>
    <xdr:to>
      <xdr:col>3</xdr:col>
      <xdr:colOff>747347</xdr:colOff>
      <xdr:row>20</xdr:row>
      <xdr:rowOff>36634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flipH="1">
          <a:off x="3264145" y="1539387"/>
          <a:ext cx="7327" cy="18976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469218</xdr:colOff>
      <xdr:row>15</xdr:row>
      <xdr:rowOff>146539</xdr:rowOff>
    </xdr:from>
    <xdr:to>
      <xdr:col>5</xdr:col>
      <xdr:colOff>478009</xdr:colOff>
      <xdr:row>20</xdr:row>
      <xdr:rowOff>49823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H="1">
          <a:off x="4622118" y="2346814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724488</xdr:colOff>
      <xdr:row>15</xdr:row>
      <xdr:rowOff>145073</xdr:rowOff>
    </xdr:from>
    <xdr:to>
      <xdr:col>5</xdr:col>
      <xdr:colOff>733279</xdr:colOff>
      <xdr:row>20</xdr:row>
      <xdr:rowOff>48357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flipH="1">
          <a:off x="4877388" y="2345348"/>
          <a:ext cx="8791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681818</xdr:colOff>
      <xdr:row>32</xdr:row>
      <xdr:rowOff>170258</xdr:rowOff>
    </xdr:from>
    <xdr:ext cx="324260" cy="250031"/>
    <xdr:sp macro="" textlink="">
      <xdr:nvSpPr>
        <xdr:cNvPr id="54" name="29 CuadroTexto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4834718" y="5885258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402021</xdr:colOff>
      <xdr:row>45</xdr:row>
      <xdr:rowOff>171450</xdr:rowOff>
    </xdr:from>
    <xdr:ext cx="208400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29 CuadroTexto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1268796" y="8562975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14:m>
                <m:oMath xmlns:m="http://schemas.openxmlformats.org/officeDocument/2006/math">
                  <m:r>
                    <a:rPr lang="es-ES" sz="110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Calibri" panose="020F0502020204030204" pitchFamily="34" charset="0"/>
                    </a:rPr>
                    <m:t>𝜃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4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4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ES" sz="14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p>
                            <m:sSupPr>
                              <m:ctrlPr>
                                <a:rPr lang="es-ES" sz="14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CP</m:t>
                              </m:r>
                            </m:e>
                            <m:sup>
                              <m:r>
                                <a:rPr lang="es-ES" sz="1400" b="0" i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29 CuadroTexto">
              <a:extLst>
                <a:ext uri="{FF2B5EF4-FFF2-40B4-BE49-F238E27FC236}">
                  <a16:creationId xmlns:a16="http://schemas.microsoft.com/office/drawing/2014/main" id="{36F2EB74-0D98-420D-8D92-CD5DF5CDE84F}"/>
                </a:ext>
              </a:extLst>
            </xdr:cNvPr>
            <xdr:cNvSpPr txBox="1"/>
          </xdr:nvSpPr>
          <xdr:spPr>
            <a:xfrm>
              <a:off x="1268796" y="8562975"/>
              <a:ext cx="208400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cos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𝜃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/√(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2+CP^2 </a:t>
              </a:r>
              <a:r>
                <a:rPr lang="es-PE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459171</xdr:colOff>
      <xdr:row>50</xdr:row>
      <xdr:rowOff>38100</xdr:rowOff>
    </xdr:from>
    <xdr:ext cx="2084004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1325946" y="9382125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CP</m:t>
                      </m:r>
                    </m:num>
                    <m:den>
                      <m: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nor/>
                        </m:rPr>
                        <a:rPr lang="es-ES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cos</m:t>
                      </m:r>
                      <m:r>
                        <a:rPr lang="es-E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  <m:r>
                        <m:rPr>
                          <m:nor/>
                        </m:rPr>
                        <a:rPr lang="es-PE" sz="12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6BDD9FBD-E5F2-4356-814F-2A08CC5F36BB}"/>
                </a:ext>
              </a:extLst>
            </xdr:cNvPr>
            <xdr:cNvSpPr txBox="1"/>
          </xdr:nvSpPr>
          <xdr:spPr>
            <a:xfrm>
              <a:off x="1325946" y="9382125"/>
              <a:ext cx="2084004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hm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CP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"cos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𝜃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316295</xdr:colOff>
      <xdr:row>71</xdr:row>
      <xdr:rowOff>123825</xdr:rowOff>
    </xdr:from>
    <xdr:ext cx="1560129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29 CuadroTexto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1183070" y="13335000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7" name="29 CuadroTexto">
              <a:extLst>
                <a:ext uri="{FF2B5EF4-FFF2-40B4-BE49-F238E27FC236}">
                  <a16:creationId xmlns:a16="http://schemas.microsoft.com/office/drawing/2014/main" id="{86628ADF-1B9C-493D-B75E-8AD91CBD6449}"/>
                </a:ext>
              </a:extLst>
            </xdr:cNvPr>
            <xdr:cNvSpPr txBox="1"/>
          </xdr:nvSpPr>
          <xdr:spPr>
            <a:xfrm>
              <a:off x="1183070" y="13335000"/>
              <a:ext cx="156012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 =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297245</xdr:colOff>
      <xdr:row>73</xdr:row>
      <xdr:rowOff>142875</xdr:rowOff>
    </xdr:from>
    <xdr:ext cx="2388805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29 CuadroTexto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1164020" y="13735050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X</m:t>
                      </m:r>
                    </m:e>
                    <m:sup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29 CuadroTexto">
              <a:extLst>
                <a:ext uri="{FF2B5EF4-FFF2-40B4-BE49-F238E27FC236}">
                  <a16:creationId xmlns:a16="http://schemas.microsoft.com/office/drawing/2014/main" id="{7B6CC9D3-FF2B-454D-8736-FF56100EA982}"/>
                </a:ext>
              </a:extLst>
            </xdr:cNvPr>
            <xdr:cNvSpPr txBox="1"/>
          </xdr:nvSpPr>
          <xdr:spPr>
            <a:xfrm>
              <a:off x="1164020" y="13735050"/>
              <a:ext cx="2388805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X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Wu1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X^2/2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66529</xdr:colOff>
      <xdr:row>76</xdr:row>
      <xdr:rowOff>157951</xdr:rowOff>
    </xdr:from>
    <xdr:ext cx="1700887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29 CuadroTexto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934362" y="13842201"/>
              <a:ext cx="1700887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29 CuadroTexto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934362" y="13842201"/>
              <a:ext cx="1700887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Mdiseño</a:t>
              </a:r>
              <a:r>
                <a:rPr lang="es-ES" sz="14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4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1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α</a:t>
              </a:r>
              <a:r>
                <a:rPr lang="es-ES" sz="1400" b="0" i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Mmax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393160</xdr:colOff>
      <xdr:row>8</xdr:row>
      <xdr:rowOff>0</xdr:rowOff>
    </xdr:from>
    <xdr:to>
      <xdr:col>5</xdr:col>
      <xdr:colOff>737681</xdr:colOff>
      <xdr:row>10</xdr:row>
      <xdr:rowOff>190500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551030" y="795130"/>
          <a:ext cx="344521" cy="588066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192469</xdr:colOff>
      <xdr:row>91</xdr:row>
      <xdr:rowOff>133350</xdr:rowOff>
    </xdr:from>
    <xdr:ext cx="1737379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29 CuadroTexto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1062143" y="16259589"/>
              <a:ext cx="173737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14:m>
                <m:oMath xmlns:m="http://schemas.openxmlformats.org/officeDocument/2006/math">
                  <m:r>
                    <a:rPr lang="es-PE" sz="11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⋅</m:t>
                  </m:r>
                </m:oMath>
              </a14:m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29 CuadroTexto">
              <a:extLst>
                <a:ext uri="{FF2B5EF4-FFF2-40B4-BE49-F238E27FC236}">
                  <a16:creationId xmlns:a16="http://schemas.microsoft.com/office/drawing/2014/main" id="{8CEDA515-E253-42AE-A567-B57FD8B98084}"/>
                </a:ext>
              </a:extLst>
            </xdr:cNvPr>
            <xdr:cNvSpPr txBox="1"/>
          </xdr:nvSpPr>
          <xdr:spPr>
            <a:xfrm>
              <a:off x="1062143" y="16259589"/>
              <a:ext cx="173737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min1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0.0018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b 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endParaRPr lang="es-PE" sz="14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152400</xdr:colOff>
      <xdr:row>90</xdr:row>
      <xdr:rowOff>142875</xdr:rowOff>
    </xdr:from>
    <xdr:to>
      <xdr:col>6</xdr:col>
      <xdr:colOff>190500</xdr:colOff>
      <xdr:row>93</xdr:row>
      <xdr:rowOff>45287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3429000" y="16592550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10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400" i="1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0.7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ad>
                        <m:radPr>
                          <m:degHide m:val="on"/>
                          <m:ctrlPr>
                            <a:rPr lang="es-PE" sz="1400" i="1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400" i="1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400" i="0"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400" i="0"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c</m:t>
                          </m:r>
                        </m:e>
                      </m:rad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b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⋅</m:t>
                      </m:r>
                      <m:r>
                        <a:rPr lang="es-ES" sz="1400" b="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400" i="0"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</m:den>
                  </m:f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49A666EC-469B-4494-8FC8-F6504F108D19}"/>
                </a:ext>
              </a:extLst>
            </xdr:cNvPr>
            <xdr:cNvSpPr txBox="1"/>
          </xdr:nvSpPr>
          <xdr:spPr>
            <a:xfrm>
              <a:off x="3429000" y="16592550"/>
              <a:ext cx="1800225" cy="473912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4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4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13</xdr:col>
      <xdr:colOff>40481</xdr:colOff>
      <xdr:row>64</xdr:row>
      <xdr:rowOff>63082</xdr:rowOff>
    </xdr:from>
    <xdr:to>
      <xdr:col>16</xdr:col>
      <xdr:colOff>757238</xdr:colOff>
      <xdr:row>69</xdr:row>
      <xdr:rowOff>90487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9669" y="11624051"/>
          <a:ext cx="2895600" cy="848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447260</xdr:colOff>
      <xdr:row>11</xdr:row>
      <xdr:rowOff>58277</xdr:rowOff>
    </xdr:from>
    <xdr:to>
      <xdr:col>5</xdr:col>
      <xdr:colOff>562338</xdr:colOff>
      <xdr:row>12</xdr:row>
      <xdr:rowOff>49696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 flipV="1">
          <a:off x="4605130" y="1449755"/>
          <a:ext cx="115078" cy="19020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516321</xdr:colOff>
      <xdr:row>87</xdr:row>
      <xdr:rowOff>171451</xdr:rowOff>
    </xdr:from>
    <xdr:ext cx="1350579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29 CuadroTexto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1383096" y="16049626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2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Mu</m:t>
                      </m:r>
                    </m:num>
                    <m:den>
                      <m:r>
                        <m:rPr>
                          <m:nor/>
                        </m:rPr>
                        <a:rPr lang="el-GR" sz="1200" b="0" i="0" baseline="0">
                          <a:solidFill>
                            <a:schemeClr val="tx1"/>
                          </a:solidFill>
                          <a:effectLst/>
                          <a:latin typeface="Calibri" panose="020F0502020204030204" pitchFamily="34" charset="0"/>
                          <a:ea typeface="Cambria Math" panose="02040503050406030204" pitchFamily="18" charset="0"/>
                          <a:cs typeface="Calibri" panose="020F0502020204030204" pitchFamily="34" charset="0"/>
                        </a:rPr>
                        <m:t>φ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fy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(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a</m:t>
                      </m:r>
                      <m:r>
                        <a:rPr lang="es-ES" sz="1200" b="0" i="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/2)</m:t>
                      </m:r>
                    </m:den>
                  </m:f>
                </m:oMath>
              </a14:m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" name="29 CuadroTexto">
              <a:extLst>
                <a:ext uri="{FF2B5EF4-FFF2-40B4-BE49-F238E27FC236}">
                  <a16:creationId xmlns:a16="http://schemas.microsoft.com/office/drawing/2014/main" id="{544CA625-1187-46EE-8829-58CA71F01EF1}"/>
                </a:ext>
              </a:extLst>
            </xdr:cNvPr>
            <xdr:cNvSpPr txBox="1"/>
          </xdr:nvSpPr>
          <xdr:spPr>
            <a:xfrm>
              <a:off x="1383096" y="16049626"/>
              <a:ext cx="1350579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2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2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200" b="0" i="0" baseline="0">
                  <a:solidFill>
                    <a:schemeClr val="tx1"/>
                  </a:solidFill>
                  <a:effectLst/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φ</a:t>
              </a:r>
              <a:r>
                <a:rPr lang="es-ES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fy (d−a/2)</a:t>
              </a:r>
              <a:r>
                <a:rPr lang="es-PE" sz="12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4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602046</xdr:colOff>
      <xdr:row>84</xdr:row>
      <xdr:rowOff>114301</xdr:rowOff>
    </xdr:from>
    <xdr:ext cx="1350579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29 CuadroTexto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1468821" y="15420976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a:rPr lang="es-ES" sz="110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/2</m:t>
                  </m:r>
                </m:oMath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" name="29 CuadroTexto">
              <a:extLst>
                <a:ext uri="{FF2B5EF4-FFF2-40B4-BE49-F238E27FC236}">
                  <a16:creationId xmlns:a16="http://schemas.microsoft.com/office/drawing/2014/main" id="{3FF1606F-EEC0-4DF2-A111-64D27B156ADD}"/>
                </a:ext>
              </a:extLst>
            </xdr:cNvPr>
            <xdr:cNvSpPr txBox="1"/>
          </xdr:nvSpPr>
          <xdr:spPr>
            <a:xfrm>
              <a:off x="1468821" y="15420976"/>
              <a:ext cx="1350579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t 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- R -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410766</xdr:colOff>
      <xdr:row>12</xdr:row>
      <xdr:rowOff>130969</xdr:rowOff>
    </xdr:from>
    <xdr:to>
      <xdr:col>2</xdr:col>
      <xdr:colOff>558362</xdr:colOff>
      <xdr:row>13</xdr:row>
      <xdr:rowOff>151086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2182416" y="1731169"/>
          <a:ext cx="147596" cy="220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818019</xdr:colOff>
      <xdr:row>7</xdr:row>
      <xdr:rowOff>190501</xdr:rowOff>
    </xdr:from>
    <xdr:to>
      <xdr:col>5</xdr:col>
      <xdr:colOff>822239</xdr:colOff>
      <xdr:row>9</xdr:row>
      <xdr:rowOff>21566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 flipH="1" flipV="1">
          <a:off x="4970919" y="790576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831850</xdr:colOff>
      <xdr:row>12</xdr:row>
      <xdr:rowOff>0</xdr:rowOff>
    </xdr:from>
    <xdr:to>
      <xdr:col>2</xdr:col>
      <xdr:colOff>406400</xdr:colOff>
      <xdr:row>13</xdr:row>
      <xdr:rowOff>88900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1698625" y="1600200"/>
          <a:ext cx="479425" cy="288925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4571</xdr:colOff>
      <xdr:row>129</xdr:row>
      <xdr:rowOff>197689</xdr:rowOff>
    </xdr:from>
    <xdr:to>
      <xdr:col>5</xdr:col>
      <xdr:colOff>722463</xdr:colOff>
      <xdr:row>130</xdr:row>
      <xdr:rowOff>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V="1">
          <a:off x="3279014" y="24804538"/>
          <a:ext cx="1594911" cy="35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368085</xdr:colOff>
      <xdr:row>131</xdr:row>
      <xdr:rowOff>6458</xdr:rowOff>
    </xdr:from>
    <xdr:to>
      <xdr:col>5</xdr:col>
      <xdr:colOff>333378</xdr:colOff>
      <xdr:row>131</xdr:row>
      <xdr:rowOff>6806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3644685" y="23342708"/>
          <a:ext cx="841593" cy="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130</xdr:row>
      <xdr:rowOff>1</xdr:rowOff>
    </xdr:from>
    <xdr:to>
      <xdr:col>4</xdr:col>
      <xdr:colOff>2</xdr:colOff>
      <xdr:row>132</xdr:row>
      <xdr:rowOff>3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 rot="5400000" flipH="1" flipV="1">
          <a:off x="2930943" y="23190619"/>
          <a:ext cx="400052" cy="2912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131</xdr:row>
      <xdr:rowOff>195509</xdr:rowOff>
    </xdr:from>
    <xdr:to>
      <xdr:col>3</xdr:col>
      <xdr:colOff>461213</xdr:colOff>
      <xdr:row>133</xdr:row>
      <xdr:rowOff>5013</xdr:rowOff>
    </xdr:to>
    <xdr:cxnSp macro="">
      <xdr:nvCxnSpPr>
        <xdr:cNvPr id="77" name="Conector: angula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rot="10800000" flipV="1">
          <a:off x="2443414" y="23531759"/>
          <a:ext cx="541924" cy="20955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133</xdr:row>
      <xdr:rowOff>6653</xdr:rowOff>
    </xdr:from>
    <xdr:to>
      <xdr:col>2</xdr:col>
      <xdr:colOff>668391</xdr:colOff>
      <xdr:row>135</xdr:row>
      <xdr:rowOff>12032</xdr:rowOff>
    </xdr:to>
    <xdr:cxnSp macro="">
      <xdr:nvCxnSpPr>
        <xdr:cNvPr id="78" name="Conector: angula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 rot="5400000" flipH="1" flipV="1">
          <a:off x="2089622" y="23797963"/>
          <a:ext cx="405429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135</xdr:row>
      <xdr:rowOff>12027</xdr:rowOff>
    </xdr:from>
    <xdr:to>
      <xdr:col>2</xdr:col>
      <xdr:colOff>372982</xdr:colOff>
      <xdr:row>136</xdr:row>
      <xdr:rowOff>22057</xdr:rowOff>
    </xdr:to>
    <xdr:cxnSp macro="">
      <xdr:nvCxnSpPr>
        <xdr:cNvPr id="79" name="Conector: angula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/>
      </xdr:nvCxnSpPr>
      <xdr:spPr>
        <a:xfrm rot="10800000" flipV="1">
          <a:off x="1605716" y="24148377"/>
          <a:ext cx="538916" cy="20053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136</xdr:row>
      <xdr:rowOff>18684</xdr:rowOff>
    </xdr:from>
    <xdr:to>
      <xdr:col>1</xdr:col>
      <xdr:colOff>735567</xdr:colOff>
      <xdr:row>138</xdr:row>
      <xdr:rowOff>24063</xdr:rowOff>
    </xdr:to>
    <xdr:cxnSp macro="">
      <xdr:nvCxnSpPr>
        <xdr:cNvPr id="80" name="Conector: angula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 rot="5400000" flipH="1" flipV="1">
          <a:off x="1256686" y="24395781"/>
          <a:ext cx="395904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139</xdr:row>
      <xdr:rowOff>41985</xdr:rowOff>
    </xdr:from>
    <xdr:to>
      <xdr:col>0</xdr:col>
      <xdr:colOff>464346</xdr:colOff>
      <xdr:row>142</xdr:row>
      <xdr:rowOff>11906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459597" y="24959385"/>
          <a:ext cx="4749" cy="7604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786319</xdr:colOff>
      <xdr:row>131</xdr:row>
      <xdr:rowOff>8659</xdr:rowOff>
    </xdr:from>
    <xdr:to>
      <xdr:col>4</xdr:col>
      <xdr:colOff>368011</xdr:colOff>
      <xdr:row>141</xdr:row>
      <xdr:rowOff>44585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 flipV="1">
          <a:off x="786319" y="23111850"/>
          <a:ext cx="2860724" cy="20057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142</xdr:row>
      <xdr:rowOff>109904</xdr:rowOff>
    </xdr:from>
    <xdr:to>
      <xdr:col>0</xdr:col>
      <xdr:colOff>816890</xdr:colOff>
      <xdr:row>142</xdr:row>
      <xdr:rowOff>113008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>
          <a:off x="446942" y="25433489"/>
          <a:ext cx="369948" cy="310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813661</xdr:colOff>
      <xdr:row>142</xdr:row>
      <xdr:rowOff>113109</xdr:rowOff>
    </xdr:from>
    <xdr:to>
      <xdr:col>3</xdr:col>
      <xdr:colOff>744141</xdr:colOff>
      <xdr:row>142</xdr:row>
      <xdr:rowOff>116237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V="1">
          <a:off x="813661" y="25436694"/>
          <a:ext cx="2452183" cy="31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142</xdr:row>
      <xdr:rowOff>113110</xdr:rowOff>
    </xdr:from>
    <xdr:to>
      <xdr:col>5</xdr:col>
      <xdr:colOff>374543</xdr:colOff>
      <xdr:row>142</xdr:row>
      <xdr:rowOff>122695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/>
      </xdr:nvCxnSpPr>
      <xdr:spPr>
        <a:xfrm>
          <a:off x="3259891" y="25436695"/>
          <a:ext cx="1263677" cy="95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384229</xdr:colOff>
      <xdr:row>142</xdr:row>
      <xdr:rowOff>118552</xdr:rowOff>
    </xdr:from>
    <xdr:to>
      <xdr:col>5</xdr:col>
      <xdr:colOff>689034</xdr:colOff>
      <xdr:row>142</xdr:row>
      <xdr:rowOff>122695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4533254" y="25442137"/>
          <a:ext cx="304805" cy="41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740021</xdr:colOff>
      <xdr:row>139</xdr:row>
      <xdr:rowOff>53578</xdr:rowOff>
    </xdr:from>
    <xdr:to>
      <xdr:col>3</xdr:col>
      <xdr:colOff>744141</xdr:colOff>
      <xdr:row>142</xdr:row>
      <xdr:rowOff>36634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 flipH="1">
          <a:off x="3264146" y="24970978"/>
          <a:ext cx="4120" cy="7736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379861</xdr:colOff>
      <xdr:row>139</xdr:row>
      <xdr:rowOff>88280</xdr:rowOff>
    </xdr:from>
    <xdr:to>
      <xdr:col>5</xdr:col>
      <xdr:colOff>383825</xdr:colOff>
      <xdr:row>142</xdr:row>
      <xdr:rowOff>49823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 flipH="1">
          <a:off x="4528886" y="24811305"/>
          <a:ext cx="3964" cy="5621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687476</xdr:colOff>
      <xdr:row>139</xdr:row>
      <xdr:rowOff>69695</xdr:rowOff>
    </xdr:from>
    <xdr:to>
      <xdr:col>5</xdr:col>
      <xdr:colOff>690046</xdr:colOff>
      <xdr:row>142</xdr:row>
      <xdr:rowOff>48357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/>
      </xdr:nvCxnSpPr>
      <xdr:spPr>
        <a:xfrm flipH="1">
          <a:off x="4840376" y="24987095"/>
          <a:ext cx="2570" cy="7692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564696</xdr:colOff>
      <xdr:row>130</xdr:row>
      <xdr:rowOff>64634</xdr:rowOff>
    </xdr:from>
    <xdr:to>
      <xdr:col>4</xdr:col>
      <xdr:colOff>506866</xdr:colOff>
      <xdr:row>141</xdr:row>
      <xdr:rowOff>153080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/>
      </xdr:nvCxnSpPr>
      <xdr:spPr>
        <a:xfrm flipV="1">
          <a:off x="564696" y="23200859"/>
          <a:ext cx="3218770" cy="226967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510268</xdr:colOff>
      <xdr:row>130</xdr:row>
      <xdr:rowOff>60960</xdr:rowOff>
    </xdr:from>
    <xdr:to>
      <xdr:col>4</xdr:col>
      <xdr:colOff>800100</xdr:colOff>
      <xdr:row>130</xdr:row>
      <xdr:rowOff>64634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CxnSpPr/>
      </xdr:nvCxnSpPr>
      <xdr:spPr>
        <a:xfrm flipV="1">
          <a:off x="3786868" y="23197185"/>
          <a:ext cx="289832" cy="36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136071</xdr:colOff>
      <xdr:row>130</xdr:row>
      <xdr:rowOff>167268</xdr:rowOff>
    </xdr:from>
    <xdr:to>
      <xdr:col>5</xdr:col>
      <xdr:colOff>678365</xdr:colOff>
      <xdr:row>130</xdr:row>
      <xdr:rowOff>173492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/>
      </xdr:nvCxnSpPr>
      <xdr:spPr>
        <a:xfrm flipV="1">
          <a:off x="3412671" y="23303493"/>
          <a:ext cx="1418594" cy="622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627920</xdr:colOff>
      <xdr:row>130</xdr:row>
      <xdr:rowOff>173183</xdr:rowOff>
    </xdr:from>
    <xdr:to>
      <xdr:col>4</xdr:col>
      <xdr:colOff>138682</xdr:colOff>
      <xdr:row>131</xdr:row>
      <xdr:rowOff>168853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/>
      </xdr:nvCxnSpPr>
      <xdr:spPr>
        <a:xfrm flipH="1">
          <a:off x="3152045" y="23309408"/>
          <a:ext cx="263237" cy="1956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271221</xdr:colOff>
      <xdr:row>130</xdr:row>
      <xdr:rowOff>27878</xdr:rowOff>
    </xdr:from>
    <xdr:to>
      <xdr:col>5</xdr:col>
      <xdr:colOff>678365</xdr:colOff>
      <xdr:row>130</xdr:row>
      <xdr:rowOff>29058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CxnSpPr/>
      </xdr:nvCxnSpPr>
      <xdr:spPr>
        <a:xfrm flipH="1">
          <a:off x="3547821" y="23164103"/>
          <a:ext cx="1283444" cy="11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510268</xdr:colOff>
      <xdr:row>130</xdr:row>
      <xdr:rowOff>28575</xdr:rowOff>
    </xdr:from>
    <xdr:to>
      <xdr:col>4</xdr:col>
      <xdr:colOff>271463</xdr:colOff>
      <xdr:row>140</xdr:row>
      <xdr:rowOff>197306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CxnSpPr/>
      </xdr:nvCxnSpPr>
      <xdr:spPr>
        <a:xfrm flipV="1">
          <a:off x="510268" y="23717250"/>
          <a:ext cx="3037795" cy="21499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510702</xdr:colOff>
      <xdr:row>140</xdr:row>
      <xdr:rowOff>200218</xdr:rowOff>
    </xdr:from>
    <xdr:to>
      <xdr:col>0</xdr:col>
      <xdr:colOff>510702</xdr:colOff>
      <xdr:row>142</xdr:row>
      <xdr:rowOff>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CxnSpPr/>
      </xdr:nvCxnSpPr>
      <xdr:spPr>
        <a:xfrm>
          <a:off x="510702" y="25317643"/>
          <a:ext cx="0" cy="3642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563394</xdr:colOff>
      <xdr:row>141</xdr:row>
      <xdr:rowOff>155568</xdr:rowOff>
    </xdr:from>
    <xdr:to>
      <xdr:col>0</xdr:col>
      <xdr:colOff>564696</xdr:colOff>
      <xdr:row>142</xdr:row>
      <xdr:rowOff>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CxnSpPr/>
      </xdr:nvCxnSpPr>
      <xdr:spPr>
        <a:xfrm flipH="1">
          <a:off x="563394" y="25473018"/>
          <a:ext cx="1302" cy="22256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130</xdr:row>
      <xdr:rowOff>26670</xdr:rowOff>
    </xdr:from>
    <xdr:to>
      <xdr:col>5</xdr:col>
      <xdr:colOff>156209</xdr:colOff>
      <xdr:row>130</xdr:row>
      <xdr:rowOff>72389</xdr:rowOff>
    </xdr:to>
    <xdr:sp macro="" textlink="">
      <xdr:nvSpPr>
        <xdr:cNvPr id="105" name="Diagrama de flujo: conector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4263390" y="2316289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739140</xdr:colOff>
      <xdr:row>130</xdr:row>
      <xdr:rowOff>26670</xdr:rowOff>
    </xdr:from>
    <xdr:to>
      <xdr:col>4</xdr:col>
      <xdr:colOff>784859</xdr:colOff>
      <xdr:row>130</xdr:row>
      <xdr:rowOff>72389</xdr:rowOff>
    </xdr:to>
    <xdr:sp macro="" textlink="">
      <xdr:nvSpPr>
        <xdr:cNvPr id="106" name="Diagrama de flujo: conector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4015740" y="2316289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495300</xdr:colOff>
      <xdr:row>130</xdr:row>
      <xdr:rowOff>22860</xdr:rowOff>
    </xdr:from>
    <xdr:to>
      <xdr:col>4</xdr:col>
      <xdr:colOff>541019</xdr:colOff>
      <xdr:row>130</xdr:row>
      <xdr:rowOff>68579</xdr:rowOff>
    </xdr:to>
    <xdr:sp macro="" textlink="">
      <xdr:nvSpPr>
        <xdr:cNvPr id="107" name="Diagrama de flujo: conector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3771900" y="2315908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274320</xdr:colOff>
      <xdr:row>130</xdr:row>
      <xdr:rowOff>30478</xdr:rowOff>
    </xdr:from>
    <xdr:to>
      <xdr:col>4</xdr:col>
      <xdr:colOff>320039</xdr:colOff>
      <xdr:row>130</xdr:row>
      <xdr:rowOff>76197</xdr:rowOff>
    </xdr:to>
    <xdr:sp macro="" textlink="">
      <xdr:nvSpPr>
        <xdr:cNvPr id="108" name="Diagrama de flujo: conector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3550920" y="23719153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137160</xdr:colOff>
      <xdr:row>130</xdr:row>
      <xdr:rowOff>118110</xdr:rowOff>
    </xdr:from>
    <xdr:to>
      <xdr:col>4</xdr:col>
      <xdr:colOff>182879</xdr:colOff>
      <xdr:row>130</xdr:row>
      <xdr:rowOff>163829</xdr:rowOff>
    </xdr:to>
    <xdr:sp macro="" textlink="">
      <xdr:nvSpPr>
        <xdr:cNvPr id="109" name="Diagrama de flujo: conector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3413760" y="2325433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632460</xdr:colOff>
      <xdr:row>131</xdr:row>
      <xdr:rowOff>102870</xdr:rowOff>
    </xdr:from>
    <xdr:to>
      <xdr:col>3</xdr:col>
      <xdr:colOff>678179</xdr:colOff>
      <xdr:row>131</xdr:row>
      <xdr:rowOff>148589</xdr:rowOff>
    </xdr:to>
    <xdr:sp macro="" textlink="">
      <xdr:nvSpPr>
        <xdr:cNvPr id="110" name="Diagrama de flujo: conector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3156585" y="2343912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365760</xdr:colOff>
      <xdr:row>132</xdr:row>
      <xdr:rowOff>91440</xdr:rowOff>
    </xdr:from>
    <xdr:to>
      <xdr:col>3</xdr:col>
      <xdr:colOff>411479</xdr:colOff>
      <xdr:row>132</xdr:row>
      <xdr:rowOff>137159</xdr:rowOff>
    </xdr:to>
    <xdr:sp macro="" textlink="">
      <xdr:nvSpPr>
        <xdr:cNvPr id="111" name="Diagrama de flujo: conector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2889885" y="2362771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119539</xdr:colOff>
      <xdr:row>133</xdr:row>
      <xdr:rowOff>66199</xdr:rowOff>
    </xdr:from>
    <xdr:to>
      <xdr:col>3</xdr:col>
      <xdr:colOff>165258</xdr:colOff>
      <xdr:row>133</xdr:row>
      <xdr:rowOff>111918</xdr:rowOff>
    </xdr:to>
    <xdr:sp macro="" textlink="">
      <xdr:nvSpPr>
        <xdr:cNvPr id="112" name="Diagrama de flujo: conector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2643664" y="24354949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106680</xdr:colOff>
      <xdr:row>130</xdr:row>
      <xdr:rowOff>125730</xdr:rowOff>
    </xdr:from>
    <xdr:to>
      <xdr:col>5</xdr:col>
      <xdr:colOff>152399</xdr:colOff>
      <xdr:row>130</xdr:row>
      <xdr:rowOff>171449</xdr:rowOff>
    </xdr:to>
    <xdr:sp macro="" textlink="">
      <xdr:nvSpPr>
        <xdr:cNvPr id="113" name="Diagrama de flujo: conector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4259580" y="2326195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731520</xdr:colOff>
      <xdr:row>130</xdr:row>
      <xdr:rowOff>129540</xdr:rowOff>
    </xdr:from>
    <xdr:to>
      <xdr:col>4</xdr:col>
      <xdr:colOff>777239</xdr:colOff>
      <xdr:row>130</xdr:row>
      <xdr:rowOff>175259</xdr:rowOff>
    </xdr:to>
    <xdr:sp macro="" textlink="">
      <xdr:nvSpPr>
        <xdr:cNvPr id="114" name="Diagrama de flujo: conector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4008120" y="2326576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445770</xdr:colOff>
      <xdr:row>130</xdr:row>
      <xdr:rowOff>125730</xdr:rowOff>
    </xdr:from>
    <xdr:to>
      <xdr:col>4</xdr:col>
      <xdr:colOff>491489</xdr:colOff>
      <xdr:row>130</xdr:row>
      <xdr:rowOff>171449</xdr:rowOff>
    </xdr:to>
    <xdr:sp macro="" textlink="">
      <xdr:nvSpPr>
        <xdr:cNvPr id="115" name="Diagrama de flujo: conector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3722370" y="2326195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208325</xdr:colOff>
      <xdr:row>131</xdr:row>
      <xdr:rowOff>10206</xdr:rowOff>
    </xdr:from>
    <xdr:to>
      <xdr:col>4</xdr:col>
      <xdr:colOff>254044</xdr:colOff>
      <xdr:row>131</xdr:row>
      <xdr:rowOff>54700</xdr:rowOff>
    </xdr:to>
    <xdr:sp macro="" textlink="">
      <xdr:nvSpPr>
        <xdr:cNvPr id="116" name="Diagrama de flujo: conector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3484925" y="23346456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699407</xdr:colOff>
      <xdr:row>131</xdr:row>
      <xdr:rowOff>196079</xdr:rowOff>
    </xdr:from>
    <xdr:to>
      <xdr:col>3</xdr:col>
      <xdr:colOff>745126</xdr:colOff>
      <xdr:row>132</xdr:row>
      <xdr:rowOff>39868</xdr:rowOff>
    </xdr:to>
    <xdr:sp macro="" textlink="">
      <xdr:nvSpPr>
        <xdr:cNvPr id="117" name="Diagrama de flujo: conector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3223532" y="23532329"/>
          <a:ext cx="45719" cy="4381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439919</xdr:colOff>
      <xdr:row>132</xdr:row>
      <xdr:rowOff>180838</xdr:rowOff>
    </xdr:from>
    <xdr:to>
      <xdr:col>3</xdr:col>
      <xdr:colOff>485638</xdr:colOff>
      <xdr:row>133</xdr:row>
      <xdr:rowOff>24627</xdr:rowOff>
    </xdr:to>
    <xdr:sp macro="" textlink="">
      <xdr:nvSpPr>
        <xdr:cNvPr id="118" name="Diagrama de flujo: conector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964044" y="23717113"/>
          <a:ext cx="45719" cy="4381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195671</xdr:colOff>
      <xdr:row>133</xdr:row>
      <xdr:rowOff>154577</xdr:rowOff>
    </xdr:from>
    <xdr:to>
      <xdr:col>3</xdr:col>
      <xdr:colOff>241390</xdr:colOff>
      <xdr:row>133</xdr:row>
      <xdr:rowOff>200296</xdr:rowOff>
    </xdr:to>
    <xdr:sp macro="" textlink="">
      <xdr:nvSpPr>
        <xdr:cNvPr id="119" name="Diagrama de flujo: conector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719796" y="23890877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688333</xdr:colOff>
      <xdr:row>134</xdr:row>
      <xdr:rowOff>139450</xdr:rowOff>
    </xdr:from>
    <xdr:to>
      <xdr:col>2</xdr:col>
      <xdr:colOff>734052</xdr:colOff>
      <xdr:row>134</xdr:row>
      <xdr:rowOff>185169</xdr:rowOff>
    </xdr:to>
    <xdr:sp macro="" textlink="">
      <xdr:nvSpPr>
        <xdr:cNvPr id="120" name="Diagrama de flujo: conector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2459983" y="2407577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424085</xdr:colOff>
      <xdr:row>135</xdr:row>
      <xdr:rowOff>128485</xdr:rowOff>
    </xdr:from>
    <xdr:to>
      <xdr:col>2</xdr:col>
      <xdr:colOff>469804</xdr:colOff>
      <xdr:row>135</xdr:row>
      <xdr:rowOff>172067</xdr:rowOff>
    </xdr:to>
    <xdr:sp macro="" textlink="">
      <xdr:nvSpPr>
        <xdr:cNvPr id="121" name="Diagrama de flujo: conector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195735" y="24264835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186119</xdr:colOff>
      <xdr:row>136</xdr:row>
      <xdr:rowOff>99770</xdr:rowOff>
    </xdr:from>
    <xdr:to>
      <xdr:col>2</xdr:col>
      <xdr:colOff>231838</xdr:colOff>
      <xdr:row>136</xdr:row>
      <xdr:rowOff>143352</xdr:rowOff>
    </xdr:to>
    <xdr:sp macro="" textlink="">
      <xdr:nvSpPr>
        <xdr:cNvPr id="122" name="Diagrama de flujo: conector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1957769" y="24426620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840434</xdr:colOff>
      <xdr:row>137</xdr:row>
      <xdr:rowOff>77182</xdr:rowOff>
    </xdr:from>
    <xdr:to>
      <xdr:col>1</xdr:col>
      <xdr:colOff>886153</xdr:colOff>
      <xdr:row>137</xdr:row>
      <xdr:rowOff>120763</xdr:rowOff>
    </xdr:to>
    <xdr:sp macro="" textlink="">
      <xdr:nvSpPr>
        <xdr:cNvPr id="123" name="Diagrama de flujo: conector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1705756" y="24399835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606950</xdr:colOff>
      <xdr:row>138</xdr:row>
      <xdr:rowOff>44672</xdr:rowOff>
    </xdr:from>
    <xdr:to>
      <xdr:col>1</xdr:col>
      <xdr:colOff>652669</xdr:colOff>
      <xdr:row>138</xdr:row>
      <xdr:rowOff>88253</xdr:rowOff>
    </xdr:to>
    <xdr:sp macro="" textlink="">
      <xdr:nvSpPr>
        <xdr:cNvPr id="124" name="Diagrama de flujo: conector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1473725" y="2476204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395358</xdr:colOff>
      <xdr:row>138</xdr:row>
      <xdr:rowOff>193670</xdr:rowOff>
    </xdr:from>
    <xdr:to>
      <xdr:col>1</xdr:col>
      <xdr:colOff>441077</xdr:colOff>
      <xdr:row>139</xdr:row>
      <xdr:rowOff>36545</xdr:rowOff>
    </xdr:to>
    <xdr:sp macro="" textlink="">
      <xdr:nvSpPr>
        <xdr:cNvPr id="125" name="Diagrama de flujo: conector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1262133" y="24911045"/>
          <a:ext cx="45719" cy="429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176965</xdr:colOff>
      <xdr:row>139</xdr:row>
      <xdr:rowOff>152168</xdr:rowOff>
    </xdr:from>
    <xdr:to>
      <xdr:col>1</xdr:col>
      <xdr:colOff>222684</xdr:colOff>
      <xdr:row>139</xdr:row>
      <xdr:rowOff>195749</xdr:rowOff>
    </xdr:to>
    <xdr:sp macro="" textlink="">
      <xdr:nvSpPr>
        <xdr:cNvPr id="126" name="Diagrama de flujo: conector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1043740" y="2506956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846436</xdr:colOff>
      <xdr:row>140</xdr:row>
      <xdr:rowOff>90256</xdr:rowOff>
    </xdr:from>
    <xdr:to>
      <xdr:col>1</xdr:col>
      <xdr:colOff>24700</xdr:colOff>
      <xdr:row>140</xdr:row>
      <xdr:rowOff>133837</xdr:rowOff>
    </xdr:to>
    <xdr:sp macro="" textlink="">
      <xdr:nvSpPr>
        <xdr:cNvPr id="127" name="Diagrama de flujo: conector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846436" y="25207681"/>
          <a:ext cx="4503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651853</xdr:colOff>
      <xdr:row>141</xdr:row>
      <xdr:rowOff>21539</xdr:rowOff>
    </xdr:from>
    <xdr:to>
      <xdr:col>0</xdr:col>
      <xdr:colOff>697572</xdr:colOff>
      <xdr:row>141</xdr:row>
      <xdr:rowOff>65120</xdr:rowOff>
    </xdr:to>
    <xdr:sp macro="" textlink="">
      <xdr:nvSpPr>
        <xdr:cNvPr id="128" name="Diagrama de flujo: conector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651853" y="2533898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596744</xdr:colOff>
      <xdr:row>140</xdr:row>
      <xdr:rowOff>129716</xdr:rowOff>
    </xdr:from>
    <xdr:to>
      <xdr:col>0</xdr:col>
      <xdr:colOff>642463</xdr:colOff>
      <xdr:row>140</xdr:row>
      <xdr:rowOff>173297</xdr:rowOff>
    </xdr:to>
    <xdr:sp macro="" textlink="">
      <xdr:nvSpPr>
        <xdr:cNvPr id="130" name="Diagrama de flujo: conector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596744" y="25247141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825656</xdr:colOff>
      <xdr:row>139</xdr:row>
      <xdr:rowOff>161209</xdr:rowOff>
    </xdr:from>
    <xdr:to>
      <xdr:col>1</xdr:col>
      <xdr:colOff>6053</xdr:colOff>
      <xdr:row>140</xdr:row>
      <xdr:rowOff>4085</xdr:rowOff>
    </xdr:to>
    <xdr:sp macro="" textlink="">
      <xdr:nvSpPr>
        <xdr:cNvPr id="131" name="Diagrama de flujo: conector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825656" y="24884234"/>
          <a:ext cx="45719" cy="43063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151424</xdr:colOff>
      <xdr:row>139</xdr:row>
      <xdr:rowOff>37717</xdr:rowOff>
    </xdr:from>
    <xdr:to>
      <xdr:col>1</xdr:col>
      <xdr:colOff>197143</xdr:colOff>
      <xdr:row>139</xdr:row>
      <xdr:rowOff>81298</xdr:rowOff>
    </xdr:to>
    <xdr:sp macro="" textlink="">
      <xdr:nvSpPr>
        <xdr:cNvPr id="132" name="Diagrama de flujo: conector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1016746" y="2476074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369132</xdr:colOff>
      <xdr:row>138</xdr:row>
      <xdr:rowOff>92314</xdr:rowOff>
    </xdr:from>
    <xdr:to>
      <xdr:col>1</xdr:col>
      <xdr:colOff>414851</xdr:colOff>
      <xdr:row>138</xdr:row>
      <xdr:rowOff>135895</xdr:rowOff>
    </xdr:to>
    <xdr:sp macro="" textlink="">
      <xdr:nvSpPr>
        <xdr:cNvPr id="133" name="Diagrama de flujo: conector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1235907" y="25362139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562031</xdr:colOff>
      <xdr:row>137</xdr:row>
      <xdr:rowOff>142995</xdr:rowOff>
    </xdr:from>
    <xdr:to>
      <xdr:col>1</xdr:col>
      <xdr:colOff>607750</xdr:colOff>
      <xdr:row>137</xdr:row>
      <xdr:rowOff>186057</xdr:rowOff>
    </xdr:to>
    <xdr:sp macro="" textlink="">
      <xdr:nvSpPr>
        <xdr:cNvPr id="134" name="Diagrama de flujo: conector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1428806" y="25212795"/>
          <a:ext cx="45719" cy="4306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773299</xdr:colOff>
      <xdr:row>136</xdr:row>
      <xdr:rowOff>185847</xdr:rowOff>
    </xdr:from>
    <xdr:to>
      <xdr:col>1</xdr:col>
      <xdr:colOff>819018</xdr:colOff>
      <xdr:row>137</xdr:row>
      <xdr:rowOff>38928</xdr:rowOff>
    </xdr:to>
    <xdr:sp macro="" textlink="">
      <xdr:nvSpPr>
        <xdr:cNvPr id="135" name="Diagrama de flujo: conector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1640074" y="2506514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0</xdr:col>
      <xdr:colOff>521225</xdr:colOff>
      <xdr:row>141</xdr:row>
      <xdr:rowOff>159647</xdr:rowOff>
    </xdr:from>
    <xdr:to>
      <xdr:col>0</xdr:col>
      <xdr:colOff>566944</xdr:colOff>
      <xdr:row>142</xdr:row>
      <xdr:rowOff>0</xdr:rowOff>
    </xdr:to>
    <xdr:sp macro="" textlink="">
      <xdr:nvSpPr>
        <xdr:cNvPr id="136" name="Diagrama de flujo: conector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1225" y="25477097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384073</xdr:colOff>
      <xdr:row>136</xdr:row>
      <xdr:rowOff>21508</xdr:rowOff>
    </xdr:from>
    <xdr:to>
      <xdr:col>2</xdr:col>
      <xdr:colOff>734786</xdr:colOff>
      <xdr:row>138</xdr:row>
      <xdr:rowOff>1</xdr:rowOff>
    </xdr:to>
    <xdr:cxnSp macro="">
      <xdr:nvCxnSpPr>
        <xdr:cNvPr id="137" name="Conector: curvado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CxnSpPr/>
      </xdr:nvCxnSpPr>
      <xdr:spPr>
        <a:xfrm rot="16200000" flipV="1">
          <a:off x="2146571" y="24357510"/>
          <a:ext cx="369018" cy="35071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294967</xdr:colOff>
      <xdr:row>130</xdr:row>
      <xdr:rowOff>168732</xdr:rowOff>
    </xdr:from>
    <xdr:to>
      <xdr:col>4</xdr:col>
      <xdr:colOff>576944</xdr:colOff>
      <xdr:row>134</xdr:row>
      <xdr:rowOff>3074</xdr:rowOff>
    </xdr:to>
    <xdr:cxnSp macro="">
      <xdr:nvCxnSpPr>
        <xdr:cNvPr id="138" name="Conector: curvado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CxnSpPr/>
      </xdr:nvCxnSpPr>
      <xdr:spPr>
        <a:xfrm rot="5400000" flipH="1" flipV="1">
          <a:off x="3395335" y="23481189"/>
          <a:ext cx="634442" cy="2819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346363</xdr:colOff>
      <xdr:row>131</xdr:row>
      <xdr:rowOff>12989</xdr:rowOff>
    </xdr:from>
    <xdr:to>
      <xdr:col>2</xdr:col>
      <xdr:colOff>713794</xdr:colOff>
      <xdr:row>133</xdr:row>
      <xdr:rowOff>183779</xdr:rowOff>
    </xdr:to>
    <xdr:cxnSp macro="">
      <xdr:nvCxnSpPr>
        <xdr:cNvPr id="139" name="Conector: curvado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CxnSpPr/>
      </xdr:nvCxnSpPr>
      <xdr:spPr>
        <a:xfrm rot="16200000" flipH="1">
          <a:off x="2016309" y="23982611"/>
          <a:ext cx="569108" cy="36743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581095</xdr:colOff>
      <xdr:row>133</xdr:row>
      <xdr:rowOff>75860</xdr:rowOff>
    </xdr:from>
    <xdr:to>
      <xdr:col>5</xdr:col>
      <xdr:colOff>849541</xdr:colOff>
      <xdr:row>135</xdr:row>
      <xdr:rowOff>56687</xdr:rowOff>
    </xdr:to>
    <xdr:cxnSp macro="">
      <xdr:nvCxnSpPr>
        <xdr:cNvPr id="141" name="Conector: curvado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CxnSpPr>
          <a:cxnSpLocks/>
        </xdr:cNvCxnSpPr>
      </xdr:nvCxnSpPr>
      <xdr:spPr>
        <a:xfrm rot="16200000" flipV="1">
          <a:off x="4677779" y="23868376"/>
          <a:ext cx="380877" cy="26844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234695</xdr:colOff>
      <xdr:row>133</xdr:row>
      <xdr:rowOff>193601</xdr:rowOff>
    </xdr:from>
    <xdr:to>
      <xdr:col>3</xdr:col>
      <xdr:colOff>712839</xdr:colOff>
      <xdr:row>137</xdr:row>
      <xdr:rowOff>113686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CxnSpPr>
          <a:endCxn id="119" idx="5"/>
        </xdr:cNvCxnSpPr>
      </xdr:nvCxnSpPr>
      <xdr:spPr>
        <a:xfrm flipH="1" flipV="1">
          <a:off x="2758820" y="23929901"/>
          <a:ext cx="478144" cy="7011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722006</xdr:colOff>
      <xdr:row>134</xdr:row>
      <xdr:rowOff>170863</xdr:rowOff>
    </xdr:from>
    <xdr:to>
      <xdr:col>3</xdr:col>
      <xdr:colOff>712839</xdr:colOff>
      <xdr:row>137</xdr:row>
      <xdr:rowOff>116758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CxnSpPr/>
      </xdr:nvCxnSpPr>
      <xdr:spPr>
        <a:xfrm flipH="1" flipV="1">
          <a:off x="2493656" y="24107188"/>
          <a:ext cx="743308" cy="526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134</xdr:row>
      <xdr:rowOff>11430</xdr:rowOff>
    </xdr:from>
    <xdr:to>
      <xdr:col>2</xdr:col>
      <xdr:colOff>124367</xdr:colOff>
      <xdr:row>136</xdr:row>
      <xdr:rowOff>26306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CxnSpPr/>
      </xdr:nvCxnSpPr>
      <xdr:spPr>
        <a:xfrm>
          <a:off x="1497330" y="24551640"/>
          <a:ext cx="402497" cy="4073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134</xdr:row>
      <xdr:rowOff>11430</xdr:rowOff>
    </xdr:from>
    <xdr:to>
      <xdr:col>1</xdr:col>
      <xdr:colOff>779994</xdr:colOff>
      <xdr:row>137</xdr:row>
      <xdr:rowOff>1729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CxnSpPr>
          <a:endCxn id="135" idx="1"/>
        </xdr:cNvCxnSpPr>
      </xdr:nvCxnSpPr>
      <xdr:spPr>
        <a:xfrm>
          <a:off x="1495425" y="24500205"/>
          <a:ext cx="151344" cy="5713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595312</xdr:colOff>
      <xdr:row>128</xdr:row>
      <xdr:rowOff>190499</xdr:rowOff>
    </xdr:from>
    <xdr:to>
      <xdr:col>4</xdr:col>
      <xdr:colOff>143855</xdr:colOff>
      <xdr:row>130</xdr:row>
      <xdr:rowOff>124805</xdr:rowOff>
    </xdr:to>
    <xdr:cxnSp macro="">
      <xdr:nvCxnSpPr>
        <xdr:cNvPr id="146" name="Conector recto de flecha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>
          <a:endCxn id="109" idx="1"/>
        </xdr:cNvCxnSpPr>
      </xdr:nvCxnSpPr>
      <xdr:spPr>
        <a:xfrm>
          <a:off x="3119437" y="22926674"/>
          <a:ext cx="301018" cy="3343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595313</xdr:colOff>
      <xdr:row>128</xdr:row>
      <xdr:rowOff>193902</xdr:rowOff>
    </xdr:from>
    <xdr:to>
      <xdr:col>3</xdr:col>
      <xdr:colOff>655320</xdr:colOff>
      <xdr:row>131</xdr:row>
      <xdr:rowOff>102870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>
          <a:endCxn id="110" idx="0"/>
        </xdr:cNvCxnSpPr>
      </xdr:nvCxnSpPr>
      <xdr:spPr>
        <a:xfrm>
          <a:off x="3119438" y="22930077"/>
          <a:ext cx="60007" cy="509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645974</xdr:colOff>
      <xdr:row>138</xdr:row>
      <xdr:rowOff>81871</xdr:rowOff>
    </xdr:from>
    <xdr:to>
      <xdr:col>2</xdr:col>
      <xdr:colOff>5013</xdr:colOff>
      <xdr:row>140</xdr:row>
      <xdr:rowOff>95251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CxnSpPr>
          <a:endCxn id="124" idx="5"/>
        </xdr:cNvCxnSpPr>
      </xdr:nvCxnSpPr>
      <xdr:spPr>
        <a:xfrm flipH="1" flipV="1">
          <a:off x="1512749" y="25351696"/>
          <a:ext cx="263914" cy="413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434382</xdr:colOff>
      <xdr:row>139</xdr:row>
      <xdr:rowOff>30189</xdr:rowOff>
    </xdr:from>
    <xdr:to>
      <xdr:col>2</xdr:col>
      <xdr:colOff>5013</xdr:colOff>
      <xdr:row>140</xdr:row>
      <xdr:rowOff>95250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CxnSpPr>
          <a:endCxn id="125" idx="5"/>
        </xdr:cNvCxnSpPr>
      </xdr:nvCxnSpPr>
      <xdr:spPr>
        <a:xfrm flipH="1" flipV="1">
          <a:off x="1301157" y="24947589"/>
          <a:ext cx="475506" cy="2650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335017</xdr:colOff>
      <xdr:row>131</xdr:row>
      <xdr:rowOff>5953</xdr:rowOff>
    </xdr:from>
    <xdr:to>
      <xdr:col>5</xdr:col>
      <xdr:colOff>708422</xdr:colOff>
      <xdr:row>131</xdr:row>
      <xdr:rowOff>6569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CxnSpPr/>
      </xdr:nvCxnSpPr>
      <xdr:spPr>
        <a:xfrm flipV="1">
          <a:off x="3611617" y="23342203"/>
          <a:ext cx="1249705" cy="6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818019</xdr:colOff>
      <xdr:row>129</xdr:row>
      <xdr:rowOff>190501</xdr:rowOff>
    </xdr:from>
    <xdr:to>
      <xdr:col>5</xdr:col>
      <xdr:colOff>822239</xdr:colOff>
      <xdr:row>131</xdr:row>
      <xdr:rowOff>21566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CxnSpPr/>
      </xdr:nvCxnSpPr>
      <xdr:spPr>
        <a:xfrm flipH="1" flipV="1">
          <a:off x="4970919" y="23126701"/>
          <a:ext cx="4220" cy="231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336234</xdr:colOff>
      <xdr:row>130</xdr:row>
      <xdr:rowOff>121270</xdr:rowOff>
    </xdr:from>
    <xdr:to>
      <xdr:col>5</xdr:col>
      <xdr:colOff>381953</xdr:colOff>
      <xdr:row>130</xdr:row>
      <xdr:rowOff>169126</xdr:rowOff>
    </xdr:to>
    <xdr:sp macro="" textlink="">
      <xdr:nvSpPr>
        <xdr:cNvPr id="158" name="Diagrama de flujo: conector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/>
      </xdr:nvSpPr>
      <xdr:spPr>
        <a:xfrm>
          <a:off x="4483691" y="23090127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337867</xdr:colOff>
      <xdr:row>130</xdr:row>
      <xdr:rowOff>26020</xdr:rowOff>
    </xdr:from>
    <xdr:to>
      <xdr:col>5</xdr:col>
      <xdr:colOff>383586</xdr:colOff>
      <xdr:row>130</xdr:row>
      <xdr:rowOff>73876</xdr:rowOff>
    </xdr:to>
    <xdr:sp macro="" textlink="">
      <xdr:nvSpPr>
        <xdr:cNvPr id="159" name="Diagrama de flujo: conector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/>
      </xdr:nvSpPr>
      <xdr:spPr>
        <a:xfrm>
          <a:off x="4485324" y="22994877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459564</xdr:colOff>
      <xdr:row>17</xdr:row>
      <xdr:rowOff>36479</xdr:rowOff>
    </xdr:from>
    <xdr:to>
      <xdr:col>0</xdr:col>
      <xdr:colOff>804085</xdr:colOff>
      <xdr:row>20</xdr:row>
      <xdr:rowOff>1389</xdr:rowOff>
    </xdr:to>
    <xdr:sp macro="" textlink="">
      <xdr:nvSpPr>
        <xdr:cNvPr id="165" name="Rectángulo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459564" y="2643608"/>
          <a:ext cx="344521" cy="569067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393160</xdr:colOff>
      <xdr:row>129</xdr:row>
      <xdr:rowOff>195939</xdr:rowOff>
    </xdr:from>
    <xdr:to>
      <xdr:col>5</xdr:col>
      <xdr:colOff>737681</xdr:colOff>
      <xdr:row>132</xdr:row>
      <xdr:rowOff>187658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4551030" y="22616961"/>
          <a:ext cx="344521" cy="588067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752314</xdr:colOff>
      <xdr:row>138</xdr:row>
      <xdr:rowOff>27284</xdr:rowOff>
    </xdr:from>
    <xdr:to>
      <xdr:col>1</xdr:col>
      <xdr:colOff>440166</xdr:colOff>
      <xdr:row>139</xdr:row>
      <xdr:rowOff>45203</xdr:rowOff>
    </xdr:to>
    <xdr:cxnSp macro="">
      <xdr:nvCxnSpPr>
        <xdr:cNvPr id="177" name="Conector: angula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0800000" flipV="1">
          <a:off x="752314" y="25352354"/>
          <a:ext cx="556532" cy="21984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459564</xdr:colOff>
      <xdr:row>139</xdr:row>
      <xdr:rowOff>41922</xdr:rowOff>
    </xdr:from>
    <xdr:to>
      <xdr:col>0</xdr:col>
      <xdr:colOff>804085</xdr:colOff>
      <xdr:row>142</xdr:row>
      <xdr:rowOff>6832</xdr:rowOff>
    </xdr:to>
    <xdr:sp macro="" textlink="">
      <xdr:nvSpPr>
        <xdr:cNvPr id="178" name="Rectángulo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459564" y="2623805"/>
          <a:ext cx="344521" cy="560729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519407</xdr:colOff>
      <xdr:row>15</xdr:row>
      <xdr:rowOff>177859</xdr:rowOff>
    </xdr:from>
    <xdr:to>
      <xdr:col>0</xdr:col>
      <xdr:colOff>581527</xdr:colOff>
      <xdr:row>17</xdr:row>
      <xdr:rowOff>5013</xdr:rowOff>
    </xdr:to>
    <xdr:cxnSp macro="">
      <xdr:nvCxnSpPr>
        <xdr:cNvPr id="191" name="Conector recto de flecha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519407" y="2383648"/>
          <a:ext cx="62120" cy="21818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207959</xdr:colOff>
      <xdr:row>99</xdr:row>
      <xdr:rowOff>149225</xdr:rowOff>
    </xdr:from>
    <xdr:to>
      <xdr:col>3</xdr:col>
      <xdr:colOff>420686</xdr:colOff>
      <xdr:row>101</xdr:row>
      <xdr:rowOff>67200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C1000000}"/>
                </a:ext>
              </a:extLst>
            </xdr:cNvPr>
            <xdr:cNvSpPr txBox="1"/>
          </xdr:nvSpPr>
          <xdr:spPr>
            <a:xfrm>
              <a:off x="1979609" y="18227675"/>
              <a:ext cx="965202" cy="260874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3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t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9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74C42FEA-CA95-4B12-90A5-DFA14766E6CD}"/>
                </a:ext>
              </a:extLst>
            </xdr:cNvPr>
            <xdr:cNvSpPr txBox="1"/>
          </xdr:nvSpPr>
          <xdr:spPr>
            <a:xfrm>
              <a:off x="1979609" y="18227675"/>
              <a:ext cx="965202" cy="260874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t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471486</xdr:colOff>
      <xdr:row>99</xdr:row>
      <xdr:rowOff>150812</xdr:rowOff>
    </xdr:from>
    <xdr:to>
      <xdr:col>5</xdr:col>
      <xdr:colOff>7937</xdr:colOff>
      <xdr:row>101</xdr:row>
      <xdr:rowOff>68787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 txBox="1"/>
          </xdr:nvSpPr>
          <xdr:spPr>
            <a:xfrm>
              <a:off x="2995611" y="18229262"/>
              <a:ext cx="1165226" cy="260874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Smax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s-ES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4</m:t>
                  </m:r>
                  <m: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5 </m:t>
                  </m:r>
                  <m:r>
                    <m:rPr>
                      <m:sty m:val="p"/>
                    </m:rPr>
                    <a:rPr lang="es-ES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cm</m:t>
                  </m:r>
                </m:oMath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94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98EA255-7377-4EA3-B0F2-1D70C563A15D}"/>
                </a:ext>
              </a:extLst>
            </xdr:cNvPr>
            <xdr:cNvSpPr txBox="1"/>
          </xdr:nvSpPr>
          <xdr:spPr>
            <a:xfrm>
              <a:off x="2995611" y="18229262"/>
              <a:ext cx="1165226" cy="260874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450272</xdr:colOff>
      <xdr:row>102</xdr:row>
      <xdr:rowOff>181841</xdr:rowOff>
    </xdr:from>
    <xdr:to>
      <xdr:col>5</xdr:col>
      <xdr:colOff>143355</xdr:colOff>
      <xdr:row>104</xdr:row>
      <xdr:rowOff>38966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F4313E7-B06D-4FCB-A854-667C1353BD42}"/>
                </a:ext>
              </a:extLst>
            </xdr:cNvPr>
            <xdr:cNvSpPr txBox="1"/>
          </xdr:nvSpPr>
          <xdr:spPr>
            <a:xfrm>
              <a:off x="2225386" y="18288000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15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3F4313E7-B06D-4FCB-A854-667C1353BD42}"/>
                </a:ext>
              </a:extLst>
            </xdr:cNvPr>
            <xdr:cNvSpPr txBox="1"/>
          </xdr:nvSpPr>
          <xdr:spPr>
            <a:xfrm>
              <a:off x="2225386" y="18288000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458930</xdr:colOff>
      <xdr:row>114</xdr:row>
      <xdr:rowOff>0</xdr:rowOff>
    </xdr:from>
    <xdr:to>
      <xdr:col>5</xdr:col>
      <xdr:colOff>152013</xdr:colOff>
      <xdr:row>115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2316F9D-2904-4729-8EA5-7AAEB2BA5C88}"/>
                </a:ext>
              </a:extLst>
            </xdr:cNvPr>
            <xdr:cNvSpPr txBox="1"/>
          </xdr:nvSpPr>
          <xdr:spPr>
            <a:xfrm>
              <a:off x="2234044" y="20201659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15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D2316F9D-2904-4729-8EA5-7AAEB2BA5C88}"/>
                </a:ext>
              </a:extLst>
            </xdr:cNvPr>
            <xdr:cNvSpPr txBox="1"/>
          </xdr:nvSpPr>
          <xdr:spPr>
            <a:xfrm>
              <a:off x="2234044" y="20201659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441609</xdr:colOff>
      <xdr:row>123</xdr:row>
      <xdr:rowOff>0</xdr:rowOff>
    </xdr:from>
    <xdr:to>
      <xdr:col>5</xdr:col>
      <xdr:colOff>134692</xdr:colOff>
      <xdr:row>124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35DDA69-AD92-4401-9D1A-4D2D0016FB0F}"/>
                </a:ext>
              </a:extLst>
            </xdr:cNvPr>
            <xdr:cNvSpPr txBox="1"/>
          </xdr:nvSpPr>
          <xdr:spPr>
            <a:xfrm>
              <a:off x="2216723" y="21916159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</m:oMath>
              </a14:m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PE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−2</m:t>
                      </m:r>
                      <m:r>
                        <m:rPr>
                          <m:sty m:val="p"/>
                        </m:rP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R</m:t>
                      </m:r>
                      <m:r>
                        <a:rPr lang="es-ES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E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</m:t>
                      </m:r>
                    </m:e>
                    <m:sub>
                      <m:r>
                        <a:rPr lang="es-PE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Ø</m:t>
                      </m:r>
                    </m:sub>
                  </m:sSub>
                  <m:r>
                    <a:rPr lang="es-ES" sz="1100" b="0" i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)/(</m:t>
                  </m:r>
                  <m:sSub>
                    <m:sSubPr>
                      <m:ctrlPr>
                        <a:rPr lang="es-PE" sz="110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ES" sz="1100" b="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N</m:t>
                      </m:r>
                    </m:e>
                    <m:sub>
                      <m:r>
                        <a:rPr lang="es-PE" sz="1100" i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  <m:r>
                    <m:rPr>
                      <m:nor/>
                    </m:rPr>
                    <a:rPr lang="es-PE" sz="1100" i="0">
                      <a:effectLst/>
                      <a:latin typeface="+mn-lt"/>
                      <a:ea typeface="+mn-ea"/>
                      <a:cs typeface="+mn-cs"/>
                    </a:rPr>
                    <m:t>−1)</m:t>
                  </m:r>
                </m:oMath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15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35DDA69-AD92-4401-9D1A-4D2D0016FB0F}"/>
                </a:ext>
              </a:extLst>
            </xdr:cNvPr>
            <xdr:cNvSpPr txBox="1"/>
          </xdr:nvSpPr>
          <xdr:spPr>
            <a:xfrm>
              <a:off x="2216723" y="21916159"/>
              <a:ext cx="2074333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(b−2R−𝑑</a:t>
              </a:r>
              <a:r>
                <a:rPr lang="es-PE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10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twoCellAnchor>
  <xdr:twoCellAnchor>
    <xdr:from>
      <xdr:col>0</xdr:col>
      <xdr:colOff>303068</xdr:colOff>
      <xdr:row>140</xdr:row>
      <xdr:rowOff>123957</xdr:rowOff>
    </xdr:from>
    <xdr:to>
      <xdr:col>0</xdr:col>
      <xdr:colOff>459564</xdr:colOff>
      <xdr:row>144</xdr:row>
      <xdr:rowOff>0</xdr:rowOff>
    </xdr:to>
    <xdr:cxnSp macro="">
      <xdr:nvCxnSpPr>
        <xdr:cNvPr id="161" name="Conector: curvado 160">
          <a:extLst>
            <a:ext uri="{FF2B5EF4-FFF2-40B4-BE49-F238E27FC236}">
              <a16:creationId xmlns:a16="http://schemas.microsoft.com/office/drawing/2014/main" id="{A6437B8D-6723-4084-9E36-04BBC634DA4D}"/>
            </a:ext>
          </a:extLst>
        </xdr:cNvPr>
        <xdr:cNvCxnSpPr>
          <a:cxnSpLocks/>
          <a:endCxn id="178" idx="1"/>
        </xdr:cNvCxnSpPr>
      </xdr:nvCxnSpPr>
      <xdr:spPr>
        <a:xfrm rot="5400000" flipH="1" flipV="1">
          <a:off x="49306" y="25618969"/>
          <a:ext cx="664020" cy="156496"/>
        </a:xfrm>
        <a:prstGeom prst="curved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600076</xdr:colOff>
      <xdr:row>37</xdr:row>
      <xdr:rowOff>120161</xdr:rowOff>
    </xdr:from>
    <xdr:to>
      <xdr:col>15</xdr:col>
      <xdr:colOff>600076</xdr:colOff>
      <xdr:row>41</xdr:row>
      <xdr:rowOff>131096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3A83A7BA-5B65-43B7-8828-EF26E8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1" y="6978161"/>
          <a:ext cx="2000250" cy="77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114683</xdr:colOff>
      <xdr:row>136</xdr:row>
      <xdr:rowOff>14046</xdr:rowOff>
    </xdr:from>
    <xdr:to>
      <xdr:col>2</xdr:col>
      <xdr:colOff>160402</xdr:colOff>
      <xdr:row>136</xdr:row>
      <xdr:rowOff>57628</xdr:rowOff>
    </xdr:to>
    <xdr:sp macro="" textlink="">
      <xdr:nvSpPr>
        <xdr:cNvPr id="154" name="Diagrama de flujo: conector 153">
          <a:extLst>
            <a:ext uri="{FF2B5EF4-FFF2-40B4-BE49-F238E27FC236}">
              <a16:creationId xmlns:a16="http://schemas.microsoft.com/office/drawing/2014/main" id="{A241B6B2-C19A-477C-8A07-BE4D2A672A60}"/>
            </a:ext>
          </a:extLst>
        </xdr:cNvPr>
        <xdr:cNvSpPr/>
      </xdr:nvSpPr>
      <xdr:spPr>
        <a:xfrm>
          <a:off x="1886333" y="24893346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343123</xdr:colOff>
      <xdr:row>135</xdr:row>
      <xdr:rowOff>40384</xdr:rowOff>
    </xdr:from>
    <xdr:to>
      <xdr:col>2</xdr:col>
      <xdr:colOff>388842</xdr:colOff>
      <xdr:row>135</xdr:row>
      <xdr:rowOff>83966</xdr:rowOff>
    </xdr:to>
    <xdr:sp macro="" textlink="">
      <xdr:nvSpPr>
        <xdr:cNvPr id="156" name="Diagrama de flujo: conector 155">
          <a:extLst>
            <a:ext uri="{FF2B5EF4-FFF2-40B4-BE49-F238E27FC236}">
              <a16:creationId xmlns:a16="http://schemas.microsoft.com/office/drawing/2014/main" id="{713AA2EB-C86C-45E7-B739-3DF2999A2849}"/>
            </a:ext>
          </a:extLst>
        </xdr:cNvPr>
        <xdr:cNvSpPr/>
      </xdr:nvSpPr>
      <xdr:spPr>
        <a:xfrm>
          <a:off x="2114773" y="24729184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619276</xdr:colOff>
      <xdr:row>134</xdr:row>
      <xdr:rowOff>44203</xdr:rowOff>
    </xdr:from>
    <xdr:to>
      <xdr:col>2</xdr:col>
      <xdr:colOff>664995</xdr:colOff>
      <xdr:row>134</xdr:row>
      <xdr:rowOff>89922</xdr:rowOff>
    </xdr:to>
    <xdr:sp macro="" textlink="">
      <xdr:nvSpPr>
        <xdr:cNvPr id="160" name="Diagrama de flujo: conector 159">
          <a:extLst>
            <a:ext uri="{FF2B5EF4-FFF2-40B4-BE49-F238E27FC236}">
              <a16:creationId xmlns:a16="http://schemas.microsoft.com/office/drawing/2014/main" id="{EF3BD46F-3F6F-40C8-8CD5-99093B58A6EE}"/>
            </a:ext>
          </a:extLst>
        </xdr:cNvPr>
        <xdr:cNvSpPr/>
      </xdr:nvSpPr>
      <xdr:spPr>
        <a:xfrm>
          <a:off x="2390926" y="24532978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37847</xdr:colOff>
      <xdr:row>128</xdr:row>
      <xdr:rowOff>47629</xdr:rowOff>
    </xdr:from>
    <xdr:to>
      <xdr:col>5</xdr:col>
      <xdr:colOff>375048</xdr:colOff>
      <xdr:row>130</xdr:row>
      <xdr:rowOff>25753</xdr:rowOff>
    </xdr:to>
    <xdr:cxnSp macro="">
      <xdr:nvCxnSpPr>
        <xdr:cNvPr id="162" name="Conector: curvado 161">
          <a:extLst>
            <a:ext uri="{FF2B5EF4-FFF2-40B4-BE49-F238E27FC236}">
              <a16:creationId xmlns:a16="http://schemas.microsoft.com/office/drawing/2014/main" id="{BBE22177-5154-476F-A712-64AE5976953A}"/>
            </a:ext>
          </a:extLst>
        </xdr:cNvPr>
        <xdr:cNvCxnSpPr/>
      </xdr:nvCxnSpPr>
      <xdr:spPr>
        <a:xfrm rot="5400000">
          <a:off x="4164307" y="23406747"/>
          <a:ext cx="382937" cy="33720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586739</xdr:colOff>
      <xdr:row>2</xdr:row>
      <xdr:rowOff>137160</xdr:rowOff>
    </xdr:from>
    <xdr:to>
      <xdr:col>10</xdr:col>
      <xdr:colOff>516570</xdr:colOff>
      <xdr:row>12</xdr:row>
      <xdr:rowOff>91440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E5D4EE-52CD-43C1-B054-D8F9D3D55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534" r="10044" b="34587"/>
        <a:stretch/>
      </xdr:blipFill>
      <xdr:spPr>
        <a:xfrm>
          <a:off x="5775959" y="807720"/>
          <a:ext cx="2398711" cy="1935480"/>
        </a:xfrm>
        <a:prstGeom prst="rect">
          <a:avLst/>
        </a:prstGeom>
      </xdr:spPr>
    </xdr:pic>
    <xdr:clientData/>
  </xdr:twoCellAnchor>
  <xdr:twoCellAnchor editAs="oneCell">
    <xdr:from>
      <xdr:col>1</xdr:col>
      <xdr:colOff>913707</xdr:colOff>
      <xdr:row>146</xdr:row>
      <xdr:rowOff>186344</xdr:rowOff>
    </xdr:from>
    <xdr:to>
      <xdr:col>6</xdr:col>
      <xdr:colOff>651163</xdr:colOff>
      <xdr:row>167</xdr:row>
      <xdr:rowOff>160501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2010DE-3DAB-D5B0-BFCD-8188A5D2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398" y="26662380"/>
          <a:ext cx="4032365" cy="3770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0B81-5ACB-4D48-B1D3-1328DFC80C62}">
  <dimension ref="A1:U148"/>
  <sheetViews>
    <sheetView tabSelected="1" topLeftCell="B1" zoomScale="126" zoomScaleNormal="126" workbookViewId="0">
      <selection activeCell="C148" sqref="C148"/>
    </sheetView>
  </sheetViews>
  <sheetFormatPr defaultColWidth="9.109375" defaultRowHeight="14.4" x14ac:dyDescent="0.3"/>
  <cols>
    <col min="1" max="1" width="13" style="4" customWidth="1"/>
    <col min="2" max="2" width="13.5546875" style="4" customWidth="1"/>
    <col min="3" max="4" width="11.33203125" style="4" customWidth="1"/>
    <col min="5" max="5" width="13.109375" style="4" customWidth="1"/>
    <col min="6" max="6" width="13.33203125" style="4" customWidth="1"/>
    <col min="7" max="7" width="10.5546875" style="4" customWidth="1"/>
    <col min="8" max="8" width="9.44140625" style="4" customWidth="1"/>
    <col min="9" max="9" width="6.88671875" style="4" customWidth="1"/>
    <col min="10" max="11" width="9.109375" style="4"/>
    <col min="12" max="12" width="1.44140625" style="47" customWidth="1"/>
    <col min="13" max="13" width="9.109375" style="4"/>
    <col min="14" max="14" width="9.109375" style="4" customWidth="1"/>
    <col min="15" max="17" width="11.6640625" style="4" customWidth="1"/>
    <col min="18" max="18" width="9.109375" style="4"/>
    <col min="19" max="19" width="12" style="4" customWidth="1"/>
    <col min="20" max="20" width="11.6640625" style="4" customWidth="1"/>
    <col min="21" max="16384" width="9.109375" style="4"/>
  </cols>
  <sheetData>
    <row r="1" spans="1:11" ht="15.6" x14ac:dyDescent="0.3">
      <c r="D1" s="5"/>
    </row>
    <row r="2" spans="1:11" ht="28.2" x14ac:dyDescent="0.3">
      <c r="A2" s="88" t="s">
        <v>114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ht="15.6" x14ac:dyDescent="0.3">
      <c r="D3" s="5"/>
    </row>
    <row r="4" spans="1:11" ht="15.6" x14ac:dyDescent="0.3">
      <c r="D4" s="5"/>
    </row>
    <row r="5" spans="1:11" ht="15.6" x14ac:dyDescent="0.3">
      <c r="D5" s="5"/>
    </row>
    <row r="6" spans="1:11" ht="15.6" x14ac:dyDescent="0.3">
      <c r="A6" s="5" t="s">
        <v>0</v>
      </c>
      <c r="D6" s="6"/>
    </row>
    <row r="7" spans="1:11" ht="15.6" x14ac:dyDescent="0.3">
      <c r="A7" s="5"/>
      <c r="D7" s="6"/>
    </row>
    <row r="8" spans="1:11" ht="15.6" x14ac:dyDescent="0.3">
      <c r="A8" s="5"/>
      <c r="D8" s="6"/>
    </row>
    <row r="9" spans="1:11" ht="15.6" x14ac:dyDescent="0.3">
      <c r="A9" s="5"/>
      <c r="D9" s="6"/>
      <c r="G9" s="73" t="s">
        <v>86</v>
      </c>
    </row>
    <row r="10" spans="1:11" ht="15.6" x14ac:dyDescent="0.3">
      <c r="A10" s="5"/>
      <c r="D10" s="6"/>
    </row>
    <row r="11" spans="1:11" ht="15.6" x14ac:dyDescent="0.3">
      <c r="A11" s="5"/>
      <c r="D11" s="6"/>
    </row>
    <row r="12" spans="1:11" ht="15.6" x14ac:dyDescent="0.3">
      <c r="A12" s="5"/>
      <c r="B12" s="1" t="s">
        <v>86</v>
      </c>
      <c r="D12" s="6"/>
    </row>
    <row r="13" spans="1:11" ht="15.6" x14ac:dyDescent="0.3">
      <c r="A13" s="5"/>
      <c r="C13" s="10"/>
      <c r="D13" s="6"/>
      <c r="F13" s="2" t="s">
        <v>87</v>
      </c>
    </row>
    <row r="14" spans="1:11" ht="15.6" x14ac:dyDescent="0.3">
      <c r="A14" s="5"/>
      <c r="D14" s="6"/>
    </row>
    <row r="15" spans="1:11" ht="15.6" x14ac:dyDescent="0.3">
      <c r="A15" s="5"/>
      <c r="D15" s="6"/>
    </row>
    <row r="16" spans="1:11" x14ac:dyDescent="0.3">
      <c r="A16" s="74" t="s">
        <v>88</v>
      </c>
      <c r="D16" s="6"/>
    </row>
    <row r="17" spans="1:8" ht="15.6" x14ac:dyDescent="0.3">
      <c r="A17" s="5"/>
      <c r="D17" s="6"/>
    </row>
    <row r="18" spans="1:8" ht="15.6" x14ac:dyDescent="0.3">
      <c r="A18" s="5"/>
      <c r="D18" s="6"/>
    </row>
    <row r="19" spans="1:8" ht="15.6" x14ac:dyDescent="0.3">
      <c r="A19" s="5"/>
      <c r="D19" s="6"/>
    </row>
    <row r="20" spans="1:8" ht="15.6" x14ac:dyDescent="0.3">
      <c r="A20" s="5"/>
      <c r="D20" s="6"/>
    </row>
    <row r="21" spans="1:8" ht="15.6" x14ac:dyDescent="0.3">
      <c r="A21" s="5"/>
      <c r="D21" s="6"/>
    </row>
    <row r="22" spans="1:8" ht="15.6" x14ac:dyDescent="0.3">
      <c r="A22" s="5"/>
      <c r="D22" s="6"/>
    </row>
    <row r="23" spans="1:8" ht="15.6" x14ac:dyDescent="0.3">
      <c r="A23" s="5"/>
      <c r="D23" s="6"/>
    </row>
    <row r="26" spans="1:8" x14ac:dyDescent="0.3">
      <c r="G26" s="73">
        <f>+B42</f>
        <v>1.2</v>
      </c>
      <c r="H26" s="4" t="s">
        <v>1</v>
      </c>
    </row>
    <row r="30" spans="1:8" x14ac:dyDescent="0.3">
      <c r="C30" s="3">
        <f>+B38/2+B39</f>
        <v>2.5249999999999999</v>
      </c>
      <c r="D30" s="4" t="s">
        <v>1</v>
      </c>
      <c r="E30" s="35">
        <f>+B40+B41/2</f>
        <v>2.125</v>
      </c>
      <c r="F30" s="4" t="s">
        <v>1</v>
      </c>
    </row>
    <row r="32" spans="1:8" x14ac:dyDescent="0.3">
      <c r="A32" s="36" t="s">
        <v>58</v>
      </c>
      <c r="E32" s="38" t="s">
        <v>64</v>
      </c>
      <c r="G32" s="37"/>
    </row>
    <row r="33" spans="1:17" x14ac:dyDescent="0.3">
      <c r="A33" s="1" t="s">
        <v>4</v>
      </c>
      <c r="B33" s="33">
        <v>210</v>
      </c>
      <c r="C33" s="4" t="s">
        <v>5</v>
      </c>
      <c r="F33" s="1"/>
    </row>
    <row r="34" spans="1:17" x14ac:dyDescent="0.3">
      <c r="A34" s="1" t="s">
        <v>7</v>
      </c>
      <c r="B34" s="33">
        <v>4200</v>
      </c>
      <c r="C34" s="4" t="s">
        <v>5</v>
      </c>
      <c r="E34" s="1" t="s">
        <v>6</v>
      </c>
      <c r="F34" s="30">
        <f>+(B39+B40)/25</f>
        <v>0.17600000000000002</v>
      </c>
      <c r="G34" s="30">
        <f>+(B39+B40)/20</f>
        <v>0.22000000000000003</v>
      </c>
      <c r="H34" s="4" t="s">
        <v>1</v>
      </c>
    </row>
    <row r="35" spans="1:17" x14ac:dyDescent="0.3">
      <c r="A35" s="1" t="s">
        <v>9</v>
      </c>
      <c r="B35" s="33">
        <v>600</v>
      </c>
      <c r="C35" s="4" t="s">
        <v>10</v>
      </c>
      <c r="E35" s="34" t="s">
        <v>8</v>
      </c>
      <c r="F35" s="31">
        <f>ROUND((F34+G34)/2,2)</f>
        <v>0.2</v>
      </c>
      <c r="G35" s="4" t="s">
        <v>1</v>
      </c>
    </row>
    <row r="36" spans="1:17" x14ac:dyDescent="0.3">
      <c r="A36" s="1" t="s">
        <v>2</v>
      </c>
      <c r="B36" s="33">
        <v>30</v>
      </c>
      <c r="C36" s="4" t="s">
        <v>11</v>
      </c>
      <c r="E36" s="34" t="s">
        <v>57</v>
      </c>
      <c r="F36" s="32">
        <v>20</v>
      </c>
      <c r="G36" s="4" t="s">
        <v>11</v>
      </c>
      <c r="H36" s="24"/>
    </row>
    <row r="37" spans="1:17" x14ac:dyDescent="0.3">
      <c r="A37" s="1" t="s">
        <v>3</v>
      </c>
      <c r="B37" s="33">
        <v>18</v>
      </c>
      <c r="C37" s="4" t="s">
        <v>11</v>
      </c>
      <c r="E37" s="1" t="s">
        <v>62</v>
      </c>
      <c r="F37" s="37">
        <f>+F36</f>
        <v>20</v>
      </c>
      <c r="G37" s="4" t="s">
        <v>11</v>
      </c>
    </row>
    <row r="38" spans="1:17" x14ac:dyDescent="0.3">
      <c r="A38" s="34" t="s">
        <v>110</v>
      </c>
      <c r="B38" s="33">
        <v>0.25</v>
      </c>
      <c r="C38" s="4" t="s">
        <v>1</v>
      </c>
    </row>
    <row r="39" spans="1:17" x14ac:dyDescent="0.3">
      <c r="A39" s="34" t="s">
        <v>59</v>
      </c>
      <c r="B39" s="33">
        <v>2.4</v>
      </c>
      <c r="C39" s="4" t="s">
        <v>1</v>
      </c>
    </row>
    <row r="40" spans="1:17" x14ac:dyDescent="0.3">
      <c r="A40" s="34" t="s">
        <v>60</v>
      </c>
      <c r="B40" s="33">
        <v>2</v>
      </c>
      <c r="C40" s="4" t="s">
        <v>1</v>
      </c>
    </row>
    <row r="41" spans="1:17" x14ac:dyDescent="0.3">
      <c r="A41" s="34" t="s">
        <v>111</v>
      </c>
      <c r="B41" s="33">
        <v>0.25</v>
      </c>
      <c r="C41" s="4" t="s">
        <v>1</v>
      </c>
    </row>
    <row r="42" spans="1:17" x14ac:dyDescent="0.3">
      <c r="A42" s="34" t="s">
        <v>61</v>
      </c>
      <c r="B42" s="33">
        <v>1.2</v>
      </c>
      <c r="C42" s="4" t="s">
        <v>1</v>
      </c>
    </row>
    <row r="43" spans="1:17" x14ac:dyDescent="0.3">
      <c r="A43" s="1" t="s">
        <v>81</v>
      </c>
      <c r="B43" s="33">
        <v>2</v>
      </c>
      <c r="C43" s="4" t="s">
        <v>11</v>
      </c>
      <c r="N43" s="84" t="s">
        <v>42</v>
      </c>
      <c r="O43" s="84"/>
      <c r="P43" s="84"/>
      <c r="Q43" s="84"/>
    </row>
    <row r="44" spans="1:17" x14ac:dyDescent="0.3">
      <c r="A44" s="1"/>
      <c r="B44" s="37"/>
      <c r="N44" s="85" t="s">
        <v>93</v>
      </c>
      <c r="O44" s="86"/>
      <c r="P44" s="86"/>
      <c r="Q44" s="87"/>
    </row>
    <row r="45" spans="1:17" ht="15.6" x14ac:dyDescent="0.3">
      <c r="A45" s="5" t="s">
        <v>92</v>
      </c>
      <c r="N45" s="25"/>
      <c r="O45" s="25" t="s">
        <v>94</v>
      </c>
      <c r="P45" s="79" t="s">
        <v>95</v>
      </c>
      <c r="Q45" s="80"/>
    </row>
    <row r="46" spans="1:17" x14ac:dyDescent="0.3">
      <c r="A46" s="6" t="s">
        <v>12</v>
      </c>
      <c r="N46" s="25">
        <v>1</v>
      </c>
      <c r="O46" s="27">
        <v>0.8</v>
      </c>
      <c r="P46" s="79" t="s">
        <v>96</v>
      </c>
      <c r="Q46" s="80"/>
    </row>
    <row r="47" spans="1:17" x14ac:dyDescent="0.3">
      <c r="A47" s="6"/>
      <c r="N47" s="25">
        <v>2</v>
      </c>
      <c r="O47" s="27">
        <v>0.9</v>
      </c>
      <c r="P47" s="79" t="s">
        <v>97</v>
      </c>
      <c r="Q47" s="80"/>
    </row>
    <row r="48" spans="1:17" x14ac:dyDescent="0.3">
      <c r="A48" s="6"/>
      <c r="N48" s="25">
        <v>3</v>
      </c>
      <c r="O48" s="27">
        <v>1</v>
      </c>
      <c r="P48" s="79" t="s">
        <v>112</v>
      </c>
      <c r="Q48" s="80"/>
    </row>
    <row r="49" spans="1:21" x14ac:dyDescent="0.3">
      <c r="B49" s="1" t="s">
        <v>63</v>
      </c>
      <c r="C49" s="7">
        <f>ROUND(B36/(B36^2+B37^2)^(0.5),3)</f>
        <v>0.85699999999999998</v>
      </c>
      <c r="N49" s="4" t="s">
        <v>98</v>
      </c>
    </row>
    <row r="50" spans="1:21" ht="7.5" customHeight="1" x14ac:dyDescent="0.3">
      <c r="B50" s="1"/>
      <c r="C50" s="7"/>
    </row>
    <row r="51" spans="1:21" x14ac:dyDescent="0.3">
      <c r="B51" s="1"/>
      <c r="C51" s="7"/>
      <c r="N51" s="85" t="s">
        <v>42</v>
      </c>
      <c r="O51" s="86"/>
      <c r="P51" s="86"/>
      <c r="Q51" s="87"/>
    </row>
    <row r="52" spans="1:21" x14ac:dyDescent="0.3">
      <c r="B52" s="1"/>
      <c r="C52" s="7"/>
      <c r="N52" s="85" t="s">
        <v>43</v>
      </c>
      <c r="O52" s="86"/>
      <c r="P52" s="86"/>
      <c r="Q52" s="87"/>
    </row>
    <row r="53" spans="1:21" x14ac:dyDescent="0.3">
      <c r="B53" s="1" t="s">
        <v>41</v>
      </c>
      <c r="C53" s="39">
        <f>ROUND((B37/2+F36/C49)/100,3)</f>
        <v>0.32300000000000001</v>
      </c>
      <c r="D53" s="4" t="s">
        <v>1</v>
      </c>
      <c r="N53" s="25"/>
      <c r="O53" s="25"/>
      <c r="P53" s="25"/>
      <c r="Q53" s="25"/>
    </row>
    <row r="54" spans="1:21" x14ac:dyDescent="0.3">
      <c r="B54" s="1" t="s">
        <v>65</v>
      </c>
      <c r="C54" s="39">
        <f>ROUND(2.4*C53*1,3)</f>
        <v>0.77500000000000002</v>
      </c>
      <c r="D54" s="4" t="s">
        <v>16</v>
      </c>
      <c r="F54" s="1" t="s">
        <v>13</v>
      </c>
      <c r="G54" s="8">
        <f>+C56*G26</f>
        <v>1.05</v>
      </c>
      <c r="H54" s="4" t="s">
        <v>16</v>
      </c>
      <c r="N54" s="25" t="s">
        <v>44</v>
      </c>
      <c r="O54" s="25" t="s">
        <v>45</v>
      </c>
      <c r="P54" s="25" t="s">
        <v>45</v>
      </c>
      <c r="Q54" s="25" t="s">
        <v>46</v>
      </c>
    </row>
    <row r="55" spans="1:21" x14ac:dyDescent="0.3">
      <c r="B55" s="1" t="s">
        <v>66</v>
      </c>
      <c r="C55" s="77">
        <v>0.1</v>
      </c>
      <c r="D55" s="4" t="s">
        <v>16</v>
      </c>
      <c r="F55" s="1" t="s">
        <v>15</v>
      </c>
      <c r="G55" s="8">
        <f>+B35/1000*G26</f>
        <v>0.72</v>
      </c>
      <c r="H55" s="4" t="s">
        <v>16</v>
      </c>
      <c r="N55" s="25"/>
      <c r="O55" s="25" t="s">
        <v>56</v>
      </c>
      <c r="P55" s="25" t="s">
        <v>11</v>
      </c>
      <c r="Q55" s="25" t="s">
        <v>26</v>
      </c>
    </row>
    <row r="56" spans="1:21" x14ac:dyDescent="0.3">
      <c r="B56" s="9" t="s">
        <v>17</v>
      </c>
      <c r="C56" s="40">
        <f>+C54+C55</f>
        <v>0.875</v>
      </c>
      <c r="D56" s="6" t="s">
        <v>16</v>
      </c>
      <c r="F56" s="1" t="s">
        <v>67</v>
      </c>
      <c r="G56" s="4">
        <f>ROUND(1.4*G54+1.7*G55,2)</f>
        <v>2.69</v>
      </c>
      <c r="H56" s="4" t="s">
        <v>16</v>
      </c>
      <c r="N56" s="25">
        <v>3</v>
      </c>
      <c r="O56" s="26" t="s">
        <v>47</v>
      </c>
      <c r="P56" s="27">
        <v>0.95250000000000001</v>
      </c>
      <c r="Q56" s="28">
        <v>0.71255739248085614</v>
      </c>
    </row>
    <row r="57" spans="1:21" x14ac:dyDescent="0.3">
      <c r="B57" s="9"/>
      <c r="C57" s="40"/>
      <c r="D57" s="6"/>
      <c r="F57" s="1"/>
      <c r="N57" s="25">
        <v>4</v>
      </c>
      <c r="O57" s="26" t="s">
        <v>48</v>
      </c>
      <c r="P57" s="27">
        <v>1.27</v>
      </c>
      <c r="Q57" s="28">
        <v>1.2667686977437445</v>
      </c>
    </row>
    <row r="58" spans="1:21" x14ac:dyDescent="0.3">
      <c r="A58" s="6" t="s">
        <v>18</v>
      </c>
      <c r="C58" s="7"/>
      <c r="N58" s="25">
        <v>5</v>
      </c>
      <c r="O58" s="26" t="s">
        <v>49</v>
      </c>
      <c r="P58" s="27">
        <v>1.5874999999999999</v>
      </c>
      <c r="Q58" s="28">
        <v>1.9793260902246004</v>
      </c>
    </row>
    <row r="59" spans="1:21" x14ac:dyDescent="0.3">
      <c r="B59" s="1" t="s">
        <v>65</v>
      </c>
      <c r="C59" s="39">
        <f>1*1*F37/100*2.4</f>
        <v>0.48</v>
      </c>
      <c r="D59" s="4" t="s">
        <v>14</v>
      </c>
      <c r="F59" s="1" t="s">
        <v>13</v>
      </c>
      <c r="G59" s="8">
        <f>+C61*G26</f>
        <v>0.69599999999999995</v>
      </c>
      <c r="H59" s="4" t="s">
        <v>16</v>
      </c>
      <c r="N59" s="25">
        <v>6</v>
      </c>
      <c r="O59" s="26" t="s">
        <v>50</v>
      </c>
      <c r="P59" s="27">
        <v>1.905</v>
      </c>
      <c r="Q59" s="28">
        <v>2.8502295699234246</v>
      </c>
    </row>
    <row r="60" spans="1:21" x14ac:dyDescent="0.3">
      <c r="B60" s="1" t="s">
        <v>66</v>
      </c>
      <c r="C60" s="39">
        <f>+C55</f>
        <v>0.1</v>
      </c>
      <c r="D60" s="4" t="s">
        <v>16</v>
      </c>
      <c r="F60" s="1" t="s">
        <v>15</v>
      </c>
      <c r="G60" s="8">
        <f>+G55</f>
        <v>0.72</v>
      </c>
      <c r="H60" s="4" t="s">
        <v>16</v>
      </c>
      <c r="N60" s="25">
        <v>7</v>
      </c>
      <c r="O60" s="26" t="s">
        <v>51</v>
      </c>
      <c r="P60" s="27">
        <v>2.2225000000000001</v>
      </c>
      <c r="Q60" s="28">
        <v>3.8794791368402173</v>
      </c>
    </row>
    <row r="61" spans="1:21" x14ac:dyDescent="0.3">
      <c r="B61" s="9" t="s">
        <v>17</v>
      </c>
      <c r="C61" s="40">
        <f>+C59+C60</f>
        <v>0.57999999999999996</v>
      </c>
      <c r="D61" s="6" t="s">
        <v>14</v>
      </c>
      <c r="F61" s="1" t="s">
        <v>68</v>
      </c>
      <c r="G61" s="8">
        <f>ROUND(1.4*G59+1.7*G60,2)</f>
        <v>2.2000000000000002</v>
      </c>
      <c r="H61" s="4" t="s">
        <v>16</v>
      </c>
      <c r="N61" s="25">
        <v>8</v>
      </c>
      <c r="O61" s="26" t="s">
        <v>52</v>
      </c>
      <c r="P61" s="27">
        <v>2.54</v>
      </c>
      <c r="Q61" s="28">
        <v>5.0670747909749778</v>
      </c>
    </row>
    <row r="62" spans="1:21" x14ac:dyDescent="0.3">
      <c r="B62" s="9"/>
      <c r="C62" s="40"/>
      <c r="D62" s="6"/>
      <c r="F62" s="1"/>
      <c r="N62" s="25">
        <v>9</v>
      </c>
      <c r="O62" s="26" t="s">
        <v>53</v>
      </c>
      <c r="P62" s="27">
        <v>2.8574999999999999</v>
      </c>
      <c r="Q62" s="28">
        <v>6.4130165323277053</v>
      </c>
    </row>
    <row r="63" spans="1:21" x14ac:dyDescent="0.3">
      <c r="D63" s="2" t="str">
        <f>+ CONCATENATE(G56," Tn/m2")</f>
        <v>2.69 Tn/m2</v>
      </c>
      <c r="N63" s="25">
        <v>10</v>
      </c>
      <c r="O63" s="26" t="s">
        <v>54</v>
      </c>
      <c r="P63" s="27">
        <v>3.1749999999999998</v>
      </c>
      <c r="Q63" s="28">
        <v>7.9173043608984015</v>
      </c>
      <c r="R63" s="29"/>
      <c r="S63" s="41"/>
      <c r="T63" s="42"/>
      <c r="U63" s="43"/>
    </row>
    <row r="64" spans="1:21" x14ac:dyDescent="0.3">
      <c r="F64" s="2" t="str">
        <f>+CONCATENATE(G61," Tn/m2")</f>
        <v>2.2 Tn/m2</v>
      </c>
      <c r="N64" s="25">
        <v>11</v>
      </c>
      <c r="O64" s="26" t="s">
        <v>55</v>
      </c>
      <c r="P64" s="27">
        <v>3.4925000000000002</v>
      </c>
      <c r="Q64" s="28">
        <v>9.5799382766870682</v>
      </c>
      <c r="R64" s="29"/>
      <c r="S64" s="29"/>
      <c r="T64" s="29"/>
      <c r="U64" s="29"/>
    </row>
    <row r="65" spans="2:21" x14ac:dyDescent="0.3">
      <c r="R65" s="29"/>
      <c r="S65" s="29"/>
      <c r="T65" s="29"/>
      <c r="U65" s="29"/>
    </row>
    <row r="67" spans="2:21" ht="4.5" customHeight="1" x14ac:dyDescent="0.3"/>
    <row r="68" spans="2:21" x14ac:dyDescent="0.3">
      <c r="B68" s="1" t="s">
        <v>69</v>
      </c>
      <c r="D68" s="3">
        <f>+C30</f>
        <v>2.5249999999999999</v>
      </c>
      <c r="F68" s="3">
        <f>+E30</f>
        <v>2.125</v>
      </c>
      <c r="G68" s="2" t="s">
        <v>70</v>
      </c>
    </row>
    <row r="69" spans="2:21" x14ac:dyDescent="0.3">
      <c r="B69" s="1"/>
      <c r="D69" s="3"/>
      <c r="F69" s="3"/>
      <c r="G69" s="2"/>
    </row>
    <row r="70" spans="2:21" x14ac:dyDescent="0.3">
      <c r="B70" s="1" t="s">
        <v>39</v>
      </c>
      <c r="C70" s="4">
        <f>ROUND((G61*(D68+F68)*(D68+F68)/2+(G56-G61)*(D68)*(F68+D68/2))/(D68+F68),2)</f>
        <v>6.02</v>
      </c>
      <c r="D70" s="4" t="s">
        <v>19</v>
      </c>
    </row>
    <row r="71" spans="2:21" x14ac:dyDescent="0.3">
      <c r="B71" s="1" t="s">
        <v>20</v>
      </c>
      <c r="C71" s="4" t="str">
        <f>+CONCATENATE(C70,"X - ",G56,"X^2/2")</f>
        <v>6.02X - 2.69X^2/2</v>
      </c>
      <c r="N71" s="84" t="s">
        <v>99</v>
      </c>
      <c r="O71" s="84"/>
      <c r="P71" s="84"/>
      <c r="Q71" s="84"/>
    </row>
    <row r="72" spans="2:21" x14ac:dyDescent="0.3">
      <c r="N72" s="85" t="s">
        <v>100</v>
      </c>
      <c r="O72" s="86"/>
      <c r="P72" s="86"/>
      <c r="Q72" s="87"/>
    </row>
    <row r="73" spans="2:21" x14ac:dyDescent="0.3">
      <c r="B73" s="1"/>
      <c r="D73" s="4" t="str">
        <f>+CONCATENATE(C70," - ",G56,"X")</f>
        <v>6.02 - 2.69X</v>
      </c>
      <c r="E73" s="4" t="s">
        <v>21</v>
      </c>
      <c r="F73" s="1" t="s">
        <v>22</v>
      </c>
      <c r="G73" s="2">
        <f>ROUND(C70/G56,2)</f>
        <v>2.2400000000000002</v>
      </c>
      <c r="H73" s="4" t="s">
        <v>1</v>
      </c>
      <c r="N73" s="25"/>
      <c r="O73" s="25" t="s">
        <v>101</v>
      </c>
      <c r="P73" s="79"/>
      <c r="Q73" s="80"/>
    </row>
    <row r="74" spans="2:21" x14ac:dyDescent="0.3">
      <c r="B74" s="1"/>
      <c r="F74" s="1"/>
      <c r="G74" s="2"/>
      <c r="N74" s="25">
        <v>1</v>
      </c>
      <c r="O74" s="27">
        <v>2</v>
      </c>
      <c r="P74" s="79" t="s">
        <v>102</v>
      </c>
      <c r="Q74" s="80"/>
    </row>
    <row r="75" spans="2:21" x14ac:dyDescent="0.3">
      <c r="E75" s="4" t="s">
        <v>21</v>
      </c>
      <c r="F75" s="1" t="s">
        <v>23</v>
      </c>
      <c r="G75" s="2">
        <f>ROUND(C70*G73-G56*G73^2/2,2)</f>
        <v>6.74</v>
      </c>
      <c r="H75" s="4" t="s">
        <v>24</v>
      </c>
      <c r="N75" s="25">
        <v>2</v>
      </c>
      <c r="O75" s="27">
        <v>3</v>
      </c>
      <c r="P75" s="79" t="s">
        <v>103</v>
      </c>
      <c r="Q75" s="80"/>
      <c r="R75" s="45"/>
      <c r="S75" s="45"/>
      <c r="T75" s="44"/>
      <c r="U75" s="46"/>
    </row>
    <row r="76" spans="2:21" x14ac:dyDescent="0.3">
      <c r="F76" s="1"/>
      <c r="G76" s="2"/>
    </row>
    <row r="77" spans="2:21" x14ac:dyDescent="0.3">
      <c r="B77" s="81" t="s">
        <v>104</v>
      </c>
      <c r="C77" s="82">
        <v>1</v>
      </c>
      <c r="D77" s="4" t="s">
        <v>105</v>
      </c>
      <c r="F77" s="1"/>
      <c r="G77" s="2"/>
    </row>
    <row r="78" spans="2:21" ht="2.25" customHeight="1" x14ac:dyDescent="0.3">
      <c r="F78" s="1"/>
      <c r="G78" s="2"/>
    </row>
    <row r="79" spans="2:21" x14ac:dyDescent="0.3">
      <c r="D79" s="4" t="str">
        <f xml:space="preserve"> CONCATENATE(C77," ","Mmax")</f>
        <v>1 Mmax</v>
      </c>
      <c r="E79" s="4" t="s">
        <v>21</v>
      </c>
      <c r="F79" s="1" t="s">
        <v>75</v>
      </c>
      <c r="G79" s="3">
        <f>C77*G75</f>
        <v>6.74</v>
      </c>
      <c r="H79" s="4" t="s">
        <v>24</v>
      </c>
    </row>
    <row r="80" spans="2:21" x14ac:dyDescent="0.3">
      <c r="F80" s="1"/>
      <c r="G80" s="2"/>
    </row>
    <row r="81" spans="1:15" x14ac:dyDescent="0.3">
      <c r="A81" s="6" t="s">
        <v>71</v>
      </c>
      <c r="F81" s="1"/>
      <c r="G81" s="2"/>
    </row>
    <row r="82" spans="1:15" x14ac:dyDescent="0.3">
      <c r="B82" s="1" t="s">
        <v>75</v>
      </c>
      <c r="C82" s="8">
        <f>+G79</f>
        <v>6.74</v>
      </c>
      <c r="D82" s="4" t="s">
        <v>40</v>
      </c>
    </row>
    <row r="83" spans="1:15" x14ac:dyDescent="0.3">
      <c r="A83" s="4" t="s">
        <v>77</v>
      </c>
      <c r="B83" s="71">
        <v>5</v>
      </c>
      <c r="C83" s="4" t="s">
        <v>106</v>
      </c>
      <c r="I83" s="49"/>
      <c r="M83" s="13"/>
      <c r="N83" s="14"/>
      <c r="O83" s="12"/>
    </row>
    <row r="84" spans="1:15" x14ac:dyDescent="0.3">
      <c r="B84" s="7" t="str">
        <f>+LOOKUP(B83,N56:N64,O56:O64)</f>
        <v>5/8"</v>
      </c>
      <c r="C84" s="72" t="s">
        <v>78</v>
      </c>
      <c r="D84" s="39">
        <f>+LOOKUP(B83,N56:N64,P56:P64)</f>
        <v>1.5874999999999999</v>
      </c>
      <c r="E84" s="4" t="s">
        <v>11</v>
      </c>
      <c r="F84" s="1" t="s">
        <v>79</v>
      </c>
      <c r="G84" s="39">
        <f>+LOOKUP(B83,N56:N64,Q56:Q64)</f>
        <v>1.9793260902246004</v>
      </c>
      <c r="H84" s="4" t="s">
        <v>26</v>
      </c>
    </row>
    <row r="85" spans="1:15" x14ac:dyDescent="0.3">
      <c r="B85" s="1"/>
      <c r="C85" s="11"/>
      <c r="M85" s="53" t="s">
        <v>76</v>
      </c>
      <c r="N85" s="56">
        <v>2</v>
      </c>
      <c r="O85" s="55" t="s">
        <v>11</v>
      </c>
    </row>
    <row r="86" spans="1:15" x14ac:dyDescent="0.3">
      <c r="M86" s="1" t="s">
        <v>25</v>
      </c>
      <c r="N86" s="3">
        <f>+C82*100000/(0.9*B34*(C87-N85/2))</f>
        <v>11.002352691515823</v>
      </c>
      <c r="O86" s="4" t="s">
        <v>26</v>
      </c>
    </row>
    <row r="87" spans="1:15" x14ac:dyDescent="0.3">
      <c r="B87" s="34" t="s">
        <v>80</v>
      </c>
      <c r="C87" s="3">
        <f>F36-B43-D84/2</f>
        <v>17.206250000000001</v>
      </c>
      <c r="D87" s="4" t="s">
        <v>11</v>
      </c>
      <c r="M87" s="53" t="s">
        <v>76</v>
      </c>
      <c r="N87" s="54">
        <f>+N86*B34/(0.85*B33*B42*100)</f>
        <v>2.1573240571599652</v>
      </c>
      <c r="O87" s="55" t="s">
        <v>11</v>
      </c>
    </row>
    <row r="88" spans="1:15" x14ac:dyDescent="0.3">
      <c r="B88" s="34"/>
      <c r="M88" s="1" t="s">
        <v>25</v>
      </c>
      <c r="N88" s="3">
        <f>C82*100000/(0.9*B34*(C87-N87/2))</f>
        <v>11.05601647455646</v>
      </c>
      <c r="O88" s="4" t="s">
        <v>26</v>
      </c>
    </row>
    <row r="89" spans="1:15" x14ac:dyDescent="0.3">
      <c r="B89" s="34"/>
      <c r="M89" s="53" t="s">
        <v>76</v>
      </c>
      <c r="N89" s="54">
        <f>+N88*B34/(0.85*B33*B42*100)</f>
        <v>2.1678463675600903</v>
      </c>
      <c r="O89" s="55" t="s">
        <v>11</v>
      </c>
    </row>
    <row r="90" spans="1:15" x14ac:dyDescent="0.3">
      <c r="B90" s="34"/>
      <c r="M90" s="1" t="s">
        <v>25</v>
      </c>
      <c r="N90" s="3">
        <f>C82*100000/(0.9*B34*(C87-N89/2))</f>
        <v>11.059624354438199</v>
      </c>
      <c r="O90" s="4" t="s">
        <v>26</v>
      </c>
    </row>
    <row r="91" spans="1:15" x14ac:dyDescent="0.3">
      <c r="B91" s="1" t="s">
        <v>25</v>
      </c>
      <c r="C91" s="37">
        <f>+N92</f>
        <v>11.059867000966625</v>
      </c>
      <c r="D91" s="4" t="s">
        <v>26</v>
      </c>
      <c r="M91" s="53" t="s">
        <v>76</v>
      </c>
      <c r="N91" s="54">
        <f>+N90*B34/(0.85*B33*B42*100)</f>
        <v>2.1685537949878824</v>
      </c>
      <c r="O91" s="55" t="s">
        <v>11</v>
      </c>
    </row>
    <row r="92" spans="1:15" x14ac:dyDescent="0.3">
      <c r="B92" s="1"/>
      <c r="C92" s="3"/>
      <c r="M92" s="1" t="s">
        <v>25</v>
      </c>
      <c r="N92" s="3">
        <f>C82*100000/(0.9*B34*(C87-N91/2))</f>
        <v>11.059867000966625</v>
      </c>
      <c r="O92" s="4" t="s">
        <v>26</v>
      </c>
    </row>
    <row r="93" spans="1:15" x14ac:dyDescent="0.3">
      <c r="B93" s="1"/>
      <c r="C93" s="8"/>
    </row>
    <row r="94" spans="1:15" x14ac:dyDescent="0.3">
      <c r="B94" s="1" t="s">
        <v>73</v>
      </c>
      <c r="C94" s="37">
        <f>0.0018*G26*C87*100</f>
        <v>3.7165500000000002</v>
      </c>
      <c r="D94" s="4" t="s">
        <v>26</v>
      </c>
      <c r="E94" s="1" t="s">
        <v>72</v>
      </c>
      <c r="F94" s="2">
        <f>ROUND(0.7*B33^0.5*100*F36*G26/B34,2)</f>
        <v>5.8</v>
      </c>
      <c r="G94" s="4" t="s">
        <v>26</v>
      </c>
      <c r="M94" s="13"/>
      <c r="N94" s="14"/>
      <c r="O94" s="12"/>
    </row>
    <row r="95" spans="1:15" x14ac:dyDescent="0.3">
      <c r="B95" s="1"/>
      <c r="C95" s="7"/>
      <c r="E95" s="1"/>
      <c r="F95" s="2"/>
      <c r="M95" s="13"/>
      <c r="N95" s="14"/>
      <c r="O95" s="12"/>
    </row>
    <row r="96" spans="1:15" x14ac:dyDescent="0.3">
      <c r="B96" s="1" t="s">
        <v>74</v>
      </c>
      <c r="C96" s="57">
        <f>MAX(C91,F94,C94)</f>
        <v>11.059867000966625</v>
      </c>
      <c r="D96" s="4" t="s">
        <v>26</v>
      </c>
      <c r="E96" s="14"/>
      <c r="F96" s="14"/>
      <c r="G96" s="12"/>
    </row>
    <row r="97" spans="1:10" x14ac:dyDescent="0.3">
      <c r="B97" s="9" t="str">
        <f>+CONCATENATE("As para ancho de ", G26," m =")</f>
        <v>As para ancho de 1.2 m =</v>
      </c>
      <c r="C97" s="83">
        <f>ROUND(C96,2)</f>
        <v>11.06</v>
      </c>
      <c r="D97" s="6" t="s">
        <v>26</v>
      </c>
      <c r="E97" s="15"/>
      <c r="F97" s="10"/>
      <c r="G97" s="8"/>
    </row>
    <row r="98" spans="1:10" x14ac:dyDescent="0.3">
      <c r="B98" s="1" t="s">
        <v>82</v>
      </c>
      <c r="C98" s="70">
        <f>+B83</f>
        <v>5</v>
      </c>
    </row>
    <row r="99" spans="1:10" x14ac:dyDescent="0.3">
      <c r="B99" s="1"/>
      <c r="C99" s="7" t="str">
        <f>+LOOKUP(C98,N56:N64,O56:O64)</f>
        <v>5/8"</v>
      </c>
      <c r="D99" s="72" t="s">
        <v>78</v>
      </c>
      <c r="E99" s="39">
        <f>+LOOKUP(C98,N56:N64,P56:P64)</f>
        <v>1.5874999999999999</v>
      </c>
      <c r="F99" s="4" t="s">
        <v>11</v>
      </c>
      <c r="G99" s="1" t="s">
        <v>79</v>
      </c>
      <c r="H99" s="39">
        <f>+LOOKUP(C98,N56:N64,Q56:Q64)</f>
        <v>1.9793260902246004</v>
      </c>
      <c r="I99" s="4" t="s">
        <v>26</v>
      </c>
    </row>
    <row r="100" spans="1:10" ht="5.25" customHeight="1" x14ac:dyDescent="0.3">
      <c r="B100" s="1"/>
      <c r="C100" s="7"/>
      <c r="D100" s="72"/>
      <c r="E100" s="39"/>
      <c r="G100" s="1"/>
      <c r="H100" s="39"/>
    </row>
    <row r="101" spans="1:10" x14ac:dyDescent="0.3">
      <c r="B101" s="1" t="s">
        <v>89</v>
      </c>
      <c r="C101" s="58"/>
      <c r="D101" s="37"/>
      <c r="E101" s="39"/>
      <c r="G101" s="1"/>
      <c r="H101" s="39"/>
    </row>
    <row r="102" spans="1:10" x14ac:dyDescent="0.3">
      <c r="B102" s="1"/>
      <c r="C102" s="34" t="s">
        <v>90</v>
      </c>
      <c r="D102" s="37">
        <f>3*F36/100</f>
        <v>0.6</v>
      </c>
      <c r="E102" s="75" t="s">
        <v>1</v>
      </c>
      <c r="G102" s="1"/>
      <c r="H102" s="39"/>
    </row>
    <row r="103" spans="1:10" x14ac:dyDescent="0.3">
      <c r="B103" s="1"/>
      <c r="C103" s="34" t="s">
        <v>91</v>
      </c>
      <c r="D103" s="37">
        <f>45/100</f>
        <v>0.45</v>
      </c>
      <c r="E103" s="75" t="s">
        <v>1</v>
      </c>
      <c r="G103" s="1"/>
      <c r="H103" s="39"/>
    </row>
    <row r="104" spans="1:10" x14ac:dyDescent="0.3">
      <c r="B104" s="1"/>
      <c r="C104" s="50"/>
      <c r="D104" s="51"/>
      <c r="E104" s="52"/>
      <c r="F104" s="49"/>
      <c r="G104" s="48"/>
      <c r="H104" s="52"/>
      <c r="I104" s="49"/>
    </row>
    <row r="105" spans="1:10" x14ac:dyDescent="0.3">
      <c r="B105" s="1" t="s">
        <v>83</v>
      </c>
      <c r="C105" s="58" t="s">
        <v>84</v>
      </c>
      <c r="D105" s="37">
        <f>(B42*100-2*B43-E99)/(C106-1)/100</f>
        <v>0.228825</v>
      </c>
      <c r="E105" s="4" t="s">
        <v>1</v>
      </c>
      <c r="F105" s="4" t="str">
        <f>IF(MAX(D102:D103)&gt;D105,"…...CONFORME","…...VERIFICAR")</f>
        <v>…...CONFORME</v>
      </c>
    </row>
    <row r="106" spans="1:10" x14ac:dyDescent="0.3">
      <c r="A106" s="16" t="s">
        <v>27</v>
      </c>
      <c r="B106" s="17" t="s">
        <v>28</v>
      </c>
      <c r="C106" s="18">
        <f>ROUNDUP(C97/H99,0)</f>
        <v>6</v>
      </c>
      <c r="D106" s="59" t="s">
        <v>85</v>
      </c>
      <c r="E106" s="19" t="str">
        <f>+C99</f>
        <v>5/8"</v>
      </c>
      <c r="F106" s="20" t="s">
        <v>29</v>
      </c>
      <c r="G106" s="21">
        <f>+C106*H99</f>
        <v>11.875956541347602</v>
      </c>
      <c r="H106" s="22" t="s">
        <v>30</v>
      </c>
      <c r="I106" s="21">
        <f>+D105</f>
        <v>0.228825</v>
      </c>
      <c r="J106" s="23" t="s">
        <v>1</v>
      </c>
    </row>
    <row r="108" spans="1:10" x14ac:dyDescent="0.3">
      <c r="C108" s="2" t="s">
        <v>107</v>
      </c>
    </row>
    <row r="109" spans="1:10" x14ac:dyDescent="0.3">
      <c r="B109" s="1" t="s">
        <v>108</v>
      </c>
      <c r="C109" s="82">
        <v>3</v>
      </c>
      <c r="D109" s="4" t="s">
        <v>109</v>
      </c>
    </row>
    <row r="110" spans="1:10" x14ac:dyDescent="0.3">
      <c r="B110" s="1" t="s">
        <v>31</v>
      </c>
      <c r="C110" s="8">
        <f>+C97/C109</f>
        <v>3.686666666666667</v>
      </c>
      <c r="D110" s="4" t="s">
        <v>26</v>
      </c>
      <c r="E110" s="2"/>
    </row>
    <row r="111" spans="1:10" x14ac:dyDescent="0.3">
      <c r="B111" s="1" t="s">
        <v>113</v>
      </c>
      <c r="C111" s="8">
        <f>0.0018*G26*100*C87</f>
        <v>3.7165500000000002</v>
      </c>
      <c r="D111" s="4" t="s">
        <v>26</v>
      </c>
    </row>
    <row r="112" spans="1:10" x14ac:dyDescent="0.3">
      <c r="B112" s="9" t="s">
        <v>32</v>
      </c>
      <c r="C112" s="76">
        <f>+MAX(C110,C111)</f>
        <v>3.7165500000000002</v>
      </c>
      <c r="D112" s="6" t="s">
        <v>26</v>
      </c>
    </row>
    <row r="113" spans="1:10" x14ac:dyDescent="0.3">
      <c r="B113" s="1" t="s">
        <v>82</v>
      </c>
      <c r="C113" s="71">
        <v>3</v>
      </c>
      <c r="D113" s="4" t="s">
        <v>106</v>
      </c>
    </row>
    <row r="114" spans="1:10" x14ac:dyDescent="0.3">
      <c r="B114" s="1"/>
      <c r="C114" s="7" t="str">
        <f>+LOOKUP(C113,N56:N64,O56:O64)</f>
        <v>3/8"</v>
      </c>
      <c r="D114" s="72" t="s">
        <v>78</v>
      </c>
      <c r="E114" s="39">
        <f>+LOOKUP(C113,N56:N64,P56:P64)</f>
        <v>0.95250000000000001</v>
      </c>
      <c r="F114" s="4" t="s">
        <v>11</v>
      </c>
      <c r="G114" s="1" t="s">
        <v>79</v>
      </c>
      <c r="H114" s="39">
        <f>+LOOKUP(C113,N56:N64,Q56:Q64)</f>
        <v>0.71255739248085614</v>
      </c>
      <c r="I114" s="4" t="s">
        <v>26</v>
      </c>
    </row>
    <row r="115" spans="1:10" x14ac:dyDescent="0.3">
      <c r="B115" s="1"/>
      <c r="C115" s="50"/>
      <c r="D115" s="51"/>
      <c r="E115" s="52"/>
    </row>
    <row r="116" spans="1:10" x14ac:dyDescent="0.3">
      <c r="B116" s="1" t="s">
        <v>83</v>
      </c>
      <c r="C116" s="58" t="s">
        <v>84</v>
      </c>
      <c r="D116" s="37">
        <f>(B42*100-2*B43-E114)/(C117-1)/100</f>
        <v>0.23009499999999999</v>
      </c>
      <c r="E116" s="4" t="s">
        <v>1</v>
      </c>
      <c r="F116" s="4" t="str">
        <f>IF(MAX(D102:D103)&gt;D116,"…...CONFORME","…...VERIFICAR")</f>
        <v>…...CONFORME</v>
      </c>
    </row>
    <row r="117" spans="1:10" x14ac:dyDescent="0.3">
      <c r="A117" s="16" t="s">
        <v>33</v>
      </c>
      <c r="B117" s="17" t="s">
        <v>28</v>
      </c>
      <c r="C117" s="18">
        <f>ROUNDUP(C112/H114,0)</f>
        <v>6</v>
      </c>
      <c r="D117" s="59" t="s">
        <v>85</v>
      </c>
      <c r="E117" s="19" t="str">
        <f>+C114</f>
        <v>3/8"</v>
      </c>
      <c r="F117" s="20" t="s">
        <v>29</v>
      </c>
      <c r="G117" s="21">
        <f>+C117*H114</f>
        <v>4.2753443548851369</v>
      </c>
      <c r="H117" s="22" t="s">
        <v>30</v>
      </c>
      <c r="I117" s="21">
        <f>+D116</f>
        <v>0.23009499999999999</v>
      </c>
      <c r="J117" s="23" t="s">
        <v>1</v>
      </c>
    </row>
    <row r="119" spans="1:10" x14ac:dyDescent="0.3">
      <c r="B119" s="1" t="s">
        <v>34</v>
      </c>
      <c r="C119" s="8">
        <f>ROUND(0.0018*100*F36,2)</f>
        <v>3.6</v>
      </c>
      <c r="D119" s="4" t="s">
        <v>26</v>
      </c>
    </row>
    <row r="120" spans="1:10" x14ac:dyDescent="0.3">
      <c r="B120" s="1" t="s">
        <v>35</v>
      </c>
      <c r="C120" s="8">
        <f>+C30/C49+E30</f>
        <v>5.0713243873978993</v>
      </c>
      <c r="D120" s="4" t="s">
        <v>1</v>
      </c>
    </row>
    <row r="121" spans="1:10" x14ac:dyDescent="0.3">
      <c r="B121" s="1" t="s">
        <v>36</v>
      </c>
      <c r="C121" s="78">
        <f>+C119*C120</f>
        <v>18.256767794632438</v>
      </c>
      <c r="D121" s="4" t="s">
        <v>26</v>
      </c>
    </row>
    <row r="122" spans="1:10" x14ac:dyDescent="0.3">
      <c r="B122" s="1" t="s">
        <v>82</v>
      </c>
      <c r="C122" s="71">
        <v>3</v>
      </c>
      <c r="D122" s="4" t="s">
        <v>106</v>
      </c>
    </row>
    <row r="123" spans="1:10" x14ac:dyDescent="0.3">
      <c r="B123" s="1"/>
      <c r="C123" s="7" t="str">
        <f>+LOOKUP(C122,N56:N64,O56:O64)</f>
        <v>3/8"</v>
      </c>
      <c r="D123" s="72" t="s">
        <v>78</v>
      </c>
      <c r="E123" s="39">
        <f>+LOOKUP(C122,N56:N64,P56:P64)</f>
        <v>0.95250000000000001</v>
      </c>
      <c r="F123" s="4" t="s">
        <v>11</v>
      </c>
      <c r="G123" s="1" t="s">
        <v>79</v>
      </c>
      <c r="H123" s="39">
        <f>+LOOKUP(C122,N56:N64,Q56:Q64)</f>
        <v>0.71255739248085614</v>
      </c>
      <c r="I123" s="4" t="s">
        <v>26</v>
      </c>
    </row>
    <row r="124" spans="1:10" x14ac:dyDescent="0.3">
      <c r="B124" s="1"/>
      <c r="C124" s="50"/>
      <c r="D124" s="51"/>
      <c r="E124" s="52"/>
    </row>
    <row r="125" spans="1:10" x14ac:dyDescent="0.3">
      <c r="B125" s="1" t="s">
        <v>83</v>
      </c>
      <c r="C125" s="58" t="s">
        <v>84</v>
      </c>
      <c r="D125" s="37">
        <f>(C120*100-2*B43-E123)/(C126-1)/100</f>
        <v>0.20087197549591596</v>
      </c>
      <c r="E125" s="4" t="s">
        <v>1</v>
      </c>
      <c r="F125" s="4" t="str">
        <f>IF(MAX(D102:D103)&gt;D125,"…...CONFORME","…...VERIFICAR")</f>
        <v>…...CONFORME</v>
      </c>
    </row>
    <row r="126" spans="1:10" x14ac:dyDescent="0.3">
      <c r="A126" s="16" t="s">
        <v>37</v>
      </c>
      <c r="B126" s="17" t="s">
        <v>28</v>
      </c>
      <c r="C126" s="18">
        <f>ROUNDUP(C121/H123,0)</f>
        <v>26</v>
      </c>
      <c r="D126" s="59" t="s">
        <v>85</v>
      </c>
      <c r="E126" s="19" t="str">
        <f>C123</f>
        <v>3/8"</v>
      </c>
      <c r="F126" s="22" t="s">
        <v>38</v>
      </c>
      <c r="G126" s="67">
        <f>+D125</f>
        <v>0.20087197549591596</v>
      </c>
      <c r="H126" s="23" t="s">
        <v>1</v>
      </c>
    </row>
    <row r="128" spans="1:10" x14ac:dyDescent="0.3">
      <c r="F128" s="66" t="str">
        <f>CONCATENATE(D117,E117,"@",ROUND(I117,2),J117)</f>
        <v>Ø  de 3/8"@0.23m</v>
      </c>
    </row>
    <row r="129" spans="1:12" ht="15.6" x14ac:dyDescent="0.3">
      <c r="A129" s="5"/>
      <c r="D129" s="60" t="str">
        <f>CONCATENATE(D126,E126,"@",ROUND(G126,2),H126)</f>
        <v>Ø  de 3/8"@0.2m</v>
      </c>
    </row>
    <row r="130" spans="1:12" ht="15.6" x14ac:dyDescent="0.3">
      <c r="A130" s="5"/>
      <c r="D130" s="6"/>
    </row>
    <row r="131" spans="1:12" ht="15.6" x14ac:dyDescent="0.3">
      <c r="A131" s="5"/>
      <c r="C131" s="66" t="str">
        <f>CONCATENATE(D117,E117,"@",ROUND(I117,2),J117)</f>
        <v>Ø  de 3/8"@0.23m</v>
      </c>
      <c r="D131" s="6"/>
      <c r="G131" s="73">
        <f>+F37</f>
        <v>20</v>
      </c>
    </row>
    <row r="132" spans="1:12" ht="15.6" x14ac:dyDescent="0.3">
      <c r="A132" s="5"/>
      <c r="D132" s="6"/>
    </row>
    <row r="133" spans="1:12" ht="15.6" x14ac:dyDescent="0.3">
      <c r="A133" s="5"/>
      <c r="D133" s="6"/>
    </row>
    <row r="134" spans="1:12" ht="15.6" x14ac:dyDescent="0.3">
      <c r="A134" s="5"/>
      <c r="B134" s="60" t="str">
        <f>CONCATENATE(D126,E126,"@",ROUND(G126,2),H126)</f>
        <v>Ø  de 3/8"@0.2m</v>
      </c>
      <c r="D134" s="6"/>
    </row>
    <row r="135" spans="1:12" ht="15.6" x14ac:dyDescent="0.3">
      <c r="A135" s="5"/>
      <c r="C135" s="10"/>
      <c r="D135" s="6"/>
      <c r="E135" s="65" t="str">
        <f>CONCATENATE(D106,E106,"@",ROUND(I106,2),J106)</f>
        <v>Ø  de 5/8"@0.23m</v>
      </c>
    </row>
    <row r="136" spans="1:12" x14ac:dyDescent="0.3">
      <c r="D136" s="6"/>
      <c r="G136" s="4" t="s">
        <v>88</v>
      </c>
    </row>
    <row r="137" spans="1:12" x14ac:dyDescent="0.3">
      <c r="D137" s="6"/>
    </row>
    <row r="138" spans="1:12" ht="15.6" x14ac:dyDescent="0.3">
      <c r="A138" s="5"/>
      <c r="D138" s="6"/>
      <c r="E138" s="60" t="str">
        <f>CONCATENATE(D126,E126,"@",ROUND(G126,2),H126)</f>
        <v>Ø  de 3/8"@0.2m</v>
      </c>
    </row>
    <row r="139" spans="1:12" ht="15.6" x14ac:dyDescent="0.3">
      <c r="A139" s="5"/>
      <c r="C139" s="65" t="str">
        <f>CONCATENATE(D106,E106,"@",ROUND(I106,2),J106)</f>
        <v>Ø  de 5/8"@0.23m</v>
      </c>
      <c r="D139" s="6"/>
    </row>
    <row r="140" spans="1:12" ht="15.6" x14ac:dyDescent="0.3">
      <c r="A140" s="5"/>
      <c r="D140" s="6"/>
    </row>
    <row r="141" spans="1:12" ht="15.6" x14ac:dyDescent="0.3">
      <c r="A141" s="5"/>
      <c r="C141" s="60" t="str">
        <f>CONCATENATE(D126,E126,"@",ROUND(G126,2),H126)</f>
        <v>Ø  de 3/8"@0.2m</v>
      </c>
      <c r="D141" s="6"/>
    </row>
    <row r="142" spans="1:12" ht="15.6" x14ac:dyDescent="0.3">
      <c r="A142" s="5"/>
      <c r="D142" s="6"/>
    </row>
    <row r="143" spans="1:12" ht="15.6" x14ac:dyDescent="0.3">
      <c r="A143" s="5"/>
      <c r="D143" s="6"/>
    </row>
    <row r="144" spans="1:12" s="60" customFormat="1" x14ac:dyDescent="0.3">
      <c r="A144" s="69">
        <f>+B38</f>
        <v>0.25</v>
      </c>
      <c r="C144" s="63">
        <f>+B39</f>
        <v>2.4</v>
      </c>
      <c r="D144" s="62"/>
      <c r="E144" s="64">
        <f>+B40</f>
        <v>2</v>
      </c>
      <c r="F144" s="68">
        <f>+B41</f>
        <v>0.25</v>
      </c>
      <c r="L144" s="61"/>
    </row>
    <row r="145" spans="1:4" x14ac:dyDescent="0.3">
      <c r="A145" s="74" t="s">
        <v>88</v>
      </c>
      <c r="D145" s="6"/>
    </row>
    <row r="147" spans="1:4" ht="15.6" x14ac:dyDescent="0.3">
      <c r="A147" s="5"/>
    </row>
    <row r="148" spans="1:4" x14ac:dyDescent="0.3">
      <c r="C148"/>
    </row>
  </sheetData>
  <protectedRanges>
    <protectedRange password="CCF9" sqref="G26 C55 C60 C105 F24:G25 F27:G31 A24:E31 B33:B37 F36:F37 G32 B43:B44 C116 C125" name="Rango1_1"/>
    <protectedRange password="CCF9" sqref="C101" name="Rango1_1_1"/>
  </protectedRanges>
  <mergeCells count="7">
    <mergeCell ref="A2:K2"/>
    <mergeCell ref="N71:Q71"/>
    <mergeCell ref="N72:Q72"/>
    <mergeCell ref="N51:Q51"/>
    <mergeCell ref="N52:Q52"/>
    <mergeCell ref="N43:Q43"/>
    <mergeCell ref="N44:Q44"/>
  </mergeCells>
  <dataValidations count="3">
    <dataValidation type="list" allowBlank="1" showInputMessage="1" showErrorMessage="1" sqref="B83 C98 C113 C122" xr:uid="{BC9CD5C5-BCAC-42C5-A1E1-FAC582811CA4}">
      <formula1>$N$56:$N$64</formula1>
    </dataValidation>
    <dataValidation type="list" allowBlank="1" showInputMessage="1" showErrorMessage="1" sqref="C77" xr:uid="{E887E37B-894C-40FF-9FA9-11E3051E87C1}">
      <formula1>$O$46:$O$48</formula1>
    </dataValidation>
    <dataValidation type="list" allowBlank="1" showInputMessage="1" showErrorMessage="1" sqref="C109" xr:uid="{9715670D-3A9A-461F-ABB2-D9B68EF4013F}">
      <formula1>$O$74:$O$75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TRAMO TIPO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2015-06-05T18:19:34Z</dcterms:created>
  <dcterms:modified xsi:type="dcterms:W3CDTF">2024-04-22T12:45:53Z</dcterms:modified>
</cp:coreProperties>
</file>