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04BCD32D-83A1-488B-B826-43D7DC88AB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RO VOLADIZO" sheetId="4" r:id="rId1"/>
  </sheets>
  <definedNames>
    <definedName name="fy" localSheetId="0">'MURO VOLADIZO'!$C$40</definedName>
    <definedName name="_xlnm.Print_Area" localSheetId="0">'MURO VOLADIZO'!$A$1:$N$587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0" i="4" l="1"/>
  <c r="C324" i="4"/>
  <c r="C289" i="4"/>
  <c r="C404" i="4"/>
  <c r="H577" i="4" l="1"/>
  <c r="E577" i="4"/>
  <c r="I152" i="4"/>
  <c r="D577" i="4"/>
  <c r="K563" i="4"/>
  <c r="F547" i="4"/>
  <c r="K557" i="4"/>
  <c r="H144" i="4"/>
  <c r="M287" i="4"/>
  <c r="F284" i="4"/>
  <c r="I158" i="4"/>
  <c r="J156" i="4"/>
  <c r="H156" i="4"/>
  <c r="I137" i="4"/>
  <c r="E538" i="4"/>
  <c r="D544" i="4" s="1"/>
  <c r="H539" i="4"/>
  <c r="E539" i="4"/>
  <c r="C542" i="4" s="1"/>
  <c r="F544" i="4" s="1"/>
  <c r="H526" i="4"/>
  <c r="E526" i="4"/>
  <c r="E525" i="4"/>
  <c r="D534" i="4" s="1"/>
  <c r="F574" i="4" l="1"/>
  <c r="H468" i="4"/>
  <c r="E468" i="4"/>
  <c r="E467" i="4"/>
  <c r="D497" i="4" s="1"/>
  <c r="C453" i="4"/>
  <c r="H419" i="4"/>
  <c r="E419" i="4"/>
  <c r="C423" i="4" s="1"/>
  <c r="E418" i="4"/>
  <c r="D448" i="4" s="1"/>
  <c r="H392" i="4"/>
  <c r="E392" i="4"/>
  <c r="C395" i="4" s="1"/>
  <c r="F398" i="4" s="1"/>
  <c r="E391" i="4"/>
  <c r="D398" i="4" s="1"/>
  <c r="H379" i="4"/>
  <c r="E379" i="4"/>
  <c r="E378" i="4"/>
  <c r="D388" i="4" s="1"/>
  <c r="H366" i="4"/>
  <c r="E366" i="4"/>
  <c r="E365" i="4"/>
  <c r="D375" i="4" s="1"/>
  <c r="H344" i="4"/>
  <c r="E344" i="4"/>
  <c r="E343" i="4"/>
  <c r="D353" i="4" s="1"/>
  <c r="H331" i="4"/>
  <c r="E331" i="4"/>
  <c r="E330" i="4"/>
  <c r="D340" i="4" s="1"/>
  <c r="E308" i="4"/>
  <c r="H308" i="4"/>
  <c r="E307" i="4"/>
  <c r="D317" i="4" s="1"/>
  <c r="D286" i="4"/>
  <c r="H295" i="4"/>
  <c r="E295" i="4"/>
  <c r="E294" i="4"/>
  <c r="D304" i="4" s="1"/>
  <c r="C362" i="4"/>
  <c r="C364" i="4" s="1"/>
  <c r="D357" i="4"/>
  <c r="C291" i="4"/>
  <c r="C327" i="4"/>
  <c r="C329" i="4" s="1"/>
  <c r="D321" i="4"/>
  <c r="B232" i="4"/>
  <c r="E196" i="4"/>
  <c r="H196" i="4"/>
  <c r="E195" i="4"/>
  <c r="D225" i="4" s="1"/>
  <c r="D190" i="4"/>
  <c r="C171" i="4"/>
  <c r="D136" i="4"/>
  <c r="D135" i="4"/>
  <c r="D134" i="4"/>
  <c r="D133" i="4"/>
  <c r="C136" i="4"/>
  <c r="C135" i="4"/>
  <c r="C134" i="4"/>
  <c r="E161" i="4"/>
  <c r="E149" i="4"/>
  <c r="C96" i="4"/>
  <c r="K569" i="4" s="1"/>
  <c r="H58" i="4"/>
  <c r="E57" i="4"/>
  <c r="E58" i="4"/>
  <c r="C68" i="4" s="1"/>
  <c r="C47" i="4"/>
  <c r="C46" i="4"/>
  <c r="C237" i="4" l="1"/>
  <c r="C238" i="4" s="1"/>
  <c r="C241" i="4"/>
  <c r="C202" i="4"/>
  <c r="I284" i="4" s="1"/>
  <c r="D555" i="4"/>
  <c r="C524" i="4"/>
  <c r="C529" i="4" s="1"/>
  <c r="C532" i="4" s="1"/>
  <c r="F534" i="4" s="1"/>
  <c r="I574" i="4" s="1"/>
  <c r="G152" i="4"/>
  <c r="C99" i="4"/>
  <c r="C472" i="4"/>
  <c r="C516" i="4" s="1"/>
  <c r="D519" i="4" s="1"/>
  <c r="C407" i="4"/>
  <c r="C462" i="4" s="1"/>
  <c r="C369" i="4"/>
  <c r="C372" i="4" s="1"/>
  <c r="C334" i="4"/>
  <c r="C337" i="4" s="1"/>
  <c r="C377" i="4"/>
  <c r="C342" i="4"/>
  <c r="C347" i="4" s="1"/>
  <c r="C350" i="4" s="1"/>
  <c r="C293" i="4"/>
  <c r="C298" i="4" s="1"/>
  <c r="C301" i="4" s="1"/>
  <c r="F304" i="4" s="1"/>
  <c r="C242" i="4"/>
  <c r="E136" i="4"/>
  <c r="E135" i="4"/>
  <c r="E134" i="4"/>
  <c r="C133" i="4"/>
  <c r="E133" i="4" s="1"/>
  <c r="C51" i="4"/>
  <c r="F375" i="4" l="1"/>
  <c r="D564" i="4" s="1"/>
  <c r="F353" i="4"/>
  <c r="H558" i="4" s="1"/>
  <c r="F340" i="4"/>
  <c r="D558" i="4" s="1"/>
  <c r="D552" i="4"/>
  <c r="C475" i="4"/>
  <c r="C487" i="4"/>
  <c r="C438" i="4"/>
  <c r="C426" i="4"/>
  <c r="C382" i="4"/>
  <c r="C385" i="4" s="1"/>
  <c r="C306" i="4"/>
  <c r="C311" i="4" s="1"/>
  <c r="C314" i="4" s="1"/>
  <c r="F317" i="4" s="1"/>
  <c r="C22" i="4"/>
  <c r="C24" i="4" s="1"/>
  <c r="F388" i="4" l="1"/>
  <c r="H564" i="4" s="1"/>
  <c r="H552" i="4"/>
  <c r="C28" i="4"/>
  <c r="C29" i="4" s="1"/>
  <c r="C19" i="4"/>
  <c r="C142" i="4" l="1"/>
  <c r="C157" i="4" s="1"/>
  <c r="C73" i="4"/>
  <c r="C36" i="4"/>
  <c r="C55" i="4" l="1"/>
  <c r="C82" i="4" s="1"/>
  <c r="C200" i="4"/>
  <c r="I291" i="4" l="1"/>
  <c r="C262" i="4"/>
  <c r="G291" i="4" s="1"/>
  <c r="C63" i="4"/>
  <c r="C266" i="4" l="1"/>
  <c r="C269" i="4" s="1"/>
  <c r="I288" i="4" s="1"/>
  <c r="C201" i="4"/>
  <c r="D178" i="4"/>
  <c r="D22" i="4" l="1"/>
  <c r="C79" i="4"/>
  <c r="B91" i="4" s="1"/>
  <c r="C205" i="4" l="1"/>
  <c r="C209" i="4" s="1"/>
  <c r="C107" i="4"/>
  <c r="C108" i="4" s="1"/>
  <c r="C112" i="4" s="1"/>
  <c r="C120" i="4"/>
  <c r="C121" i="4" s="1"/>
  <c r="C125" i="4" s="1"/>
  <c r="C88" i="4"/>
  <c r="D91" i="4" s="1"/>
  <c r="E91" i="4" s="1"/>
  <c r="E137" i="4"/>
  <c r="C137" i="4"/>
  <c r="Q198" i="4" l="1"/>
  <c r="C212" i="4"/>
  <c r="Q199" i="4" s="1"/>
  <c r="Q200" i="4" s="1"/>
  <c r="C153" i="4"/>
  <c r="C145" i="4"/>
  <c r="C149" i="4" s="1"/>
  <c r="C91" i="4"/>
  <c r="Q201" i="4" l="1"/>
  <c r="Q202" i="4" s="1"/>
  <c r="Q203" i="4" s="1"/>
  <c r="Q204" i="4" s="1"/>
  <c r="Q205" i="4" s="1"/>
  <c r="Q206" i="4" s="1"/>
  <c r="Q207" i="4" s="1"/>
  <c r="C215" i="4" s="1"/>
  <c r="C161" i="4"/>
  <c r="D161" i="4" s="1"/>
  <c r="C167" i="4"/>
  <c r="C175" i="4" s="1"/>
  <c r="C187" i="4" s="1"/>
  <c r="D149" i="4"/>
  <c r="F149" i="4"/>
  <c r="Q208" i="4" l="1"/>
  <c r="C214" i="4" s="1"/>
  <c r="C217" i="4" s="1"/>
  <c r="C220" i="4" s="1"/>
  <c r="C223" i="4" s="1"/>
  <c r="K292" i="4" s="1"/>
  <c r="M415" i="4"/>
  <c r="F161" i="4"/>
  <c r="E215" i="4"/>
  <c r="C183" i="4"/>
  <c r="B190" i="4" s="1"/>
  <c r="B178" i="4"/>
  <c r="C503" i="4" l="1"/>
  <c r="C507" i="4" s="1"/>
  <c r="C513" i="4" s="1"/>
  <c r="B519" i="4" s="1"/>
  <c r="E519" i="4" s="1"/>
  <c r="I416" i="4"/>
  <c r="G276" i="4"/>
  <c r="H276" i="4"/>
  <c r="C412" i="4"/>
  <c r="C417" i="4" s="1"/>
  <c r="C456" i="4"/>
  <c r="C229" i="4"/>
  <c r="D232" i="4" s="1"/>
  <c r="C190" i="4"/>
  <c r="E178" i="4"/>
  <c r="C178" i="4"/>
  <c r="C519" i="4" l="1"/>
  <c r="C429" i="4"/>
  <c r="C432" i="4" s="1"/>
  <c r="Q422" i="4" s="1"/>
  <c r="C459" i="4"/>
  <c r="C466" i="4"/>
  <c r="F225" i="4"/>
  <c r="F232" i="4"/>
  <c r="C232" i="4"/>
  <c r="E190" i="4"/>
  <c r="H561" i="4" l="1"/>
  <c r="H555" i="4"/>
  <c r="C478" i="4"/>
  <c r="Q423" i="4"/>
  <c r="Q424" i="4" s="1"/>
  <c r="Q421" i="4"/>
  <c r="C481" i="4" l="1"/>
  <c r="Q471" i="4" s="1"/>
  <c r="Q472" i="4" s="1"/>
  <c r="Q473" i="4" s="1"/>
  <c r="Q474" i="4" s="1"/>
  <c r="Q475" i="4" s="1"/>
  <c r="Q476" i="4" s="1"/>
  <c r="Q477" i="4" s="1"/>
  <c r="Q478" i="4" s="1"/>
  <c r="Q479" i="4" s="1"/>
  <c r="Q470" i="4"/>
  <c r="Q425" i="4"/>
  <c r="Q426" i="4" s="1"/>
  <c r="Q427" i="4" s="1"/>
  <c r="Q428" i="4" s="1"/>
  <c r="Q429" i="4" s="1"/>
  <c r="Q430" i="4" s="1"/>
  <c r="C435" i="4" l="1"/>
  <c r="E435" i="4" s="1"/>
  <c r="Q431" i="4"/>
  <c r="C434" i="4" s="1"/>
  <c r="C440" i="4" s="1"/>
  <c r="C443" i="4" s="1"/>
  <c r="C446" i="4" s="1"/>
  <c r="F448" i="4" s="1"/>
  <c r="D574" i="4" s="1"/>
  <c r="C484" i="4"/>
  <c r="E484" i="4" s="1"/>
  <c r="Q480" i="4"/>
  <c r="C483" i="4" s="1"/>
  <c r="C489" i="4" l="1"/>
  <c r="C492" i="4" s="1"/>
  <c r="C495" i="4" s="1"/>
  <c r="F497" i="4" s="1"/>
  <c r="H566" i="4" s="1"/>
</calcChain>
</file>

<file path=xl/sharedStrings.xml><?xml version="1.0" encoding="utf-8"?>
<sst xmlns="http://schemas.openxmlformats.org/spreadsheetml/2006/main" count="616" uniqueCount="238">
  <si>
    <t>m</t>
  </si>
  <si>
    <t>ton/m3</t>
  </si>
  <si>
    <t>kg/cm2</t>
  </si>
  <si>
    <t>ton</t>
  </si>
  <si>
    <t>P1</t>
  </si>
  <si>
    <t>P2</t>
  </si>
  <si>
    <t>P3</t>
  </si>
  <si>
    <t>P4</t>
  </si>
  <si>
    <t>FSD =</t>
  </si>
  <si>
    <t>cm</t>
  </si>
  <si>
    <t>FSV =</t>
  </si>
  <si>
    <t>ton-m</t>
  </si>
  <si>
    <t>B1 =</t>
  </si>
  <si>
    <t>B2 ≥</t>
  </si>
  <si>
    <t>B1 ≥</t>
  </si>
  <si>
    <t>hp =</t>
  </si>
  <si>
    <t>γs =</t>
  </si>
  <si>
    <t>φ =</t>
  </si>
  <si>
    <t xml:space="preserve">σt = </t>
  </si>
  <si>
    <t>°</t>
  </si>
  <si>
    <t>1.2. DIMENSIONAMIENTO DE LA PANTALLA</t>
  </si>
  <si>
    <t>t1 =</t>
  </si>
  <si>
    <t>b =</t>
  </si>
  <si>
    <t>f'c =</t>
  </si>
  <si>
    <t>fy =</t>
  </si>
  <si>
    <t>Mu =</t>
  </si>
  <si>
    <t>w =</t>
  </si>
  <si>
    <t>d =</t>
  </si>
  <si>
    <t>t2 =</t>
  </si>
  <si>
    <t>Entonces "d"</t>
  </si>
  <si>
    <t>1.3. VERIFICACION POR CORTE</t>
  </si>
  <si>
    <t>Vdu =</t>
  </si>
  <si>
    <t>Vc =</t>
  </si>
  <si>
    <t>Vce =</t>
  </si>
  <si>
    <t>1.4. DIMENSIONAMIENTO DE LA ZAPATA</t>
  </si>
  <si>
    <t>h =</t>
  </si>
  <si>
    <t>Pi</t>
  </si>
  <si>
    <t>Pesos (P) ton</t>
  </si>
  <si>
    <t>1.6. PRESIONES SOBRE EL TERRENO</t>
  </si>
  <si>
    <t>Xo =</t>
  </si>
  <si>
    <t>e =</t>
  </si>
  <si>
    <t xml:space="preserve">e </t>
  </si>
  <si>
    <t>q1 =</t>
  </si>
  <si>
    <t>q2 =</t>
  </si>
  <si>
    <t>ton/m2</t>
  </si>
  <si>
    <t>qmax</t>
  </si>
  <si>
    <t xml:space="preserve">σt  </t>
  </si>
  <si>
    <t>1.7. DISEÑO DE LA PANTALLA</t>
  </si>
  <si>
    <t xml:space="preserve">m </t>
  </si>
  <si>
    <t xml:space="preserve">cm </t>
  </si>
  <si>
    <t>As =</t>
  </si>
  <si>
    <t>cm2</t>
  </si>
  <si>
    <t>a =</t>
  </si>
  <si>
    <t>S =</t>
  </si>
  <si>
    <t>@</t>
  </si>
  <si>
    <t>Cuantia:</t>
  </si>
  <si>
    <t>ρ =</t>
  </si>
  <si>
    <t>ρmin =</t>
  </si>
  <si>
    <t>Refuerzo 1 =</t>
  </si>
  <si>
    <t>Refuerzo 2 =</t>
  </si>
  <si>
    <t xml:space="preserve"> Como la pantalla es de seccion variable, se tiene :</t>
  </si>
  <si>
    <t>hc =</t>
  </si>
  <si>
    <t>Lc =</t>
  </si>
  <si>
    <t>cm2/m</t>
  </si>
  <si>
    <t>DETERMINACION DE PUNTO DE CORTE</t>
  </si>
  <si>
    <t>Refuerzo Horizontal:</t>
  </si>
  <si>
    <t xml:space="preserve">                 2)</t>
  </si>
  <si>
    <t xml:space="preserve">                 1)</t>
  </si>
  <si>
    <t>otros casos</t>
  </si>
  <si>
    <t>Ast =</t>
  </si>
  <si>
    <t>1.8. DISEÑO DE LA ZAPATA</t>
  </si>
  <si>
    <t>Ws =</t>
  </si>
  <si>
    <t>Wpp =</t>
  </si>
  <si>
    <t>ton/m</t>
  </si>
  <si>
    <t>Wu max =</t>
  </si>
  <si>
    <t>Conservadoramente</t>
  </si>
  <si>
    <t>As min =</t>
  </si>
  <si>
    <t>qB =</t>
  </si>
  <si>
    <t>Wu =</t>
  </si>
  <si>
    <t>Vaciado in Situ</t>
  </si>
  <si>
    <t>Usar:     f =</t>
  </si>
  <si>
    <t>para calculo de estabilidad contra deslizamiento</t>
  </si>
  <si>
    <t>Vn =</t>
  </si>
  <si>
    <t>Vn</t>
  </si>
  <si>
    <t>Vc</t>
  </si>
  <si>
    <t>Refuerzo transversal:</t>
  </si>
  <si>
    <t>f =</t>
  </si>
  <si>
    <t>Ka =</t>
  </si>
  <si>
    <t>Ka.γs =</t>
  </si>
  <si>
    <t>(capacidad portante del suelo)</t>
  </si>
  <si>
    <t>1.1. SOLUCION</t>
  </si>
  <si>
    <t>1. DATOS DE ENTRADA</t>
  </si>
  <si>
    <t>Ø =</t>
  </si>
  <si>
    <t>De       Ø =</t>
  </si>
  <si>
    <t>Además:</t>
  </si>
  <si>
    <t>Considerando para la ecuación (1):</t>
  </si>
  <si>
    <t xml:space="preserve"> Usar Cuantia: ρ =</t>
  </si>
  <si>
    <t xml:space="preserve"> φ =</t>
  </si>
  <si>
    <t>DISEÑO MURO DE CONTENCIÓN EN VOLADIZO</t>
  </si>
  <si>
    <t>ACERO DISPONIBLES EN cm2</t>
  </si>
  <si>
    <t>N°</t>
  </si>
  <si>
    <t>DIAMETRO</t>
  </si>
  <si>
    <t>AREA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</si>
  <si>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</si>
  <si>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</si>
  <si>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</si>
  <si>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</si>
  <si>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</si>
  <si>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</si>
  <si>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</si>
  <si>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</si>
  <si>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</si>
  <si>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>Usamos acero # =</t>
  </si>
  <si>
    <t>Diam. =</t>
  </si>
  <si>
    <t>Area =</t>
  </si>
  <si>
    <t>Re =</t>
  </si>
  <si>
    <t>cm      (recubrimiento)</t>
  </si>
  <si>
    <t>Si As se traslapa en la base:</t>
  </si>
  <si>
    <t>Vce</t>
  </si>
  <si>
    <t>B1/h ≥</t>
  </si>
  <si>
    <t>γm =</t>
  </si>
  <si>
    <t>Peso especifico del material. Ver tabla 3</t>
  </si>
  <si>
    <t>Usar: B1 =</t>
  </si>
  <si>
    <t>Usar: t2 =</t>
  </si>
  <si>
    <t>B2/h ≥</t>
  </si>
  <si>
    <t>Si sabemos que : (B2 min = Hz)</t>
  </si>
  <si>
    <t>B2 min = Hz =</t>
  </si>
  <si>
    <t>Usar: B2 =</t>
  </si>
  <si>
    <t>Brazo de giro (X) m</t>
  </si>
  <si>
    <t>Momento   P·X (ton-m)</t>
  </si>
  <si>
    <t>γc =</t>
  </si>
  <si>
    <t>(peso especifico del concreto)</t>
  </si>
  <si>
    <t>Ha =</t>
  </si>
  <si>
    <t>N =</t>
  </si>
  <si>
    <t>Mr =</t>
  </si>
  <si>
    <t>Ma =</t>
  </si>
  <si>
    <t>e1 =</t>
  </si>
  <si>
    <t>Usar: As =</t>
  </si>
  <si>
    <t>n =</t>
  </si>
  <si>
    <t xml:space="preserve">s = </t>
  </si>
  <si>
    <t xml:space="preserve">Usar: </t>
  </si>
  <si>
    <t>Ø</t>
  </si>
  <si>
    <t xml:space="preserve">ρmin </t>
  </si>
  <si>
    <t>ρ</t>
  </si>
  <si>
    <r>
      <t>fy &gt;</t>
    </r>
    <r>
      <rPr>
        <sz val="11"/>
        <color theme="1"/>
        <rFont val="Calibri"/>
        <family val="2"/>
        <scheme val="minor"/>
      </rPr>
      <t xml:space="preserve"> 4200 kg/cm2</t>
    </r>
  </si>
  <si>
    <r>
      <rPr>
        <sz val="11"/>
        <color indexed="8"/>
        <rFont val="Calibri"/>
        <family val="2"/>
        <scheme val="minor"/>
      </rPr>
      <t>φ (pulg)</t>
    </r>
  </si>
  <si>
    <t xml:space="preserve"> Refuerzo mínimo :</t>
  </si>
  <si>
    <t>Asumiendo a = d/5</t>
  </si>
  <si>
    <t>De (1):</t>
  </si>
  <si>
    <t>Si As1 = As2, entonces:</t>
  </si>
  <si>
    <t>Si el peralte de la pantalla varía linealmente, el momento resistente varía también</t>
  </si>
  <si>
    <t>linealmente. Por lo tanto se puede trazar líneas de resistencia para determinar los puntos de corte.</t>
  </si>
  <si>
    <t>Usar : Lc =</t>
  </si>
  <si>
    <t>Ø ≤ 5/8" y</t>
  </si>
  <si>
    <r>
      <t xml:space="preserve">Si t2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25cm: usar refuerzo horizontal en 2 capas</t>
    </r>
  </si>
  <si>
    <t>2/3 · Ast =</t>
  </si>
  <si>
    <t>ρt =</t>
  </si>
  <si>
    <t>1/3 · Ast =</t>
  </si>
  <si>
    <t>Smax =</t>
  </si>
  <si>
    <t>Area de acero  montaje</t>
  </si>
  <si>
    <t>Abajo:</t>
  </si>
  <si>
    <t>Intermedio:</t>
  </si>
  <si>
    <t>Arriba:</t>
  </si>
  <si>
    <t>Realizando las iteraciones</t>
  </si>
  <si>
    <t>1.5. VERIFICACION DE ESTABILIDAD</t>
  </si>
  <si>
    <t>qb =</t>
  </si>
  <si>
    <t>L =</t>
  </si>
  <si>
    <t>Verificacíon por corte</t>
  </si>
  <si>
    <t>q'd =</t>
  </si>
  <si>
    <t>a) As temp =</t>
  </si>
  <si>
    <t xml:space="preserve">b) As montaje </t>
  </si>
  <si>
    <t>t1</t>
  </si>
  <si>
    <t>t2</t>
  </si>
  <si>
    <t>B2</t>
  </si>
  <si>
    <t>B1</t>
  </si>
  <si>
    <t>hp</t>
  </si>
  <si>
    <t>P</t>
  </si>
  <si>
    <t>h/3</t>
  </si>
  <si>
    <t>q2</t>
  </si>
  <si>
    <t>q1</t>
  </si>
  <si>
    <t>As</t>
  </si>
  <si>
    <t>As min</t>
  </si>
  <si>
    <t>As/2</t>
  </si>
  <si>
    <t>d</t>
  </si>
  <si>
    <t>2/3 Ast</t>
  </si>
  <si>
    <t>1/3 Ast</t>
  </si>
  <si>
    <t>Ws</t>
  </si>
  <si>
    <t>Wpp</t>
  </si>
  <si>
    <t>qs</t>
  </si>
  <si>
    <t>qd</t>
  </si>
  <si>
    <t>1.8.2. Zapata Posterior (Talon)</t>
  </si>
  <si>
    <t>1.8.1. Zapata Anterior (Punta)</t>
  </si>
  <si>
    <t>iteraciones</t>
  </si>
  <si>
    <t>TABLA 2</t>
  </si>
  <si>
    <t>TABLA 3</t>
  </si>
  <si>
    <t>Descripcion</t>
  </si>
  <si>
    <t>Peso Especifico de los Materiales</t>
  </si>
  <si>
    <t>Concreto Armado</t>
  </si>
  <si>
    <t>Concreto</t>
  </si>
  <si>
    <t xml:space="preserve">γm </t>
  </si>
  <si>
    <t>und</t>
  </si>
  <si>
    <t xml:space="preserve">Concreto  </t>
  </si>
  <si>
    <t>Grava, suelo gravoso, arena</t>
  </si>
  <si>
    <t>Suelo arenoso</t>
  </si>
  <si>
    <t>Suelo cohesivo</t>
  </si>
  <si>
    <t>NTE E.060</t>
  </si>
  <si>
    <t>ACI 318S-08</t>
  </si>
  <si>
    <t>Flexión</t>
  </si>
  <si>
    <t>Compresión</t>
  </si>
  <si>
    <t>Cortante</t>
  </si>
  <si>
    <t>Columnas estribadas</t>
  </si>
  <si>
    <t>Columnas zunchadas</t>
  </si>
  <si>
    <t>TABLA 4</t>
  </si>
  <si>
    <r>
      <t xml:space="preserve">Factores </t>
    </r>
    <r>
      <rPr>
        <sz val="10"/>
        <color theme="1"/>
        <rFont val="Calibri"/>
        <family val="2"/>
      </rPr>
      <t>Ø</t>
    </r>
  </si>
  <si>
    <r>
      <t xml:space="preserve">Coeficientes  </t>
    </r>
    <r>
      <rPr>
        <b/>
        <sz val="10"/>
        <color theme="1"/>
        <rFont val="Calibri"/>
        <family val="2"/>
      </rPr>
      <t>Ø</t>
    </r>
    <r>
      <rPr>
        <b/>
        <sz val="10"/>
        <color theme="1"/>
        <rFont val="Calibri"/>
        <family val="2"/>
        <scheme val="minor"/>
      </rPr>
      <t xml:space="preserve">  para Diseño</t>
    </r>
  </si>
  <si>
    <t>Cortante. Ver tabla 4</t>
  </si>
  <si>
    <t>Flexión. Ver tabla 4</t>
  </si>
  <si>
    <t>Usar valor según tipo suelo. Ver tabla 1</t>
  </si>
  <si>
    <t>(angulo de fricción interna del suelo)</t>
  </si>
  <si>
    <t>(resistencia del concreto)</t>
  </si>
  <si>
    <t>(fluencia del acero)</t>
  </si>
  <si>
    <t>(peso especifico del suelo de relleno)</t>
  </si>
  <si>
    <t>(altura del muro)</t>
  </si>
  <si>
    <t>(coeficiente de friccion para deslizamiento)</t>
  </si>
  <si>
    <t>hz =</t>
  </si>
  <si>
    <t>hz</t>
  </si>
  <si>
    <t>1.4.1. Dimensionamiento por estabilidad al deslizamiento:</t>
  </si>
  <si>
    <t>1.4.2. Dimensionamiento por estabilidad al volteo:</t>
  </si>
  <si>
    <t>M =</t>
  </si>
  <si>
    <t>TOTAL</t>
  </si>
  <si>
    <t>Por estabilidad al deslizamiento</t>
  </si>
  <si>
    <t>Por estabilidad al volteo</t>
  </si>
  <si>
    <t>e1 = B/6</t>
  </si>
  <si>
    <t>Luego: Esfuerzo del terreno</t>
  </si>
  <si>
    <t xml:space="preserve"> En la Base (refuerzo de acero vertical):</t>
  </si>
  <si>
    <t>solo por montaje</t>
  </si>
  <si>
    <t>(factor de seguridad por volteo)</t>
  </si>
  <si>
    <t>(factor de seguridad por deslizamiento)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</si>
</sst>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0"/>
    <numFmt numFmtId="168" formatCode="&quot;Nº&quot;\ 0"/>
  </numFmts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22"/>
      <color theme="3" tint="0.39997558519241921"/>
      <name val="Calibri"/>
      <family val="2"/>
      <scheme val="minor"/>
    </font>
    <font>
      <b/>
      <i/>
      <sz val="10"/>
      <color theme="3" tint="0.39997558519241921"/>
      <name val="Calibri"/>
      <family val="2"/>
      <scheme val="minor"/>
    </font>
    <font>
      <sz val="11"/>
      <color theme="1"/>
      <name val="Arial Narrow"/>
      <family val="2"/>
    </font>
    <font>
      <b/>
      <sz val="11"/>
      <color rgb="FF0070C0"/>
      <name val="Calibri"/>
      <family val="2"/>
      <scheme val="minor"/>
    </font>
    <font>
      <b/>
      <u/>
      <sz val="26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166" fontId="9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2" borderId="0" xfId="0" applyFont="1" applyFill="1"/>
    <xf numFmtId="164" fontId="8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2" fontId="8" fillId="2" borderId="0" xfId="0" applyNumberFormat="1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64" fontId="0" fillId="2" borderId="0" xfId="0" applyNumberFormat="1" applyFill="1" applyAlignment="1">
      <alignment horizontal="left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 indent="2"/>
    </xf>
    <xf numFmtId="0" fontId="5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7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/>
    </xf>
    <xf numFmtId="0" fontId="11" fillId="2" borderId="0" xfId="0" applyFont="1" applyFill="1"/>
    <xf numFmtId="0" fontId="5" fillId="2" borderId="0" xfId="0" applyFont="1" applyFill="1"/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2" fontId="12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2" borderId="0" xfId="0" applyNumberFormat="1" applyFill="1"/>
    <xf numFmtId="12" fontId="6" fillId="3" borderId="0" xfId="0" applyNumberFormat="1" applyFont="1" applyFill="1" applyAlignment="1">
      <alignment vertical="center"/>
    </xf>
    <xf numFmtId="168" fontId="0" fillId="2" borderId="0" xfId="0" applyNumberFormat="1" applyFill="1" applyAlignment="1">
      <alignment horizontal="right"/>
    </xf>
    <xf numFmtId="166" fontId="6" fillId="3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64" fontId="0" fillId="2" borderId="1" xfId="0" applyNumberForma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/>
    <xf numFmtId="2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2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8" fillId="2" borderId="0" xfId="0" quotePrefix="1" applyNumberFormat="1" applyFont="1" applyFill="1" applyAlignment="1">
      <alignment horizontal="right"/>
    </xf>
    <xf numFmtId="164" fontId="8" fillId="2" borderId="0" xfId="0" quotePrefix="1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right" vertical="center"/>
    </xf>
    <xf numFmtId="2" fontId="6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right" vertical="center"/>
    </xf>
    <xf numFmtId="1" fontId="0" fillId="2" borderId="0" xfId="0" applyNumberForma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top"/>
    </xf>
    <xf numFmtId="166" fontId="6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/>
    <xf numFmtId="166" fontId="2" fillId="2" borderId="0" xfId="0" applyNumberFormat="1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2" fontId="6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/>
    </xf>
    <xf numFmtId="0" fontId="19" fillId="2" borderId="0" xfId="0" applyFont="1" applyFill="1" applyAlignment="1">
      <alignment horizontal="right"/>
    </xf>
    <xf numFmtId="168" fontId="3" fillId="2" borderId="0" xfId="0" applyNumberFormat="1" applyFont="1" applyFill="1" applyAlignment="1">
      <alignment horizontal="right"/>
    </xf>
    <xf numFmtId="0" fontId="20" fillId="2" borderId="0" xfId="0" applyFont="1" applyFill="1" applyAlignment="1">
      <alignment vertical="center"/>
    </xf>
    <xf numFmtId="2" fontId="10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164" fontId="0" fillId="2" borderId="2" xfId="0" applyNumberForma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3"/>
    </xf>
    <xf numFmtId="0" fontId="0" fillId="2" borderId="0" xfId="0" applyFill="1" applyAlignment="1">
      <alignment horizontal="left" indent="6"/>
    </xf>
    <xf numFmtId="0" fontId="0" fillId="2" borderId="0" xfId="0" applyFill="1" applyAlignment="1">
      <alignment horizontal="right" indent="1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 indent="2"/>
    </xf>
    <xf numFmtId="0" fontId="21" fillId="2" borderId="0" xfId="0" applyFont="1" applyFill="1"/>
    <xf numFmtId="0" fontId="22" fillId="2" borderId="0" xfId="0" applyFont="1" applyFill="1" applyAlignment="1">
      <alignment horizontal="left" indent="2"/>
    </xf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3" fillId="2" borderId="0" xfId="0" applyFont="1" applyFill="1" applyAlignment="1">
      <alignment horizontal="right"/>
    </xf>
    <xf numFmtId="0" fontId="24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/>
    <xf numFmtId="0" fontId="25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left"/>
    </xf>
    <xf numFmtId="0" fontId="30" fillId="2" borderId="0" xfId="0" applyFont="1" applyFill="1"/>
    <xf numFmtId="166" fontId="6" fillId="0" borderId="0" xfId="0" applyNumberFormat="1" applyFont="1" applyAlignment="1">
      <alignment horizontal="center" vertical="center"/>
    </xf>
    <xf numFmtId="0" fontId="31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/>
    <xf numFmtId="2" fontId="2" fillId="2" borderId="0" xfId="0" applyNumberFormat="1" applyFont="1" applyFill="1" applyAlignment="1">
      <alignment horizontal="center" vertical="center"/>
    </xf>
    <xf numFmtId="12" fontId="6" fillId="4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indent="8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Alignment="1">
      <alignment horizontal="right" indent="2"/>
    </xf>
    <xf numFmtId="0" fontId="0" fillId="2" borderId="0" xfId="0" applyFill="1" applyAlignment="1">
      <alignment horizontal="left" vertical="center" indent="2"/>
    </xf>
    <xf numFmtId="0" fontId="0" fillId="2" borderId="0" xfId="0" applyFill="1" applyAlignment="1">
      <alignment horizontal="left" vertical="top" indent="6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 indent="3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9" fillId="2" borderId="2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 vertical="top"/>
    </xf>
    <xf numFmtId="0" fontId="0" fillId="5" borderId="0" xfId="0" applyFill="1"/>
    <xf numFmtId="0" fontId="17" fillId="5" borderId="0" xfId="0" applyFont="1" applyFill="1"/>
    <xf numFmtId="0" fontId="0" fillId="5" borderId="0" xfId="0" applyFill="1" applyAlignment="1">
      <alignment horizontal="center"/>
    </xf>
    <xf numFmtId="0" fontId="3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png"/><Relationship Id="rId1" Type="http://schemas.openxmlformats.org/officeDocument/2006/relationships/image" Target="../media/image10.emf"/><Relationship Id="rId4" Type="http://schemas.openxmlformats.org/officeDocument/2006/relationships/image" Target="../media/image13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265900</xdr:colOff>
      <xdr:row>76</xdr:row>
      <xdr:rowOff>23814</xdr:rowOff>
    </xdr:from>
    <xdr:ext cx="1051725" cy="3948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31025" y="13938252"/>
              <a:ext cx="1051725" cy="394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Vn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Vdu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φ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31025" y="13938252"/>
              <a:ext cx="1051725" cy="3948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Vn=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Vdu/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"φ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</a:p>
          </xdr:txBody>
        </xdr:sp>
      </mc:Fallback>
    </mc:AlternateContent>
    <xdr:clientData/>
  </xdr:oneCellAnchor>
  <xdr:twoCellAnchor>
    <xdr:from>
      <xdr:col>2</xdr:col>
      <xdr:colOff>581705</xdr:colOff>
      <xdr:row>277</xdr:row>
      <xdr:rowOff>4479</xdr:rowOff>
    </xdr:from>
    <xdr:to>
      <xdr:col>2</xdr:col>
      <xdr:colOff>672398</xdr:colOff>
      <xdr:row>278</xdr:row>
      <xdr:rowOff>142427</xdr:rowOff>
    </xdr:to>
    <xdr:sp macro="" textlink="">
      <xdr:nvSpPr>
        <xdr:cNvPr id="17" name="16 Cerrar llav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731509" y="51381649"/>
          <a:ext cx="90693" cy="328448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581705</xdr:colOff>
      <xdr:row>279</xdr:row>
      <xdr:rowOff>19707</xdr:rowOff>
    </xdr:from>
    <xdr:to>
      <xdr:col>3</xdr:col>
      <xdr:colOff>699</xdr:colOff>
      <xdr:row>280</xdr:row>
      <xdr:rowOff>13138</xdr:rowOff>
    </xdr:to>
    <xdr:sp macro="" textlink="">
      <xdr:nvSpPr>
        <xdr:cNvPr id="18" name="17 Cerrar llav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731509" y="51777877"/>
          <a:ext cx="95949" cy="18393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14</xdr:col>
      <xdr:colOff>714595</xdr:colOff>
      <xdr:row>23</xdr:row>
      <xdr:rowOff>47563</xdr:rowOff>
    </xdr:from>
    <xdr:to>
      <xdr:col>18</xdr:col>
      <xdr:colOff>754639</xdr:colOff>
      <xdr:row>43</xdr:row>
      <xdr:rowOff>98210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595" y="4238563"/>
          <a:ext cx="3114714" cy="386064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1</xdr:col>
      <xdr:colOff>590550</xdr:colOff>
      <xdr:row>19</xdr:row>
      <xdr:rowOff>183854</xdr:rowOff>
    </xdr:from>
    <xdr:ext cx="700128" cy="1892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955675" y="3144542"/>
              <a:ext cx="700128" cy="1892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tan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fName>
                      <m:e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01B86956-FA76-4ABC-AEBD-21423013CB64}"/>
                </a:ext>
              </a:extLst>
            </xdr:cNvPr>
            <xdr:cNvSpPr txBox="1"/>
          </xdr:nvSpPr>
          <xdr:spPr>
            <a:xfrm>
              <a:off x="955675" y="3144542"/>
              <a:ext cx="700128" cy="1892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f=〖tan 〗⁡〖(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354016</xdr:colOff>
      <xdr:row>25</xdr:row>
      <xdr:rowOff>31752</xdr:rowOff>
    </xdr:from>
    <xdr:ext cx="1455738" cy="3571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719141" y="4135440"/>
              <a:ext cx="1455738" cy="3571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tan</m:t>
                        </m:r>
                      </m:e>
                      <m:sup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45</m:t>
                        </m:r>
                      </m:e>
                      <m:sup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sup>
                    </m:sSup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AA224F86-D43A-4BA0-A822-2EBFF6CF5805}"/>
                </a:ext>
              </a:extLst>
            </xdr:cNvPr>
            <xdr:cNvSpPr txBox="1"/>
          </xdr:nvSpPr>
          <xdr:spPr>
            <a:xfrm>
              <a:off x="719141" y="4135440"/>
              <a:ext cx="1455738" cy="3571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Ka=tan^2 (45^°−  Ø/2)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458794</xdr:colOff>
      <xdr:row>33</xdr:row>
      <xdr:rowOff>31752</xdr:rowOff>
    </xdr:from>
    <xdr:ext cx="2063750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820744" y="6661152"/>
              <a:ext cx="2063750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=1.7·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=1.7·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(</m:t>
                            </m:r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hp</m:t>
                            </m:r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820744" y="6661152"/>
              <a:ext cx="2063750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Mu=1.7·M=1.7·Ka·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s·〖 (hp)〗^3/6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325433</xdr:colOff>
      <xdr:row>38</xdr:row>
      <xdr:rowOff>55565</xdr:rowOff>
    </xdr:from>
    <xdr:ext cx="3159125" cy="2535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126 CuadroTexto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690558" y="7016753"/>
              <a:ext cx="3159125" cy="253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Mu =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 </m:t>
                  </m:r>
                  <m:sSup>
                    <m:sSup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</m:e>
                    <m:sup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f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’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·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w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· 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(1−0.59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·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w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................ (1)</a:t>
              </a:r>
            </a:p>
          </xdr:txBody>
        </xdr:sp>
      </mc:Choice>
      <mc:Fallback xmlns="">
        <xdr:sp macro="" textlink="">
          <xdr:nvSpPr>
            <xdr:cNvPr id="53" name="126 CuadroTexto">
              <a:extLst>
                <a:ext uri="{FF2B5EF4-FFF2-40B4-BE49-F238E27FC236}">
                  <a16:creationId xmlns:a16="http://schemas.microsoft.com/office/drawing/2014/main" id="{255E679B-EF15-4A9B-8C59-4A58683C92D3}"/>
                </a:ext>
              </a:extLst>
            </xdr:cNvPr>
            <xdr:cNvSpPr txBox="1"/>
          </xdr:nvSpPr>
          <xdr:spPr>
            <a:xfrm>
              <a:off x="690558" y="7016753"/>
              <a:ext cx="3159125" cy="253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Mu =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"b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d^2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f’c ·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w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·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"(1−0.59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·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w)................ (1)</a:t>
              </a:r>
            </a:p>
          </xdr:txBody>
        </xdr:sp>
      </mc:Fallback>
    </mc:AlternateContent>
    <xdr:clientData/>
  </xdr:oneCellAnchor>
  <xdr:oneCellAnchor>
    <xdr:from>
      <xdr:col>1</xdr:col>
      <xdr:colOff>420681</xdr:colOff>
      <xdr:row>48</xdr:row>
      <xdr:rowOff>7938</xdr:rowOff>
    </xdr:from>
    <xdr:ext cx="875907" cy="4016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126 CuadroTexto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785806" y="8874126"/>
              <a:ext cx="875907" cy="401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ρ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f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’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4" name="126 CuadroTexto">
              <a:extLst>
                <a:ext uri="{FF2B5EF4-FFF2-40B4-BE49-F238E27FC236}">
                  <a16:creationId xmlns:a16="http://schemas.microsoft.com/office/drawing/2014/main" id="{4FC09AD4-7712-42B2-BFC0-4B1665313972}"/>
                </a:ext>
              </a:extLst>
            </xdr:cNvPr>
            <xdr:cNvSpPr txBox="1"/>
          </xdr:nvSpPr>
          <xdr:spPr>
            <a:xfrm>
              <a:off x="785806" y="8874126"/>
              <a:ext cx="875907" cy="401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("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fy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)/(" f’c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1</xdr:col>
      <xdr:colOff>482600</xdr:colOff>
      <xdr:row>51</xdr:row>
      <xdr:rowOff>76200</xdr:rowOff>
    </xdr:from>
    <xdr:ext cx="2155825" cy="5127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126 CuadroTexto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844550" y="10039350"/>
              <a:ext cx="2155825" cy="512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Mu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l-GR" sz="105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φ</m:t>
                            </m:r>
                            <m:r>
                              <m:rPr>
                                <m:nor/>
                              </m:rP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· </m:t>
                            </m:r>
                            <m:r>
                              <m:rPr>
                                <m:nor/>
                              </m:rP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b</m:t>
                            </m:r>
                            <m:r>
                              <m:rPr>
                                <m:nor/>
                              </m:rP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· </m:t>
                            </m:r>
                            <m:r>
                              <m:rPr>
                                <m:nor/>
                              </m:rP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f</m:t>
                            </m:r>
                            <m:r>
                              <m:rPr>
                                <m:nor/>
                              </m:rP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’</m:t>
                            </m:r>
                            <m:r>
                              <m:rPr>
                                <m:nor/>
                              </m:rP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c</m:t>
                            </m:r>
                            <m:r>
                              <m:rPr>
                                <m:nor/>
                              </m:rP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· </m:t>
                            </m:r>
                            <m:r>
                              <m:rPr>
                                <m:sty m:val="p"/>
                              </m:rP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w</m:t>
                            </m:r>
                            <m:r>
                              <m:rPr>
                                <m:nor/>
                              </m:rP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· </m:t>
                            </m:r>
                            <m: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(1−0.59</m:t>
                            </m:r>
                            <m:r>
                              <m:rPr>
                                <m:nor/>
                              </m:rP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· </m:t>
                            </m:r>
                            <m:r>
                              <m:rPr>
                                <m:sty m:val="p"/>
                              </m:rP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w</m:t>
                            </m:r>
                            <m: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5" name="126 CuadroTexto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844550" y="10039350"/>
              <a:ext cx="2155825" cy="512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 algn="ctr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"φ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· b · f’c ·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w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·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(1−0.59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·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w)))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382587</xdr:colOff>
      <xdr:row>60</xdr:row>
      <xdr:rowOff>47627</xdr:rowOff>
    </xdr:from>
    <xdr:ext cx="1309688" cy="360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29 CuadroTexto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744537" y="11534777"/>
              <a:ext cx="1309688" cy="360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Re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l-GR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d</m:t>
                            </m:r>
                          </m:e>
                          <m:sub>
                            <m:r>
                              <a:rPr lang="es-PE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Ø</m:t>
                            </m:r>
                          </m:sub>
                        </m:sSub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ES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6" name="29 CuadroTexto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744537" y="11534777"/>
              <a:ext cx="1309688" cy="3601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t2=d+Re+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ES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174624</xdr:colOff>
      <xdr:row>70</xdr:row>
      <xdr:rowOff>79375</xdr:rowOff>
    </xdr:from>
    <xdr:ext cx="2436813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 txBox="1"/>
          </xdr:nvSpPr>
          <xdr:spPr>
            <a:xfrm>
              <a:off x="539749" y="12850813"/>
              <a:ext cx="24368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=1.7·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Vd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=1.7·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Ka</m:t>
                            </m:r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·</m:t>
                            </m:r>
                            <m:r>
                              <m:rPr>
                                <m:sty m:val="p"/>
                              </m:rPr>
                              <a:rPr lang="el-GR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γ</m:t>
                            </m:r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</m:t>
                            </m:r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·(</m:t>
                            </m:r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hp</m:t>
                            </m:r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</m:t>
                            </m:r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3CCF5444-7F00-4196-8477-C1337F2CC699}"/>
                </a:ext>
              </a:extLst>
            </xdr:cNvPr>
            <xdr:cNvSpPr txBox="1"/>
          </xdr:nvSpPr>
          <xdr:spPr>
            <a:xfrm>
              <a:off x="539749" y="12850813"/>
              <a:ext cx="24368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Mu=1.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=1.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·〖 Ka·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hp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−d)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444501</xdr:colOff>
      <xdr:row>79</xdr:row>
      <xdr:rowOff>127006</xdr:rowOff>
    </xdr:from>
    <xdr:ext cx="1609725" cy="277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68 CuadroTexto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 txBox="1"/>
          </xdr:nvSpPr>
          <xdr:spPr>
            <a:xfrm>
              <a:off x="809626" y="14803444"/>
              <a:ext cx="1609725" cy="277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Vc = 0.53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’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8" name="68 CuadroTexto">
              <a:extLst>
                <a:ext uri="{FF2B5EF4-FFF2-40B4-BE49-F238E27FC236}">
                  <a16:creationId xmlns:a16="http://schemas.microsoft.com/office/drawing/2014/main" id="{EE5CCD2F-D3A1-4B74-BDCC-B76303ACA471}"/>
                </a:ext>
              </a:extLst>
            </xdr:cNvPr>
            <xdr:cNvSpPr txBox="1"/>
          </xdr:nvSpPr>
          <xdr:spPr>
            <a:xfrm>
              <a:off x="809626" y="14803444"/>
              <a:ext cx="1609725" cy="277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Vc = 0.53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√(f’c)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</a:t>
              </a:r>
            </a:p>
          </xdr:txBody>
        </xdr:sp>
      </mc:Fallback>
    </mc:AlternateContent>
    <xdr:clientData/>
  </xdr:oneCellAnchor>
  <xdr:oneCellAnchor>
    <xdr:from>
      <xdr:col>1</xdr:col>
      <xdr:colOff>380999</xdr:colOff>
      <xdr:row>85</xdr:row>
      <xdr:rowOff>47629</xdr:rowOff>
    </xdr:from>
    <xdr:ext cx="865188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 txBox="1"/>
          </xdr:nvSpPr>
          <xdr:spPr>
            <a:xfrm>
              <a:off x="746124" y="15676567"/>
              <a:ext cx="86518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Vce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3CBB4041-80B1-4772-8BAD-B56A5B1B379D}"/>
                </a:ext>
              </a:extLst>
            </xdr:cNvPr>
            <xdr:cNvSpPr txBox="1"/>
          </xdr:nvSpPr>
          <xdr:spPr>
            <a:xfrm>
              <a:off x="746124" y="15676567"/>
              <a:ext cx="86518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Vce=2/3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Vc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476254</xdr:colOff>
      <xdr:row>96</xdr:row>
      <xdr:rowOff>142872</xdr:rowOff>
    </xdr:from>
    <xdr:ext cx="944562" cy="2698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68 CuadroTexto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841379" y="17867310"/>
              <a:ext cx="944562" cy="269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hz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1" name="68 CuadroTexto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841379" y="17867310"/>
              <a:ext cx="944562" cy="269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h=hp+hz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349250</xdr:colOff>
      <xdr:row>93</xdr:row>
      <xdr:rowOff>142873</xdr:rowOff>
    </xdr:from>
    <xdr:ext cx="1174750" cy="230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68 CuadroTexto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714375" y="17295811"/>
              <a:ext cx="1174750" cy="230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hz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2+5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cm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2" name="68 CuadroTexto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714375" y="17295811"/>
              <a:ext cx="1174750" cy="230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hz=t2+5 cm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341314</xdr:colOff>
      <xdr:row>104</xdr:row>
      <xdr:rowOff>7937</xdr:rowOff>
    </xdr:from>
    <xdr:ext cx="1436688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 txBox="1"/>
          </xdr:nvSpPr>
          <xdr:spPr>
            <a:xfrm>
              <a:off x="706439" y="19256375"/>
              <a:ext cx="143668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≥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FSD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Ka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l-GR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γ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l-GR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γ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A8B1CFDA-056E-456F-A1B0-108C155DD1A9}"/>
                </a:ext>
              </a:extLst>
            </xdr:cNvPr>
            <xdr:cNvSpPr txBox="1"/>
          </xdr:nvSpPr>
          <xdr:spPr>
            <a:xfrm>
              <a:off x="706439" y="19256375"/>
              <a:ext cx="143668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B1/h  ≥ FSD·(Ka·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s)/(2·f·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m)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293692</xdr:colOff>
      <xdr:row>108</xdr:row>
      <xdr:rowOff>174625</xdr:rowOff>
    </xdr:from>
    <xdr:ext cx="1404938" cy="4048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68 CuadroTexto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 txBox="1"/>
          </xdr:nvSpPr>
          <xdr:spPr>
            <a:xfrm>
              <a:off x="658817" y="20185063"/>
              <a:ext cx="1404938" cy="4048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1+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2−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5" name="68 CuadroTexto">
              <a:extLst>
                <a:ext uri="{FF2B5EF4-FFF2-40B4-BE49-F238E27FC236}">
                  <a16:creationId xmlns:a16="http://schemas.microsoft.com/office/drawing/2014/main" id="{2EE0D85A-353D-4DF3-929B-4B94676F9A32}"/>
                </a:ext>
              </a:extLst>
            </xdr:cNvPr>
            <xdr:cNvSpPr txBox="1"/>
          </xdr:nvSpPr>
          <xdr:spPr>
            <a:xfrm>
              <a:off x="658817" y="20185063"/>
              <a:ext cx="1404938" cy="4048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B1=B1+(t2−t1)/2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277823</xdr:colOff>
      <xdr:row>116</xdr:row>
      <xdr:rowOff>182564</xdr:rowOff>
    </xdr:from>
    <xdr:ext cx="1436688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>
              <a:off x="642948" y="21336002"/>
              <a:ext cx="143668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≥ 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FSV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FSD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DE9B151A-3DB3-44EF-A62B-4DD3203CDA62}"/>
                </a:ext>
              </a:extLst>
            </xdr:cNvPr>
            <xdr:cNvSpPr txBox="1"/>
          </xdr:nvSpPr>
          <xdr:spPr>
            <a:xfrm>
              <a:off x="642948" y="21336002"/>
              <a:ext cx="143668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B2/h  ≥  f/3·FSV/FSD−B1/2h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182566</xdr:colOff>
      <xdr:row>145</xdr:row>
      <xdr:rowOff>182561</xdr:rowOff>
    </xdr:from>
    <xdr:ext cx="1436688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 txBox="1"/>
          </xdr:nvSpPr>
          <xdr:spPr>
            <a:xfrm>
              <a:off x="547691" y="26669999"/>
              <a:ext cx="143668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FSD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Hr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Ha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Ha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DB15F316-D35B-49F9-AD72-05373434F225}"/>
                </a:ext>
              </a:extLst>
            </xdr:cNvPr>
            <xdr:cNvSpPr txBox="1"/>
          </xdr:nvSpPr>
          <xdr:spPr>
            <a:xfrm>
              <a:off x="547691" y="26669999"/>
              <a:ext cx="143668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FSD=Hr/Ha=(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·N)/Ha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200024</xdr:colOff>
      <xdr:row>158</xdr:row>
      <xdr:rowOff>41275</xdr:rowOff>
    </xdr:from>
    <xdr:ext cx="1030287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 txBox="1"/>
          </xdr:nvSpPr>
          <xdr:spPr>
            <a:xfrm>
              <a:off x="565149" y="28806775"/>
              <a:ext cx="1030287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FSV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Mr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Ma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FAD04DC8-D323-4DD0-BD2B-11B651B093C4}"/>
                </a:ext>
              </a:extLst>
            </xdr:cNvPr>
            <xdr:cNvSpPr txBox="1"/>
          </xdr:nvSpPr>
          <xdr:spPr>
            <a:xfrm>
              <a:off x="565149" y="28806775"/>
              <a:ext cx="1030287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FSV=Mr/Ma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317503</xdr:colOff>
      <xdr:row>139</xdr:row>
      <xdr:rowOff>55561</xdr:rowOff>
    </xdr:from>
    <xdr:ext cx="1436688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682628" y="25780999"/>
              <a:ext cx="143668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Ka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sSup>
                      <m:sSupPr>
                        <m:ctrlPr>
                          <a:rPr lang="el-GR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p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2AB2480E-B608-40D9-A434-D9F5AD6DC5D9}"/>
                </a:ext>
              </a:extLst>
            </xdr:cNvPr>
            <xdr:cNvSpPr txBox="1"/>
          </xdr:nvSpPr>
          <xdr:spPr>
            <a:xfrm>
              <a:off x="682628" y="25780999"/>
              <a:ext cx="143668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Ha=1/2  Ka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509590</xdr:colOff>
      <xdr:row>142</xdr:row>
      <xdr:rowOff>136520</xdr:rowOff>
    </xdr:from>
    <xdr:ext cx="1436688" cy="284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uadroText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 txBox="1"/>
          </xdr:nvSpPr>
          <xdr:spPr>
            <a:xfrm>
              <a:off x="874715" y="26052458"/>
              <a:ext cx="1436688" cy="284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N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3" name="CuadroTexto 72">
              <a:extLst>
                <a:ext uri="{FF2B5EF4-FFF2-40B4-BE49-F238E27FC236}">
                  <a16:creationId xmlns:a16="http://schemas.microsoft.com/office/drawing/2014/main" id="{20995DED-4C29-4398-8E10-18F634850A07}"/>
                </a:ext>
              </a:extLst>
            </xdr:cNvPr>
            <xdr:cNvSpPr txBox="1"/>
          </xdr:nvSpPr>
          <xdr:spPr>
            <a:xfrm>
              <a:off x="874715" y="26052458"/>
              <a:ext cx="1436688" cy="284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N=P1+P2+P3+P4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479424</xdr:colOff>
      <xdr:row>151</xdr:row>
      <xdr:rowOff>15876</xdr:rowOff>
    </xdr:from>
    <xdr:ext cx="1560511" cy="1905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CuadroTexto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 txBox="1"/>
          </xdr:nvSpPr>
          <xdr:spPr>
            <a:xfrm>
              <a:off x="844549" y="27455814"/>
              <a:ext cx="1560511" cy="190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Mr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4" name="CuadroTexto 73">
              <a:extLst>
                <a:ext uri="{FF2B5EF4-FFF2-40B4-BE49-F238E27FC236}">
                  <a16:creationId xmlns:a16="http://schemas.microsoft.com/office/drawing/2014/main" id="{FB517866-691A-4CE6-9B5F-C1656C2FF0A2}"/>
                </a:ext>
              </a:extLst>
            </xdr:cNvPr>
            <xdr:cNvSpPr txBox="1"/>
          </xdr:nvSpPr>
          <xdr:spPr>
            <a:xfrm>
              <a:off x="844549" y="27455814"/>
              <a:ext cx="1560511" cy="190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Mr=M1+M2+M3+M4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358777</xdr:colOff>
      <xdr:row>154</xdr:row>
      <xdr:rowOff>15873</xdr:rowOff>
    </xdr:from>
    <xdr:ext cx="2089148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CuadroTexto 75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>
              <a:off x="796927" y="29600523"/>
              <a:ext cx="208914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sSup>
                      <m:sSupPr>
                        <m:ctrlPr>
                          <a:rPr lang="el-GR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p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Ha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num>
                      <m:den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CuadroTexto 75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>
              <a:off x="796927" y="29600523"/>
              <a:ext cx="2089148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Ma=1/2  Ka·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s·h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Ha·h/3  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301626</xdr:colOff>
      <xdr:row>164</xdr:row>
      <xdr:rowOff>15875</xdr:rowOff>
    </xdr:from>
    <xdr:ext cx="1230313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CuadroTexto 76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SpPr txBox="1"/>
          </xdr:nvSpPr>
          <xdr:spPr>
            <a:xfrm>
              <a:off x="666751" y="30114875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Xo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Mr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Ma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7" name="CuadroTexto 76">
              <a:extLst>
                <a:ext uri="{FF2B5EF4-FFF2-40B4-BE49-F238E27FC236}">
                  <a16:creationId xmlns:a16="http://schemas.microsoft.com/office/drawing/2014/main" id="{A4026F9C-4116-4753-8B7E-AE029C466ED5}"/>
                </a:ext>
              </a:extLst>
            </xdr:cNvPr>
            <xdr:cNvSpPr txBox="1"/>
          </xdr:nvSpPr>
          <xdr:spPr>
            <a:xfrm>
              <a:off x="666751" y="30114875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Xo=(Mr−Ma)/P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500064</xdr:colOff>
      <xdr:row>172</xdr:row>
      <xdr:rowOff>31752</xdr:rowOff>
    </xdr:from>
    <xdr:ext cx="1230313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CuadroTexto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SpPr txBox="1"/>
          </xdr:nvSpPr>
          <xdr:spPr>
            <a:xfrm>
              <a:off x="865189" y="31083252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e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Xo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8" name="CuadroTexto 77">
              <a:extLst>
                <a:ext uri="{FF2B5EF4-FFF2-40B4-BE49-F238E27FC236}">
                  <a16:creationId xmlns:a16="http://schemas.microsoft.com/office/drawing/2014/main" id="{B3F5F81F-A901-4F0C-B8E6-370B59266622}"/>
                </a:ext>
              </a:extLst>
            </xdr:cNvPr>
            <xdr:cNvSpPr txBox="1"/>
          </xdr:nvSpPr>
          <xdr:spPr>
            <a:xfrm>
              <a:off x="865189" y="31083252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e=(B1+B2)/2−Xo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420696</xdr:colOff>
      <xdr:row>168</xdr:row>
      <xdr:rowOff>23813</xdr:rowOff>
    </xdr:from>
    <xdr:ext cx="1230313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 txBox="1"/>
          </xdr:nvSpPr>
          <xdr:spPr>
            <a:xfrm>
              <a:off x="785821" y="30694313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e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1=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num>
                      <m:den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 txBox="1"/>
          </xdr:nvSpPr>
          <xdr:spPr>
            <a:xfrm>
              <a:off x="785821" y="30694313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e1=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B/6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(B1+B2)/6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341314</xdr:colOff>
      <xdr:row>180</xdr:row>
      <xdr:rowOff>15877</xdr:rowOff>
    </xdr:from>
    <xdr:ext cx="1230313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 txBox="1"/>
          </xdr:nvSpPr>
          <xdr:spPr>
            <a:xfrm>
              <a:off x="706439" y="32972377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q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(1+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991275A2-ED77-40B4-931F-5D3A6232E9D3}"/>
                </a:ext>
              </a:extLst>
            </xdr:cNvPr>
            <xdr:cNvSpPr txBox="1"/>
          </xdr:nvSpPr>
          <xdr:spPr>
            <a:xfrm>
              <a:off x="706439" y="32972377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q1=P/B(1+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6e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B)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342901</xdr:colOff>
      <xdr:row>184</xdr:row>
      <xdr:rowOff>17469</xdr:rowOff>
    </xdr:from>
    <xdr:ext cx="1230313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 txBox="1"/>
          </xdr:nvSpPr>
          <xdr:spPr>
            <a:xfrm>
              <a:off x="708026" y="33735969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q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(1−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01E67142-4B84-4E02-BFF3-2674CF02BD6A}"/>
                </a:ext>
              </a:extLst>
            </xdr:cNvPr>
            <xdr:cNvSpPr txBox="1"/>
          </xdr:nvSpPr>
          <xdr:spPr>
            <a:xfrm>
              <a:off x="708026" y="33735969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q2=P/B(1−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6e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B)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384318</xdr:colOff>
      <xdr:row>205</xdr:row>
      <xdr:rowOff>104775</xdr:rowOff>
    </xdr:from>
    <xdr:ext cx="1444482" cy="4356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144 CuadroTexto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 txBox="1"/>
          </xdr:nvSpPr>
          <xdr:spPr>
            <a:xfrm>
              <a:off x="822468" y="39395400"/>
              <a:ext cx="1444482" cy="435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9" name="144 CuadroTexto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 txBox="1"/>
          </xdr:nvSpPr>
          <xdr:spPr>
            <a:xfrm>
              <a:off x="822468" y="39395400"/>
              <a:ext cx="1444482" cy="4356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a/2)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1</xdr:col>
      <xdr:colOff>228599</xdr:colOff>
      <xdr:row>202</xdr:row>
      <xdr:rowOff>34636</xdr:rowOff>
    </xdr:from>
    <xdr:ext cx="1055205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CuadroTexto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 txBox="1"/>
          </xdr:nvSpPr>
          <xdr:spPr>
            <a:xfrm>
              <a:off x="666749" y="38753761"/>
              <a:ext cx="1055205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0" name="CuadroTexto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 txBox="1"/>
          </xdr:nvSpPr>
          <xdr:spPr>
            <a:xfrm>
              <a:off x="666749" y="38753761"/>
              <a:ext cx="1055205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a=d/5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505690</xdr:colOff>
      <xdr:row>209</xdr:row>
      <xdr:rowOff>51955</xdr:rowOff>
    </xdr:from>
    <xdr:ext cx="1056409" cy="351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145 CuadroTexto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>
              <a:off x="943840" y="40104580"/>
              <a:ext cx="1056409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As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0.85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145 CuadroTexto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>
              <a:off x="943840" y="40104580"/>
              <a:ext cx="1056409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230</xdr:row>
          <xdr:rowOff>0</xdr:rowOff>
        </xdr:from>
        <xdr:to>
          <xdr:col>4</xdr:col>
          <xdr:colOff>22860</xdr:colOff>
          <xdr:row>230</xdr:row>
          <xdr:rowOff>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230</xdr:row>
          <xdr:rowOff>0</xdr:rowOff>
        </xdr:from>
        <xdr:to>
          <xdr:col>9</xdr:col>
          <xdr:colOff>220980</xdr:colOff>
          <xdr:row>230</xdr:row>
          <xdr:rowOff>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230</xdr:row>
          <xdr:rowOff>0</xdr:rowOff>
        </xdr:from>
        <xdr:to>
          <xdr:col>10</xdr:col>
          <xdr:colOff>68580</xdr:colOff>
          <xdr:row>230</xdr:row>
          <xdr:rowOff>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230</xdr:row>
          <xdr:rowOff>0</xdr:rowOff>
        </xdr:from>
        <xdr:to>
          <xdr:col>9</xdr:col>
          <xdr:colOff>0</xdr:colOff>
          <xdr:row>230</xdr:row>
          <xdr:rowOff>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230</xdr:row>
          <xdr:rowOff>0</xdr:rowOff>
        </xdr:from>
        <xdr:to>
          <xdr:col>5</xdr:col>
          <xdr:colOff>350520</xdr:colOff>
          <xdr:row>230</xdr:row>
          <xdr:rowOff>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230</xdr:row>
          <xdr:rowOff>0</xdr:rowOff>
        </xdr:from>
        <xdr:to>
          <xdr:col>10</xdr:col>
          <xdr:colOff>213360</xdr:colOff>
          <xdr:row>230</xdr:row>
          <xdr:rowOff>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335280</xdr:colOff>
          <xdr:row>230</xdr:row>
          <xdr:rowOff>0</xdr:rowOff>
        </xdr:from>
        <xdr:to>
          <xdr:col>9</xdr:col>
          <xdr:colOff>236220</xdr:colOff>
          <xdr:row>230</xdr:row>
          <xdr:rowOff>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274320</xdr:colOff>
          <xdr:row>230</xdr:row>
          <xdr:rowOff>0</xdr:rowOff>
        </xdr:from>
        <xdr:to>
          <xdr:col>10</xdr:col>
          <xdr:colOff>76200</xdr:colOff>
          <xdr:row>230</xdr:row>
          <xdr:rowOff>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230</xdr:row>
          <xdr:rowOff>0</xdr:rowOff>
        </xdr:from>
        <xdr:to>
          <xdr:col>9</xdr:col>
          <xdr:colOff>0</xdr:colOff>
          <xdr:row>230</xdr:row>
          <xdr:rowOff>0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230</xdr:row>
          <xdr:rowOff>0</xdr:rowOff>
        </xdr:from>
        <xdr:to>
          <xdr:col>5</xdr:col>
          <xdr:colOff>350520</xdr:colOff>
          <xdr:row>230</xdr:row>
          <xdr:rowOff>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230</xdr:row>
          <xdr:rowOff>0</xdr:rowOff>
        </xdr:from>
        <xdr:to>
          <xdr:col>10</xdr:col>
          <xdr:colOff>213360</xdr:colOff>
          <xdr:row>230</xdr:row>
          <xdr:rowOff>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230</xdr:row>
          <xdr:rowOff>0</xdr:rowOff>
        </xdr:from>
        <xdr:to>
          <xdr:col>9</xdr:col>
          <xdr:colOff>137160</xdr:colOff>
          <xdr:row>230</xdr:row>
          <xdr:rowOff>0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230</xdr:row>
          <xdr:rowOff>0</xdr:rowOff>
        </xdr:from>
        <xdr:to>
          <xdr:col>9</xdr:col>
          <xdr:colOff>0</xdr:colOff>
          <xdr:row>230</xdr:row>
          <xdr:rowOff>0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230</xdr:row>
          <xdr:rowOff>0</xdr:rowOff>
        </xdr:from>
        <xdr:to>
          <xdr:col>5</xdr:col>
          <xdr:colOff>350520</xdr:colOff>
          <xdr:row>230</xdr:row>
          <xdr:rowOff>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230</xdr:row>
          <xdr:rowOff>0</xdr:rowOff>
        </xdr:from>
        <xdr:to>
          <xdr:col>10</xdr:col>
          <xdr:colOff>213360</xdr:colOff>
          <xdr:row>230</xdr:row>
          <xdr:rowOff>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230</xdr:row>
          <xdr:rowOff>0</xdr:rowOff>
        </xdr:from>
        <xdr:to>
          <xdr:col>5</xdr:col>
          <xdr:colOff>30480</xdr:colOff>
          <xdr:row>230</xdr:row>
          <xdr:rowOff>0</xdr:rowOff>
        </xdr:to>
        <xdr:sp macro="" textlink="">
          <xdr:nvSpPr>
            <xdr:cNvPr id="1058" name="Object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230</xdr:row>
          <xdr:rowOff>0</xdr:rowOff>
        </xdr:from>
        <xdr:to>
          <xdr:col>10</xdr:col>
          <xdr:colOff>289560</xdr:colOff>
          <xdr:row>230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230</xdr:row>
          <xdr:rowOff>0</xdr:rowOff>
        </xdr:from>
        <xdr:to>
          <xdr:col>3</xdr:col>
          <xdr:colOff>175260</xdr:colOff>
          <xdr:row>230</xdr:row>
          <xdr:rowOff>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519309</xdr:colOff>
      <xdr:row>226</xdr:row>
      <xdr:rowOff>60821</xdr:rowOff>
    </xdr:from>
    <xdr:ext cx="696427" cy="32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152 CuadroTexto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 txBox="1"/>
          </xdr:nvSpPr>
          <xdr:spPr>
            <a:xfrm>
              <a:off x="957459" y="43351946"/>
              <a:ext cx="696427" cy="32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As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d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5" name="152 CuadroTexto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 txBox="1"/>
          </xdr:nvSpPr>
          <xdr:spPr>
            <a:xfrm>
              <a:off x="957459" y="43351946"/>
              <a:ext cx="696427" cy="32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"ρ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"=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493649</xdr:colOff>
      <xdr:row>217</xdr:row>
      <xdr:rowOff>138548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29 CuadroTexto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>
              <a:off x="857331" y="40039639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6" name="29 CuadroTexto">
              <a:extLst>
                <a:ext uri="{FF2B5EF4-FFF2-40B4-BE49-F238E27FC236}">
                  <a16:creationId xmlns:a16="http://schemas.microsoft.com/office/drawing/2014/main" id="{8B5DBEC1-299E-47CA-B3F3-C5A0E12BC882}"/>
                </a:ext>
              </a:extLst>
            </xdr:cNvPr>
            <xdr:cNvSpPr txBox="1"/>
          </xdr:nvSpPr>
          <xdr:spPr>
            <a:xfrm>
              <a:off x="857331" y="40039639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484498</xdr:colOff>
      <xdr:row>220</xdr:row>
      <xdr:rowOff>127510</xdr:rowOff>
    </xdr:from>
    <xdr:ext cx="1732229" cy="250250"/>
    <xdr:sp macro="" textlink="">
      <xdr:nvSpPr>
        <xdr:cNvPr id="87" name="29 CuadroTexto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848180" y="40600101"/>
          <a:ext cx="1732229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s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b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/ n</a:t>
          </a:r>
        </a:p>
      </xdr:txBody>
    </xdr:sp>
    <xdr:clientData/>
  </xdr:oneCellAnchor>
  <xdr:oneCellAnchor>
    <xdr:from>
      <xdr:col>1</xdr:col>
      <xdr:colOff>75332</xdr:colOff>
      <xdr:row>244</xdr:row>
      <xdr:rowOff>85725</xdr:rowOff>
    </xdr:from>
    <xdr:ext cx="1582017" cy="4295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144 CuadroTexto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 txBox="1"/>
          </xdr:nvSpPr>
          <xdr:spPr>
            <a:xfrm>
              <a:off x="513482" y="46805850"/>
              <a:ext cx="1582017" cy="4295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0" name="144 CuadroTexto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 txBox="1"/>
          </xdr:nvSpPr>
          <xdr:spPr>
            <a:xfrm>
              <a:off x="513482" y="46805850"/>
              <a:ext cx="1582017" cy="4295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Mu/(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a/2)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3</xdr:col>
      <xdr:colOff>312592</xdr:colOff>
      <xdr:row>244</xdr:row>
      <xdr:rowOff>98713</xdr:rowOff>
    </xdr:from>
    <xdr:ext cx="1056409" cy="351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145 CuadroTexto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>
              <a:off x="2217592" y="46818838"/>
              <a:ext cx="1056409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As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0.85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1" name="145 CuadroTexto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>
              <a:off x="2217592" y="46818838"/>
              <a:ext cx="1056409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91785</xdr:colOff>
      <xdr:row>248</xdr:row>
      <xdr:rowOff>13855</xdr:rowOff>
    </xdr:from>
    <xdr:ext cx="3594390" cy="350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144 CuadroTexto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529935" y="47495980"/>
              <a:ext cx="3594390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0.9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…………………………..……..…..(1)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144 CuadroTexto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529935" y="47495980"/>
              <a:ext cx="3594390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As=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fy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0.9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d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…………………………..……..…..(1)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201757</xdr:colOff>
      <xdr:row>251</xdr:row>
      <xdr:rowOff>17320</xdr:rowOff>
    </xdr:from>
    <xdr:ext cx="3312968" cy="3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CuadroTexto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 txBox="1"/>
          </xdr:nvSpPr>
          <xdr:spPr>
            <a:xfrm>
              <a:off x="639907" y="48070945"/>
              <a:ext cx="3312968" cy="3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 xmlns:m="http://schemas.openxmlformats.org/officeDocument/2006/math"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As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As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Mu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1·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Mu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2·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→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Mu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2=</m:t>
                  </m:r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As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As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den>
                      </m:f>
                    </m:e>
                  </m:d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d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d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den>
                      </m:f>
                    </m:e>
                  </m:d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Mu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 …………….(2)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</a:p>
          </xdr:txBody>
        </xdr:sp>
      </mc:Choice>
      <mc:Fallback xmlns="">
        <xdr:sp macro="" textlink="">
          <xdr:nvSpPr>
            <xdr:cNvPr id="93" name="CuadroTexto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 txBox="1"/>
          </xdr:nvSpPr>
          <xdr:spPr>
            <a:xfrm>
              <a:off x="639907" y="48070945"/>
              <a:ext cx="3312968" cy="3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As1/As2=(Mu1·d2)/(Mu2·d2)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"→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Mu2=(As2/As1)·(d2/d1)·Mu1 …………….(2)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</a:p>
          </xdr:txBody>
        </xdr:sp>
      </mc:Fallback>
    </mc:AlternateContent>
    <xdr:clientData/>
  </xdr:oneCellAnchor>
  <xdr:oneCellAnchor>
    <xdr:from>
      <xdr:col>1</xdr:col>
      <xdr:colOff>117764</xdr:colOff>
      <xdr:row>254</xdr:row>
      <xdr:rowOff>31174</xdr:rowOff>
    </xdr:from>
    <xdr:ext cx="3172690" cy="3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CuadroTexto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 txBox="1"/>
          </xdr:nvSpPr>
          <xdr:spPr>
            <a:xfrm>
              <a:off x="481446" y="46980765"/>
              <a:ext cx="3172690" cy="3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2=</m:t>
                    </m:r>
                    <m:d>
                      <m:d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</m:t>
                            </m:r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</m:t>
                            </m:r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</m:e>
                    </m:d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……………………………………..(3)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4" name="CuadroTexto 93">
              <a:extLst>
                <a:ext uri="{FF2B5EF4-FFF2-40B4-BE49-F238E27FC236}">
                  <a16:creationId xmlns:a16="http://schemas.microsoft.com/office/drawing/2014/main" id="{B0189792-7245-45DE-9ACB-91B199043CD9}"/>
                </a:ext>
              </a:extLst>
            </xdr:cNvPr>
            <xdr:cNvSpPr txBox="1"/>
          </xdr:nvSpPr>
          <xdr:spPr>
            <a:xfrm>
              <a:off x="481446" y="46980765"/>
              <a:ext cx="3172690" cy="3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u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(d2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d1)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Mu1 ……………………………………..(3)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365414</xdr:colOff>
      <xdr:row>259</xdr:row>
      <xdr:rowOff>19052</xdr:rowOff>
    </xdr:from>
    <xdr:ext cx="916131" cy="3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CuadroTexto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 txBox="1"/>
          </xdr:nvSpPr>
          <xdr:spPr>
            <a:xfrm>
              <a:off x="729096" y="47921143"/>
              <a:ext cx="916131" cy="3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Mmax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5" name="CuadroTexto 94">
              <a:extLst>
                <a:ext uri="{FF2B5EF4-FFF2-40B4-BE49-F238E27FC236}">
                  <a16:creationId xmlns:a16="http://schemas.microsoft.com/office/drawing/2014/main" id="{27339417-2D98-4ABE-ADCF-BA9DF529824D}"/>
                </a:ext>
              </a:extLst>
            </xdr:cNvPr>
            <xdr:cNvSpPr txBox="1"/>
          </xdr:nvSpPr>
          <xdr:spPr>
            <a:xfrm>
              <a:off x="729096" y="47921143"/>
              <a:ext cx="916131" cy="3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u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Mmax/2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380999</xdr:colOff>
      <xdr:row>263</xdr:row>
      <xdr:rowOff>34636</xdr:rowOff>
    </xdr:from>
    <xdr:ext cx="1922319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CuadroTexto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 txBox="1"/>
          </xdr:nvSpPr>
          <xdr:spPr>
            <a:xfrm>
              <a:off x="744681" y="48698727"/>
              <a:ext cx="1922319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=1.7·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(</m:t>
                            </m:r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hp</m:t>
                            </m:r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hc</m:t>
                            </m:r>
                            <m: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7" name="CuadroTexto 96">
              <a:extLst>
                <a:ext uri="{FF2B5EF4-FFF2-40B4-BE49-F238E27FC236}">
                  <a16:creationId xmlns:a16="http://schemas.microsoft.com/office/drawing/2014/main" id="{FEF3565F-AA39-4BF8-91C0-1018DFB69622}"/>
                </a:ext>
              </a:extLst>
            </xdr:cNvPr>
            <xdr:cNvSpPr txBox="1"/>
          </xdr:nvSpPr>
          <xdr:spPr>
            <a:xfrm>
              <a:off x="744681" y="48698727"/>
              <a:ext cx="1922319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Mu=1.7·Ka·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s·〖 (hp−hc)〗^3/6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360217</xdr:colOff>
      <xdr:row>266</xdr:row>
      <xdr:rowOff>100445</xdr:rowOff>
    </xdr:from>
    <xdr:ext cx="1025237" cy="2718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CuadroTexto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 txBox="1"/>
          </xdr:nvSpPr>
          <xdr:spPr>
            <a:xfrm>
              <a:off x="723899" y="49336036"/>
              <a:ext cx="1025237" cy="271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Lc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hc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8" name="CuadroTexto 97">
              <a:extLst>
                <a:ext uri="{FF2B5EF4-FFF2-40B4-BE49-F238E27FC236}">
                  <a16:creationId xmlns:a16="http://schemas.microsoft.com/office/drawing/2014/main" id="{C0730404-2E46-4189-BFD1-69DF74F2E936}"/>
                </a:ext>
              </a:extLst>
            </xdr:cNvPr>
            <xdr:cNvSpPr txBox="1"/>
          </xdr:nvSpPr>
          <xdr:spPr>
            <a:xfrm>
              <a:off x="723899" y="49336036"/>
              <a:ext cx="1025237" cy="271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Lc=hc+d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424296</xdr:colOff>
      <xdr:row>275</xdr:row>
      <xdr:rowOff>69273</xdr:rowOff>
    </xdr:from>
    <xdr:ext cx="822614" cy="277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CuadroTexto 98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 txBox="1"/>
          </xdr:nvSpPr>
          <xdr:spPr>
            <a:xfrm>
              <a:off x="787978" y="51071318"/>
              <a:ext cx="822614" cy="277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Ast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m:rPr>
                        <m:sty m:val="p"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bt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9" name="CuadroTexto 98">
              <a:extLst>
                <a:ext uri="{FF2B5EF4-FFF2-40B4-BE49-F238E27FC236}">
                  <a16:creationId xmlns:a16="http://schemas.microsoft.com/office/drawing/2014/main" id="{29E95ED6-C5F1-421C-B8A9-C32529DE925E}"/>
                </a:ext>
              </a:extLst>
            </xdr:cNvPr>
            <xdr:cNvSpPr txBox="1"/>
          </xdr:nvSpPr>
          <xdr:spPr>
            <a:xfrm>
              <a:off x="787978" y="51071318"/>
              <a:ext cx="822614" cy="277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Ast= 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"ρ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bt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364433</xdr:colOff>
      <xdr:row>286</xdr:row>
      <xdr:rowOff>182218</xdr:rowOff>
    </xdr:from>
    <xdr:ext cx="1482587" cy="2236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CuadroTexto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>
              <a:off x="728868" y="53282022"/>
              <a:ext cx="1482587" cy="223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Ast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m:rPr>
                        <m:sty m:val="p"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bt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l-GR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m:rPr>
                        <m:sty m:val="p"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1" name="CuadroTexto 100">
              <a:extLst>
                <a:ext uri="{FF2B5EF4-FFF2-40B4-BE49-F238E27FC236}">
                  <a16:creationId xmlns:a16="http://schemas.microsoft.com/office/drawing/2014/main" id="{CFB0B4A0-C0B0-4797-9D86-35E2D3B745BE}"/>
                </a:ext>
              </a:extLst>
            </xdr:cNvPr>
            <xdr:cNvSpPr txBox="1"/>
          </xdr:nvSpPr>
          <xdr:spPr>
            <a:xfrm>
              <a:off x="728868" y="53282022"/>
              <a:ext cx="1482587" cy="223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Ast= </a:t>
              </a:r>
              <a:r>
                <a:rPr lang="el-GR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"ρ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bt=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"ρ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t1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493649</xdr:colOff>
      <xdr:row>295</xdr:row>
      <xdr:rowOff>138548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29 CuadroTexto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 txBox="1"/>
          </xdr:nvSpPr>
          <xdr:spPr>
            <a:xfrm>
              <a:off x="858084" y="40234657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2" name="29 CuadroTexto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 txBox="1"/>
          </xdr:nvSpPr>
          <xdr:spPr>
            <a:xfrm>
              <a:off x="858084" y="40234657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503548</xdr:colOff>
      <xdr:row>298</xdr:row>
      <xdr:rowOff>137035</xdr:rowOff>
    </xdr:from>
    <xdr:ext cx="1732229" cy="250250"/>
    <xdr:sp macro="" textlink="">
      <xdr:nvSpPr>
        <xdr:cNvPr id="103" name="29 CuadroTexto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941698" y="57001285"/>
          <a:ext cx="1732229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s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b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/ n</a:t>
          </a:r>
        </a:p>
      </xdr:txBody>
    </xdr:sp>
    <xdr:clientData/>
  </xdr:oneCellAnchor>
  <xdr:oneCellAnchor>
    <xdr:from>
      <xdr:col>1</xdr:col>
      <xdr:colOff>493649</xdr:colOff>
      <xdr:row>308</xdr:row>
      <xdr:rowOff>138548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29 CuadroTexto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858084" y="545718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4" name="29 CuadroTexto">
              <a:extLst>
                <a:ext uri="{FF2B5EF4-FFF2-40B4-BE49-F238E27FC236}">
                  <a16:creationId xmlns:a16="http://schemas.microsoft.com/office/drawing/2014/main" id="{134F1FCC-6E58-433D-A86B-35A56C9309FF}"/>
                </a:ext>
              </a:extLst>
            </xdr:cNvPr>
            <xdr:cNvSpPr txBox="1"/>
          </xdr:nvSpPr>
          <xdr:spPr>
            <a:xfrm>
              <a:off x="858084" y="545718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503548</xdr:colOff>
      <xdr:row>311</xdr:row>
      <xdr:rowOff>137035</xdr:rowOff>
    </xdr:from>
    <xdr:ext cx="1732229" cy="250250"/>
    <xdr:sp macro="" textlink="">
      <xdr:nvSpPr>
        <xdr:cNvPr id="105" name="29 CuadroTexto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941698" y="59477785"/>
          <a:ext cx="1732229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s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b / n</a:t>
          </a:r>
        </a:p>
      </xdr:txBody>
    </xdr:sp>
    <xdr:clientData/>
  </xdr:oneCellAnchor>
  <xdr:oneCellAnchor>
    <xdr:from>
      <xdr:col>1</xdr:col>
      <xdr:colOff>347864</xdr:colOff>
      <xdr:row>321</xdr:row>
      <xdr:rowOff>124243</xdr:rowOff>
    </xdr:from>
    <xdr:ext cx="2062371" cy="277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CuadroTexto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>
              <a:off x="712299" y="59129547"/>
              <a:ext cx="2062371" cy="277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Ast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m:rPr>
                        <m:sty m:val="p"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bt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l-GR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(</m:t>
                    </m:r>
                    <m:r>
                      <m:rPr>
                        <m:sty m:val="p"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1+</m:t>
                    </m:r>
                    <m:r>
                      <m:rPr>
                        <m:sty m:val="p"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2)/2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1" name="CuadroTexto 110">
              <a:extLst>
                <a:ext uri="{FF2B5EF4-FFF2-40B4-BE49-F238E27FC236}">
                  <a16:creationId xmlns:a16="http://schemas.microsoft.com/office/drawing/2014/main" id="{6CB3536E-655D-4DE0-B682-3076F59C89C6}"/>
                </a:ext>
              </a:extLst>
            </xdr:cNvPr>
            <xdr:cNvSpPr txBox="1"/>
          </xdr:nvSpPr>
          <xdr:spPr>
            <a:xfrm>
              <a:off x="712299" y="59129547"/>
              <a:ext cx="2062371" cy="277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Ast= </a:t>
              </a:r>
              <a:r>
                <a:rPr lang="el-GR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"ρ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bt=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"ρ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(t1+t2)/2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493649</xdr:colOff>
      <xdr:row>331</xdr:row>
      <xdr:rowOff>138548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29 CuadroTexto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 txBox="1"/>
          </xdr:nvSpPr>
          <xdr:spPr>
            <a:xfrm>
              <a:off x="858084" y="545718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2" name="29 CuadroTexto">
              <a:extLst>
                <a:ext uri="{FF2B5EF4-FFF2-40B4-BE49-F238E27FC236}">
                  <a16:creationId xmlns:a16="http://schemas.microsoft.com/office/drawing/2014/main" id="{35C43BD1-CAA2-4E1E-AE2F-19668DD82CD4}"/>
                </a:ext>
              </a:extLst>
            </xdr:cNvPr>
            <xdr:cNvSpPr txBox="1"/>
          </xdr:nvSpPr>
          <xdr:spPr>
            <a:xfrm>
              <a:off x="858084" y="545718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513073</xdr:colOff>
      <xdr:row>334</xdr:row>
      <xdr:rowOff>127510</xdr:rowOff>
    </xdr:from>
    <xdr:ext cx="1732229" cy="250250"/>
    <xdr:sp macro="" textlink="">
      <xdr:nvSpPr>
        <xdr:cNvPr id="113" name="29 CuadroTexto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951223" y="63849760"/>
          <a:ext cx="1732229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s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b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/ n </a:t>
          </a:r>
        </a:p>
      </xdr:txBody>
    </xdr:sp>
    <xdr:clientData/>
  </xdr:oneCellAnchor>
  <xdr:oneCellAnchor>
    <xdr:from>
      <xdr:col>1</xdr:col>
      <xdr:colOff>493649</xdr:colOff>
      <xdr:row>344</xdr:row>
      <xdr:rowOff>138548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29 CuadroTexto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 txBox="1"/>
          </xdr:nvSpPr>
          <xdr:spPr>
            <a:xfrm>
              <a:off x="858084" y="566673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4" name="29 CuadroTexto">
              <a:extLst>
                <a:ext uri="{FF2B5EF4-FFF2-40B4-BE49-F238E27FC236}">
                  <a16:creationId xmlns:a16="http://schemas.microsoft.com/office/drawing/2014/main" id="{FAC36A77-E72D-4601-B876-88AD5F3061AD}"/>
                </a:ext>
              </a:extLst>
            </xdr:cNvPr>
            <xdr:cNvSpPr txBox="1"/>
          </xdr:nvSpPr>
          <xdr:spPr>
            <a:xfrm>
              <a:off x="858084" y="566673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513073</xdr:colOff>
      <xdr:row>347</xdr:row>
      <xdr:rowOff>146560</xdr:rowOff>
    </xdr:from>
    <xdr:ext cx="1732229" cy="250250"/>
    <xdr:sp macro="" textlink="">
      <xdr:nvSpPr>
        <xdr:cNvPr id="115" name="29 CuadroTexto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951223" y="66345310"/>
          <a:ext cx="1732229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s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b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/ n</a:t>
          </a:r>
        </a:p>
      </xdr:txBody>
    </xdr:sp>
    <xdr:clientData/>
  </xdr:oneCellAnchor>
  <xdr:oneCellAnchor>
    <xdr:from>
      <xdr:col>1</xdr:col>
      <xdr:colOff>82817</xdr:colOff>
      <xdr:row>357</xdr:row>
      <xdr:rowOff>140809</xdr:rowOff>
    </xdr:from>
    <xdr:ext cx="2062371" cy="277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CuadroTexto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>
              <a:off x="447252" y="64670613"/>
              <a:ext cx="2062371" cy="277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Ast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m:rPr>
                        <m:sty m:val="p"/>
                      </m:rP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bt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l-GR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m:rPr>
                        <m:sty m:val="p"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6" name="CuadroTexto 115">
              <a:extLst>
                <a:ext uri="{FF2B5EF4-FFF2-40B4-BE49-F238E27FC236}">
                  <a16:creationId xmlns:a16="http://schemas.microsoft.com/office/drawing/2014/main" id="{6F15C197-1096-40CC-AA04-0904DAE2071C}"/>
                </a:ext>
              </a:extLst>
            </xdr:cNvPr>
            <xdr:cNvSpPr txBox="1"/>
          </xdr:nvSpPr>
          <xdr:spPr>
            <a:xfrm>
              <a:off x="447252" y="64670613"/>
              <a:ext cx="2062371" cy="277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Ast= </a:t>
              </a:r>
              <a:r>
                <a:rPr lang="el-GR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"ρ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 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bt=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"ρ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t2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493649</xdr:colOff>
      <xdr:row>366</xdr:row>
      <xdr:rowOff>138548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29 CuadroTexto">
              <a:extLst>
                <a:ext uri="{FF2B5EF4-FFF2-40B4-BE49-F238E27FC236}">
                  <a16:creationId xmlns:a16="http://schemas.microsoft.com/office/drawing/2014/main" id="{00000000-0008-0000-0000-000075000000}"/>
                </a:ext>
              </a:extLst>
            </xdr:cNvPr>
            <xdr:cNvSpPr txBox="1"/>
          </xdr:nvSpPr>
          <xdr:spPr>
            <a:xfrm>
              <a:off x="858084" y="602868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7" name="29 CuadroTexto">
              <a:extLst>
                <a:ext uri="{FF2B5EF4-FFF2-40B4-BE49-F238E27FC236}">
                  <a16:creationId xmlns:a16="http://schemas.microsoft.com/office/drawing/2014/main" id="{0860E43A-2D26-40DA-B5D6-B256E54A3979}"/>
                </a:ext>
              </a:extLst>
            </xdr:cNvPr>
            <xdr:cNvSpPr txBox="1"/>
          </xdr:nvSpPr>
          <xdr:spPr>
            <a:xfrm>
              <a:off x="858084" y="602868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484498</xdr:colOff>
      <xdr:row>369</xdr:row>
      <xdr:rowOff>127510</xdr:rowOff>
    </xdr:from>
    <xdr:ext cx="1732229" cy="250250"/>
    <xdr:sp macro="" textlink="">
      <xdr:nvSpPr>
        <xdr:cNvPr id="118" name="29 CuadroTexto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848933" y="60847314"/>
          <a:ext cx="1732229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s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b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/ n </a:t>
          </a:r>
        </a:p>
      </xdr:txBody>
    </xdr:sp>
    <xdr:clientData/>
  </xdr:oneCellAnchor>
  <xdr:oneCellAnchor>
    <xdr:from>
      <xdr:col>1</xdr:col>
      <xdr:colOff>493649</xdr:colOff>
      <xdr:row>379</xdr:row>
      <xdr:rowOff>138548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29 CuadroTexto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 txBox="1"/>
          </xdr:nvSpPr>
          <xdr:spPr>
            <a:xfrm>
              <a:off x="858084" y="621918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9" name="29 CuadroTexto">
              <a:extLst>
                <a:ext uri="{FF2B5EF4-FFF2-40B4-BE49-F238E27FC236}">
                  <a16:creationId xmlns:a16="http://schemas.microsoft.com/office/drawing/2014/main" id="{683134E6-1603-421C-8469-2E45A1A0F20E}"/>
                </a:ext>
              </a:extLst>
            </xdr:cNvPr>
            <xdr:cNvSpPr txBox="1"/>
          </xdr:nvSpPr>
          <xdr:spPr>
            <a:xfrm>
              <a:off x="858084" y="621918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513073</xdr:colOff>
      <xdr:row>382</xdr:row>
      <xdr:rowOff>146560</xdr:rowOff>
    </xdr:from>
    <xdr:ext cx="1732229" cy="250250"/>
    <xdr:sp macro="" textlink="">
      <xdr:nvSpPr>
        <xdr:cNvPr id="120" name="29 CuadroTexto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951223" y="73012810"/>
          <a:ext cx="1732229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s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b / n</a:t>
          </a:r>
        </a:p>
      </xdr:txBody>
    </xdr:sp>
    <xdr:clientData/>
  </xdr:oneCellAnchor>
  <xdr:oneCellAnchor>
    <xdr:from>
      <xdr:col>1</xdr:col>
      <xdr:colOff>467444</xdr:colOff>
      <xdr:row>392</xdr:row>
      <xdr:rowOff>147204</xdr:rowOff>
    </xdr:from>
    <xdr:ext cx="913868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29 CuadroTexto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 txBox="1"/>
          </xdr:nvSpPr>
          <xdr:spPr>
            <a:xfrm>
              <a:off x="831126" y="72866249"/>
              <a:ext cx="913868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36 </m:t>
                    </m:r>
                    <m:r>
                      <m:rPr>
                        <m:nor/>
                      </m:rPr>
                      <a:rPr lang="es-PE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l-GR" sz="105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ES" sz="1050" b="0" i="0" baseline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d</m:t>
                        </m:r>
                      </m:e>
                      <m:sub>
                        <m:r>
                          <m:rPr>
                            <m:nor/>
                          </m:rPr>
                          <a:rPr lang="es-PE" sz="1050" b="0" i="0" baseline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Ø </m:t>
                        </m:r>
                      </m:sub>
                    </m:sSub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2" name="29 CuadroTexto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 txBox="1"/>
          </xdr:nvSpPr>
          <xdr:spPr>
            <a:xfrm>
              <a:off x="831126" y="72866249"/>
              <a:ext cx="913868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"S = 36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"d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"Ø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310599</xdr:colOff>
      <xdr:row>401</xdr:row>
      <xdr:rowOff>173939</xdr:rowOff>
    </xdr:from>
    <xdr:ext cx="1230313" cy="223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CuadroTexto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 txBox="1"/>
          </xdr:nvSpPr>
          <xdr:spPr>
            <a:xfrm>
              <a:off x="748749" y="76659689"/>
              <a:ext cx="1230313" cy="223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hp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9" name="CuadroTexto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 txBox="1"/>
          </xdr:nvSpPr>
          <xdr:spPr>
            <a:xfrm>
              <a:off x="748749" y="76659689"/>
              <a:ext cx="1230313" cy="223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Ws=hp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389290</xdr:colOff>
      <xdr:row>404</xdr:row>
      <xdr:rowOff>173937</xdr:rowOff>
    </xdr:from>
    <xdr:ext cx="1230313" cy="223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CuadroTexto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SpPr txBox="1"/>
          </xdr:nvSpPr>
          <xdr:spPr>
            <a:xfrm>
              <a:off x="753725" y="77583198"/>
              <a:ext cx="1230313" cy="223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Wpp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hz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es-PE" sz="1100" b="0" i="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γ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Choice>
      <mc:Fallback xmlns="">
        <xdr:sp macro="" textlink="">
          <xdr:nvSpPr>
            <xdr:cNvPr id="130" name="CuadroTexto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SpPr txBox="1"/>
          </xdr:nvSpPr>
          <xdr:spPr>
            <a:xfrm>
              <a:off x="753725" y="77583198"/>
              <a:ext cx="1230313" cy="223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Wpp=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"hz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b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202105</xdr:colOff>
      <xdr:row>409</xdr:row>
      <xdr:rowOff>135835</xdr:rowOff>
    </xdr:from>
    <xdr:ext cx="1752593" cy="2236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CuadroTexto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 txBox="1"/>
          </xdr:nvSpPr>
          <xdr:spPr>
            <a:xfrm>
              <a:off x="566540" y="78307096"/>
              <a:ext cx="1752593" cy="223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Wu</m:t>
                    </m:r>
                    <m: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=1.7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q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1−0.9·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Wpp</m:t>
                    </m:r>
                    <m: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1" name="CuadroTexto 130">
              <a:extLst>
                <a:ext uri="{FF2B5EF4-FFF2-40B4-BE49-F238E27FC236}">
                  <a16:creationId xmlns:a16="http://schemas.microsoft.com/office/drawing/2014/main" id="{726D5B9C-FA71-472D-8839-78945B6B3848}"/>
                </a:ext>
              </a:extLst>
            </xdr:cNvPr>
            <xdr:cNvSpPr txBox="1"/>
          </xdr:nvSpPr>
          <xdr:spPr>
            <a:xfrm>
              <a:off x="566540" y="78307096"/>
              <a:ext cx="1752593" cy="2236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Wu max=1.7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q1−0.9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Wpp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424082</xdr:colOff>
      <xdr:row>414</xdr:row>
      <xdr:rowOff>9525</xdr:rowOff>
    </xdr:from>
    <xdr:ext cx="1290418" cy="371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CuadroTexto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 txBox="1"/>
          </xdr:nvSpPr>
          <xdr:spPr>
            <a:xfrm>
              <a:off x="862232" y="78971775"/>
              <a:ext cx="1290418" cy="371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sSup>
                      <m:sSup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B</m:t>
                            </m:r>
                            <m: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num>
                          <m:den>
                            <m:r>
                              <a:rPr lang="es-E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  <m: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3" name="CuadroTexto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 txBox="1"/>
          </xdr:nvSpPr>
          <xdr:spPr>
            <a:xfrm>
              <a:off x="862232" y="78971775"/>
              <a:ext cx="1290418" cy="371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Mu=Wu max ·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321367</xdr:colOff>
      <xdr:row>426</xdr:row>
      <xdr:rowOff>66675</xdr:rowOff>
    </xdr:from>
    <xdr:ext cx="1555058" cy="446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144 CuadroTexto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SpPr txBox="1"/>
          </xdr:nvSpPr>
          <xdr:spPr>
            <a:xfrm>
              <a:off x="759517" y="81314925"/>
              <a:ext cx="1555058" cy="446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PE" sz="10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As</m:t>
                    </m:r>
                    <m:r>
                      <a:rPr lang="es-PE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0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4" name="144 CuadroTexto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SpPr txBox="1"/>
          </xdr:nvSpPr>
          <xdr:spPr>
            <a:xfrm>
              <a:off x="759517" y="81314925"/>
              <a:ext cx="1555058" cy="446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"As"=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Mu/(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fy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(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a/2)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1</xdr:col>
      <xdr:colOff>138921</xdr:colOff>
      <xdr:row>423</xdr:row>
      <xdr:rowOff>59485</xdr:rowOff>
    </xdr:from>
    <xdr:ext cx="1230313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CuadroTexto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 txBox="1"/>
          </xdr:nvSpPr>
          <xdr:spPr>
            <a:xfrm>
              <a:off x="503356" y="81088246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6" name="CuadroTexto 135">
              <a:extLst>
                <a:ext uri="{FF2B5EF4-FFF2-40B4-BE49-F238E27FC236}">
                  <a16:creationId xmlns:a16="http://schemas.microsoft.com/office/drawing/2014/main" id="{959076B8-0B32-4562-A1DB-0E08971814DA}"/>
                </a:ext>
              </a:extLst>
            </xdr:cNvPr>
            <xdr:cNvSpPr txBox="1"/>
          </xdr:nvSpPr>
          <xdr:spPr>
            <a:xfrm>
              <a:off x="503356" y="81088246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a=d/5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493683</xdr:colOff>
      <xdr:row>429</xdr:row>
      <xdr:rowOff>78045</xdr:rowOff>
    </xdr:from>
    <xdr:ext cx="1056409" cy="351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145 CuadroTexto">
              <a:extLst>
                <a:ext uri="{FF2B5EF4-FFF2-40B4-BE49-F238E27FC236}">
                  <a16:creationId xmlns:a16="http://schemas.microsoft.com/office/drawing/2014/main" id="{00000000-0008-0000-0000-000089000000}"/>
                </a:ext>
              </a:extLst>
            </xdr:cNvPr>
            <xdr:cNvSpPr txBox="1"/>
          </xdr:nvSpPr>
          <xdr:spPr>
            <a:xfrm>
              <a:off x="931833" y="81973995"/>
              <a:ext cx="1056409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As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0.85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7" name="145 CuadroTexto">
              <a:extLst>
                <a:ext uri="{FF2B5EF4-FFF2-40B4-BE49-F238E27FC236}">
                  <a16:creationId xmlns:a16="http://schemas.microsoft.com/office/drawing/2014/main" id="{00000000-0008-0000-0000-000089000000}"/>
                </a:ext>
              </a:extLst>
            </xdr:cNvPr>
            <xdr:cNvSpPr txBox="1"/>
          </xdr:nvSpPr>
          <xdr:spPr>
            <a:xfrm>
              <a:off x="931833" y="81973995"/>
              <a:ext cx="1056409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493649</xdr:colOff>
      <xdr:row>440</xdr:row>
      <xdr:rowOff>129023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29 CuadroTexto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 txBox="1"/>
          </xdr:nvSpPr>
          <xdr:spPr>
            <a:xfrm>
              <a:off x="855599" y="84196673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8" name="29 CuadroTexto">
              <a:extLst>
                <a:ext uri="{FF2B5EF4-FFF2-40B4-BE49-F238E27FC236}">
                  <a16:creationId xmlns:a16="http://schemas.microsoft.com/office/drawing/2014/main" id="{53B6B062-7B23-4964-A13B-615B5D8BBC1E}"/>
                </a:ext>
              </a:extLst>
            </xdr:cNvPr>
            <xdr:cNvSpPr txBox="1"/>
          </xdr:nvSpPr>
          <xdr:spPr>
            <a:xfrm>
              <a:off x="855599" y="84196673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484498</xdr:colOff>
      <xdr:row>443</xdr:row>
      <xdr:rowOff>127510</xdr:rowOff>
    </xdr:from>
    <xdr:ext cx="1732229" cy="250250"/>
    <xdr:sp macro="" textlink="">
      <xdr:nvSpPr>
        <xdr:cNvPr id="109" name="29 CuadroTexto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846448" y="71126860"/>
          <a:ext cx="1732229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s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b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/ n</a:t>
          </a:r>
        </a:p>
      </xdr:txBody>
    </xdr:sp>
    <xdr:clientData/>
  </xdr:oneCellAnchor>
  <xdr:oneCellAnchor>
    <xdr:from>
      <xdr:col>1</xdr:col>
      <xdr:colOff>523875</xdr:colOff>
      <xdr:row>450</xdr:row>
      <xdr:rowOff>180975</xdr:rowOff>
    </xdr:from>
    <xdr:ext cx="828675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 txBox="1"/>
          </xdr:nvSpPr>
          <xdr:spPr>
            <a:xfrm>
              <a:off x="885825" y="86153625"/>
              <a:ext cx="828675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76A8230D-3852-4860-B21C-4C79D0508B0B}"/>
                </a:ext>
              </a:extLst>
            </xdr:cNvPr>
            <xdr:cNvSpPr txBox="1"/>
          </xdr:nvSpPr>
          <xdr:spPr>
            <a:xfrm>
              <a:off x="885825" y="86153625"/>
              <a:ext cx="828675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L=B1−t2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505245</xdr:colOff>
      <xdr:row>453</xdr:row>
      <xdr:rowOff>28573</xdr:rowOff>
    </xdr:from>
    <xdr:ext cx="1085022" cy="402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00000000-0008-0000-0000-00007C000000}"/>
                </a:ext>
              </a:extLst>
            </xdr:cNvPr>
            <xdr:cNvSpPr txBox="1"/>
          </xdr:nvSpPr>
          <xdr:spPr>
            <a:xfrm>
              <a:off x="867195" y="86763223"/>
              <a:ext cx="1085022" cy="402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qb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𝑞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2)·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4" name="CuadroTexto 123">
              <a:extLst>
                <a:ext uri="{FF2B5EF4-FFF2-40B4-BE49-F238E27FC236}">
                  <a16:creationId xmlns:a16="http://schemas.microsoft.com/office/drawing/2014/main" id="{44A0A57B-95AF-47CC-A5F0-07BDF638DFE5}"/>
                </a:ext>
              </a:extLst>
            </xdr:cNvPr>
            <xdr:cNvSpPr txBox="1"/>
          </xdr:nvSpPr>
          <xdr:spPr>
            <a:xfrm>
              <a:off x="867195" y="86763223"/>
              <a:ext cx="1085022" cy="402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qb=((𝑞1−𝑞2)·𝐿)/(𝐵1+𝐵2)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356152</xdr:colOff>
      <xdr:row>456</xdr:row>
      <xdr:rowOff>157372</xdr:rowOff>
    </xdr:from>
    <xdr:ext cx="1085022" cy="2401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00000000-0008-0000-0000-00007D000000}"/>
                </a:ext>
              </a:extLst>
            </xdr:cNvPr>
            <xdr:cNvSpPr txBox="1"/>
          </xdr:nvSpPr>
          <xdr:spPr>
            <a:xfrm>
              <a:off x="720587" y="87282133"/>
              <a:ext cx="1085022" cy="2401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qB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q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qb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5" name="CuadroTexto 124">
              <a:extLst>
                <a:ext uri="{FF2B5EF4-FFF2-40B4-BE49-F238E27FC236}">
                  <a16:creationId xmlns:a16="http://schemas.microsoft.com/office/drawing/2014/main" id="{32AA93A4-816A-460F-BA51-2A764F1C8831}"/>
                </a:ext>
              </a:extLst>
            </xdr:cNvPr>
            <xdr:cNvSpPr txBox="1"/>
          </xdr:nvSpPr>
          <xdr:spPr>
            <a:xfrm>
              <a:off x="720587" y="87282133"/>
              <a:ext cx="1085022" cy="2401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qB=q2+qb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359468</xdr:colOff>
      <xdr:row>459</xdr:row>
      <xdr:rowOff>156126</xdr:rowOff>
    </xdr:from>
    <xdr:ext cx="1537246" cy="258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CuadroTexto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 txBox="1"/>
          </xdr:nvSpPr>
          <xdr:spPr>
            <a:xfrm>
              <a:off x="723903" y="87852387"/>
              <a:ext cx="1537246" cy="25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=1.4·(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Wpp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2" name="CuadroTexto 131">
              <a:extLst>
                <a:ext uri="{FF2B5EF4-FFF2-40B4-BE49-F238E27FC236}">
                  <a16:creationId xmlns:a16="http://schemas.microsoft.com/office/drawing/2014/main" id="{AD7781AD-D863-4361-ABB9-CCDC00D1560A}"/>
                </a:ext>
              </a:extLst>
            </xdr:cNvPr>
            <xdr:cNvSpPr txBox="1"/>
          </xdr:nvSpPr>
          <xdr:spPr>
            <a:xfrm>
              <a:off x="723903" y="87852387"/>
              <a:ext cx="1537246" cy="25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Wu=1.4·(Ws+Wpp)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505240</xdr:colOff>
      <xdr:row>463</xdr:row>
      <xdr:rowOff>0</xdr:rowOff>
    </xdr:from>
    <xdr:ext cx="2517912" cy="3561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CuadroTexto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 txBox="1"/>
          </xdr:nvSpPr>
          <xdr:spPr>
            <a:xfrm>
              <a:off x="869675" y="88458261"/>
              <a:ext cx="2517912" cy="356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Mu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=(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Wu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−1.4·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q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2)·</m:t>
                  </m:r>
                  <m:sSup>
                    <m:sSup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f>
                        <m:f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</m:t>
                          </m:r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e>
                    <m:sup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ES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1.4·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qb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 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p>
                    <m:sSup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f>
                        <m:f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</m:t>
                          </m:r>
                        </m:num>
                        <m:den>
                          <m: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</m:den>
                      </m:f>
                    </m:e>
                    <m:sup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Choice>
      <mc:Fallback xmlns="">
        <xdr:sp macro="" textlink="">
          <xdr:nvSpPr>
            <xdr:cNvPr id="135" name="CuadroTexto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 txBox="1"/>
          </xdr:nvSpPr>
          <xdr:spPr>
            <a:xfrm>
              <a:off x="869675" y="88458261"/>
              <a:ext cx="2517912" cy="356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Mu=(Wu −1.4·q2)·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2−1.4·qb·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〖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321367</xdr:colOff>
      <xdr:row>475</xdr:row>
      <xdr:rowOff>85725</xdr:rowOff>
    </xdr:from>
    <xdr:ext cx="1555058" cy="4087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144 CuadroTexto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SpPr txBox="1"/>
          </xdr:nvSpPr>
          <xdr:spPr>
            <a:xfrm>
              <a:off x="759517" y="90668475"/>
              <a:ext cx="1555058" cy="408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  <m:r>
                          <m:rPr>
                            <m:nor/>
                          </m:rP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fy</m:t>
                        </m:r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s-ES" sz="10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</m:t>
                            </m:r>
                          </m:num>
                          <m:den>
                            <m:r>
                              <a:rPr lang="es-ES" sz="10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9" name="144 CuadroTexto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SpPr txBox="1"/>
          </xdr:nvSpPr>
          <xdr:spPr>
            <a:xfrm>
              <a:off x="759517" y="90668475"/>
              <a:ext cx="1555058" cy="408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indent="0"/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As=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Mu/(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fy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(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a/2)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138921</xdr:colOff>
      <xdr:row>472</xdr:row>
      <xdr:rowOff>59485</xdr:rowOff>
    </xdr:from>
    <xdr:ext cx="1230313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CuadroTexto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 txBox="1"/>
          </xdr:nvSpPr>
          <xdr:spPr>
            <a:xfrm>
              <a:off x="497509" y="80887514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0" name="CuadroTexto 139">
              <a:extLst>
                <a:ext uri="{FF2B5EF4-FFF2-40B4-BE49-F238E27FC236}">
                  <a16:creationId xmlns:a16="http://schemas.microsoft.com/office/drawing/2014/main" id="{01C753F7-0AE6-4A15-9F8F-6F1B925E2FE0}"/>
                </a:ext>
              </a:extLst>
            </xdr:cNvPr>
            <xdr:cNvSpPr txBox="1"/>
          </xdr:nvSpPr>
          <xdr:spPr>
            <a:xfrm>
              <a:off x="497509" y="80887514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a=d/5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512733</xdr:colOff>
      <xdr:row>478</xdr:row>
      <xdr:rowOff>68520</xdr:rowOff>
    </xdr:from>
    <xdr:ext cx="1056409" cy="351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145 CuadroTexto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SpPr txBox="1"/>
          </xdr:nvSpPr>
          <xdr:spPr>
            <a:xfrm>
              <a:off x="950883" y="91327545"/>
              <a:ext cx="1056409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a</m:t>
                    </m:r>
                    <m:r>
                      <a:rPr lang="es-PE" sz="1050" b="0" i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As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0.85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1" name="145 CuadroTexto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SpPr txBox="1"/>
          </xdr:nvSpPr>
          <xdr:spPr>
            <a:xfrm>
              <a:off x="950883" y="91327545"/>
              <a:ext cx="1056409" cy="351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190500</xdr:colOff>
      <xdr:row>484</xdr:row>
      <xdr:rowOff>152400</xdr:rowOff>
    </xdr:from>
    <xdr:ext cx="2486025" cy="224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29 CuadroTexto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SpPr txBox="1"/>
          </xdr:nvSpPr>
          <xdr:spPr>
            <a:xfrm>
              <a:off x="549088" y="83266429"/>
              <a:ext cx="2486025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= 0.0018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</a:t>
              </a:r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2" name="29 CuadroTexto">
              <a:extLst>
                <a:ext uri="{FF2B5EF4-FFF2-40B4-BE49-F238E27FC236}">
                  <a16:creationId xmlns:a16="http://schemas.microsoft.com/office/drawing/2014/main" id="{D41853A6-A3EB-4DFF-A307-7CB5FAB4A4FE}"/>
                </a:ext>
              </a:extLst>
            </xdr:cNvPr>
            <xdr:cNvSpPr txBox="1"/>
          </xdr:nvSpPr>
          <xdr:spPr>
            <a:xfrm>
              <a:off x="549088" y="83266429"/>
              <a:ext cx="2486025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b"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 = 0.0018"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b"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 </a:t>
              </a:r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493649</xdr:colOff>
      <xdr:row>489</xdr:row>
      <xdr:rowOff>129023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29 CuadroTexto">
              <a:extLst>
                <a:ext uri="{FF2B5EF4-FFF2-40B4-BE49-F238E27FC236}">
                  <a16:creationId xmlns:a16="http://schemas.microsoft.com/office/drawing/2014/main" id="{00000000-0008-0000-0000-00008F000000}"/>
                </a:ext>
              </a:extLst>
            </xdr:cNvPr>
            <xdr:cNvSpPr txBox="1"/>
          </xdr:nvSpPr>
          <xdr:spPr>
            <a:xfrm>
              <a:off x="852237" y="841955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3" name="29 CuadroTexto">
              <a:extLst>
                <a:ext uri="{FF2B5EF4-FFF2-40B4-BE49-F238E27FC236}">
                  <a16:creationId xmlns:a16="http://schemas.microsoft.com/office/drawing/2014/main" id="{C1B18C60-76CF-4B27-BC3D-551E3508EAA8}"/>
                </a:ext>
              </a:extLst>
            </xdr:cNvPr>
            <xdr:cNvSpPr txBox="1"/>
          </xdr:nvSpPr>
          <xdr:spPr>
            <a:xfrm>
              <a:off x="852237" y="84195552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484498</xdr:colOff>
      <xdr:row>492</xdr:row>
      <xdr:rowOff>127510</xdr:rowOff>
    </xdr:from>
    <xdr:ext cx="1732229" cy="250250"/>
    <xdr:sp macro="" textlink="">
      <xdr:nvSpPr>
        <xdr:cNvPr id="144" name="29 CuadroTexto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843086" y="84765539"/>
          <a:ext cx="1732229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s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b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/ n</a:t>
          </a:r>
        </a:p>
      </xdr:txBody>
    </xdr:sp>
    <xdr:clientData/>
  </xdr:oneCellAnchor>
  <xdr:oneCellAnchor>
    <xdr:from>
      <xdr:col>1</xdr:col>
      <xdr:colOff>425822</xdr:colOff>
      <xdr:row>499</xdr:row>
      <xdr:rowOff>168091</xdr:rowOff>
    </xdr:from>
    <xdr:ext cx="1490382" cy="402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CuadroTexto 147">
              <a:extLst>
                <a:ext uri="{FF2B5EF4-FFF2-40B4-BE49-F238E27FC236}">
                  <a16:creationId xmlns:a16="http://schemas.microsoft.com/office/drawing/2014/main" id="{00000000-0008-0000-0000-000094000000}"/>
                </a:ext>
              </a:extLst>
            </xdr:cNvPr>
            <xdr:cNvSpPr txBox="1"/>
          </xdr:nvSpPr>
          <xdr:spPr>
            <a:xfrm>
              <a:off x="784410" y="95474120"/>
              <a:ext cx="1490382" cy="402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q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′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10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q</m:t>
                            </m:r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q</m:t>
                            </m:r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·(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8" name="CuadroTexto 147">
              <a:extLst>
                <a:ext uri="{FF2B5EF4-FFF2-40B4-BE49-F238E27FC236}">
                  <a16:creationId xmlns:a16="http://schemas.microsoft.com/office/drawing/2014/main" id="{00000000-0008-0000-0000-000094000000}"/>
                </a:ext>
              </a:extLst>
            </xdr:cNvPr>
            <xdr:cNvSpPr txBox="1"/>
          </xdr:nvSpPr>
          <xdr:spPr>
            <a:xfrm>
              <a:off x="784410" y="95474120"/>
              <a:ext cx="1490382" cy="402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q′d=((q1−q2)·(L−d))/(B1+B2)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256309</xdr:colOff>
      <xdr:row>504</xdr:row>
      <xdr:rowOff>8659</xdr:rowOff>
    </xdr:from>
    <xdr:ext cx="3027219" cy="3636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CuadroTexto 145">
              <a:extLst>
                <a:ext uri="{FF2B5EF4-FFF2-40B4-BE49-F238E27FC236}">
                  <a16:creationId xmlns:a16="http://schemas.microsoft.com/office/drawing/2014/main" id="{00000000-0008-0000-0000-000092000000}"/>
                </a:ext>
              </a:extLst>
            </xdr:cNvPr>
            <xdr:cNvSpPr txBox="1"/>
          </xdr:nvSpPr>
          <xdr:spPr>
            <a:xfrm>
              <a:off x="694459" y="96220684"/>
              <a:ext cx="3027219" cy="363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Vdu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Wu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−1.4·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q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d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d>
                      <m:d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e>
                    </m:d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q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·(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6" name="CuadroTexto 145">
              <a:extLst>
                <a:ext uri="{FF2B5EF4-FFF2-40B4-BE49-F238E27FC236}">
                  <a16:creationId xmlns:a16="http://schemas.microsoft.com/office/drawing/2014/main" id="{00000000-0008-0000-0000-000092000000}"/>
                </a:ext>
              </a:extLst>
            </xdr:cNvPr>
            <xdr:cNvSpPr txBox="1"/>
          </xdr:nvSpPr>
          <xdr:spPr>
            <a:xfrm>
              <a:off x="694459" y="96220684"/>
              <a:ext cx="3027219" cy="363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Vdu=(Wu −1.4·q2)·(L−d)−(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q′b·(L−d)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)/2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493570</xdr:colOff>
      <xdr:row>509</xdr:row>
      <xdr:rowOff>164524</xdr:rowOff>
    </xdr:from>
    <xdr:ext cx="643408" cy="450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CuadroTexto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 txBox="1"/>
          </xdr:nvSpPr>
          <xdr:spPr>
            <a:xfrm>
              <a:off x="857252" y="97570638"/>
              <a:ext cx="643408" cy="45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Vn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Vu</m:t>
                        </m:r>
                      </m:num>
                      <m:den>
                        <m: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den>
                    </m:f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>
                <a:effectLst/>
              </a:endParaRPr>
            </a:p>
            <a:p>
              <a:pPr algn="ctr"/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5" name="CuadroTexto 144">
              <a:extLst>
                <a:ext uri="{FF2B5EF4-FFF2-40B4-BE49-F238E27FC236}">
                  <a16:creationId xmlns:a16="http://schemas.microsoft.com/office/drawing/2014/main" id="{BC67772B-8A33-4D15-87EE-1E731A35CD56}"/>
                </a:ext>
              </a:extLst>
            </xdr:cNvPr>
            <xdr:cNvSpPr txBox="1"/>
          </xdr:nvSpPr>
          <xdr:spPr>
            <a:xfrm>
              <a:off x="857252" y="97570638"/>
              <a:ext cx="643408" cy="450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Vn" 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Vu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/Ø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sz="1050">
                <a:effectLst/>
              </a:endParaRPr>
            </a:p>
            <a:p>
              <a:pPr algn="ctr"/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372340</xdr:colOff>
      <xdr:row>513</xdr:row>
      <xdr:rowOff>103909</xdr:rowOff>
    </xdr:from>
    <xdr:ext cx="1662545" cy="244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118 CuadroTexto">
              <a:extLst>
                <a:ext uri="{FF2B5EF4-FFF2-40B4-BE49-F238E27FC236}">
                  <a16:creationId xmlns:a16="http://schemas.microsoft.com/office/drawing/2014/main" id="{00000000-0008-0000-0000-000093000000}"/>
                </a:ext>
              </a:extLst>
            </xdr:cNvPr>
            <xdr:cNvSpPr txBox="1"/>
          </xdr:nvSpPr>
          <xdr:spPr>
            <a:xfrm>
              <a:off x="736022" y="98272023"/>
              <a:ext cx="1662545" cy="244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b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=0.53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’</m:t>
                        </m:r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</m:t>
                        </m:r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rad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bo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7" name="118 CuadroTexto">
              <a:extLst>
                <a:ext uri="{FF2B5EF4-FFF2-40B4-BE49-F238E27FC236}">
                  <a16:creationId xmlns:a16="http://schemas.microsoft.com/office/drawing/2014/main" id="{DAECB195-EA15-47F5-B360-FF158348E8D1}"/>
                </a:ext>
              </a:extLst>
            </xdr:cNvPr>
            <xdr:cNvSpPr txBox="1"/>
          </xdr:nvSpPr>
          <xdr:spPr>
            <a:xfrm>
              <a:off x="736022" y="98272023"/>
              <a:ext cx="1662545" cy="244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b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Vc=0.53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√(f’c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bo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d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"</a:t>
              </a:r>
            </a:p>
          </xdr:txBody>
        </xdr:sp>
      </mc:Fallback>
    </mc:AlternateContent>
    <xdr:clientData/>
  </xdr:oneCellAnchor>
  <xdr:oneCellAnchor>
    <xdr:from>
      <xdr:col>1</xdr:col>
      <xdr:colOff>1</xdr:colOff>
      <xdr:row>521</xdr:row>
      <xdr:rowOff>95251</xdr:rowOff>
    </xdr:from>
    <xdr:ext cx="2285999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29 CuadroTexto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SpPr txBox="1"/>
          </xdr:nvSpPr>
          <xdr:spPr>
            <a:xfrm>
              <a:off x="438151" y="99545776"/>
              <a:ext cx="2285999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As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temp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0.0018 </m:t>
                    </m:r>
                    <m:r>
                      <m:rPr>
                        <m:nor/>
                      </m:rPr>
                      <a:rPr lang="es-PE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hz</m:t>
                    </m:r>
                    <m:r>
                      <m:rPr>
                        <m:nor/>
                      </m:rPr>
                      <a:rPr lang="es-ES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9" name="29 CuadroTexto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SpPr txBox="1"/>
          </xdr:nvSpPr>
          <xdr:spPr>
            <a:xfrm>
              <a:off x="438151" y="99545776"/>
              <a:ext cx="2285999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"As temp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ρ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"b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"t = 0.0018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"b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hz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493649</xdr:colOff>
      <xdr:row>526</xdr:row>
      <xdr:rowOff>155866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29 CuadroTexto">
              <a:extLst>
                <a:ext uri="{FF2B5EF4-FFF2-40B4-BE49-F238E27FC236}">
                  <a16:creationId xmlns:a16="http://schemas.microsoft.com/office/drawing/2014/main" id="{00000000-0008-0000-0000-000096000000}"/>
                </a:ext>
              </a:extLst>
            </xdr:cNvPr>
            <xdr:cNvSpPr txBox="1"/>
          </xdr:nvSpPr>
          <xdr:spPr>
            <a:xfrm>
              <a:off x="857331" y="101371980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0" name="29 CuadroTexto">
              <a:extLst>
                <a:ext uri="{FF2B5EF4-FFF2-40B4-BE49-F238E27FC236}">
                  <a16:creationId xmlns:a16="http://schemas.microsoft.com/office/drawing/2014/main" id="{C8D33272-7980-4F57-B730-09CF23EAEAF8}"/>
                </a:ext>
              </a:extLst>
            </xdr:cNvPr>
            <xdr:cNvSpPr txBox="1"/>
          </xdr:nvSpPr>
          <xdr:spPr>
            <a:xfrm>
              <a:off x="857331" y="101371980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484498</xdr:colOff>
      <xdr:row>529</xdr:row>
      <xdr:rowOff>127510</xdr:rowOff>
    </xdr:from>
    <xdr:ext cx="1732229" cy="250250"/>
    <xdr:sp macro="" textlink="">
      <xdr:nvSpPr>
        <xdr:cNvPr id="151" name="29 CuadroTexto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848180" y="94295124"/>
          <a:ext cx="1732229" cy="25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s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b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/ n</a:t>
          </a:r>
        </a:p>
      </xdr:txBody>
    </xdr:sp>
    <xdr:clientData/>
  </xdr:oneCellAnchor>
  <xdr:oneCellAnchor>
    <xdr:from>
      <xdr:col>1</xdr:col>
      <xdr:colOff>484763</xdr:colOff>
      <xdr:row>539</xdr:row>
      <xdr:rowOff>129887</xdr:rowOff>
    </xdr:from>
    <xdr:ext cx="913868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29 CuadroTexto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 txBox="1"/>
          </xdr:nvSpPr>
          <xdr:spPr>
            <a:xfrm>
              <a:off x="848445" y="103251001"/>
              <a:ext cx="913868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=36</m:t>
                    </m:r>
                    <m:sSub>
                      <m:sSubPr>
                        <m:ctrlPr>
                          <a:rPr lang="el-GR" sz="105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s-PE" sz="1050" b="0" i="0" baseline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·</m:t>
                        </m:r>
                        <m:r>
                          <a:rPr lang="es-ES" sz="1050" b="0" i="0" baseline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ES" sz="1050" b="0" i="0" baseline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d</m:t>
                        </m:r>
                      </m:e>
                      <m:sub>
                        <m:r>
                          <m:rPr>
                            <m:nor/>
                          </m:rPr>
                          <a:rPr lang="es-PE" sz="1050" b="0" i="0" baseline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Ø </m:t>
                        </m:r>
                      </m:sub>
                    </m:sSub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3" name="29 CuadroTexto">
              <a:extLst>
                <a:ext uri="{FF2B5EF4-FFF2-40B4-BE49-F238E27FC236}">
                  <a16:creationId xmlns:a16="http://schemas.microsoft.com/office/drawing/2014/main" id="{76A7A37E-C4C3-464C-B50C-1DBFBCEF33C8}"/>
                </a:ext>
              </a:extLst>
            </xdr:cNvPr>
            <xdr:cNvSpPr txBox="1"/>
          </xdr:nvSpPr>
          <xdr:spPr>
            <a:xfrm>
              <a:off x="848445" y="103251001"/>
              <a:ext cx="913868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S=36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"d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"Ø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7</xdr:col>
      <xdr:colOff>608276</xdr:colOff>
      <xdr:row>3</xdr:row>
      <xdr:rowOff>99150</xdr:rowOff>
    </xdr:from>
    <xdr:to>
      <xdr:col>12</xdr:col>
      <xdr:colOff>5449</xdr:colOff>
      <xdr:row>18</xdr:row>
      <xdr:rowOff>145240</xdr:rowOff>
    </xdr:to>
    <xdr:sp macro="" textlink="">
      <xdr:nvSpPr>
        <xdr:cNvPr id="16" name="Forma libre: form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509988" y="480150"/>
          <a:ext cx="3258461" cy="2903590"/>
        </a:xfrm>
        <a:custGeom>
          <a:avLst/>
          <a:gdLst>
            <a:gd name="connsiteX0" fmla="*/ 0 w 3059906"/>
            <a:gd name="connsiteY0" fmla="*/ 2718594 h 2734469"/>
            <a:gd name="connsiteX1" fmla="*/ 3969 w 3059906"/>
            <a:gd name="connsiteY1" fmla="*/ 2182813 h 2734469"/>
            <a:gd name="connsiteX2" fmla="*/ 900906 w 3059906"/>
            <a:gd name="connsiteY2" fmla="*/ 2182813 h 2734469"/>
            <a:gd name="connsiteX3" fmla="*/ 1230313 w 3059906"/>
            <a:gd name="connsiteY3" fmla="*/ 0 h 2734469"/>
            <a:gd name="connsiteX4" fmla="*/ 1531938 w 3059906"/>
            <a:gd name="connsiteY4" fmla="*/ 3969 h 2734469"/>
            <a:gd name="connsiteX5" fmla="*/ 1535906 w 3059906"/>
            <a:gd name="connsiteY5" fmla="*/ 2190750 h 2734469"/>
            <a:gd name="connsiteX6" fmla="*/ 3059906 w 3059906"/>
            <a:gd name="connsiteY6" fmla="*/ 2182813 h 2734469"/>
            <a:gd name="connsiteX7" fmla="*/ 3059906 w 3059906"/>
            <a:gd name="connsiteY7" fmla="*/ 2734469 h 2734469"/>
            <a:gd name="connsiteX8" fmla="*/ 0 w 3059906"/>
            <a:gd name="connsiteY8" fmla="*/ 2718594 h 2734469"/>
            <a:gd name="connsiteX0" fmla="*/ 0 w 3059906"/>
            <a:gd name="connsiteY0" fmla="*/ 2718594 h 2734469"/>
            <a:gd name="connsiteX1" fmla="*/ 3969 w 3059906"/>
            <a:gd name="connsiteY1" fmla="*/ 2182813 h 2734469"/>
            <a:gd name="connsiteX2" fmla="*/ 900906 w 3059906"/>
            <a:gd name="connsiteY2" fmla="*/ 2182813 h 2734469"/>
            <a:gd name="connsiteX3" fmla="*/ 1230313 w 3059906"/>
            <a:gd name="connsiteY3" fmla="*/ 0 h 2734469"/>
            <a:gd name="connsiteX4" fmla="*/ 1531938 w 3059906"/>
            <a:gd name="connsiteY4" fmla="*/ 3969 h 2734469"/>
            <a:gd name="connsiteX5" fmla="*/ 1535906 w 3059906"/>
            <a:gd name="connsiteY5" fmla="*/ 2190750 h 2734469"/>
            <a:gd name="connsiteX6" fmla="*/ 3059906 w 3059906"/>
            <a:gd name="connsiteY6" fmla="*/ 2182813 h 2734469"/>
            <a:gd name="connsiteX7" fmla="*/ 2842301 w 3059906"/>
            <a:gd name="connsiteY7" fmla="*/ 2734469 h 2734469"/>
            <a:gd name="connsiteX8" fmla="*/ 0 w 3059906"/>
            <a:gd name="connsiteY8" fmla="*/ 2718594 h 2734469"/>
            <a:gd name="connsiteX0" fmla="*/ 0 w 2842301"/>
            <a:gd name="connsiteY0" fmla="*/ 2718594 h 2734469"/>
            <a:gd name="connsiteX1" fmla="*/ 3969 w 2842301"/>
            <a:gd name="connsiteY1" fmla="*/ 2182813 h 2734469"/>
            <a:gd name="connsiteX2" fmla="*/ 900906 w 2842301"/>
            <a:gd name="connsiteY2" fmla="*/ 2182813 h 2734469"/>
            <a:gd name="connsiteX3" fmla="*/ 1230313 w 2842301"/>
            <a:gd name="connsiteY3" fmla="*/ 0 h 2734469"/>
            <a:gd name="connsiteX4" fmla="*/ 1531938 w 2842301"/>
            <a:gd name="connsiteY4" fmla="*/ 3969 h 2734469"/>
            <a:gd name="connsiteX5" fmla="*/ 1535906 w 2842301"/>
            <a:gd name="connsiteY5" fmla="*/ 2190750 h 2734469"/>
            <a:gd name="connsiteX6" fmla="*/ 2838344 w 2842301"/>
            <a:gd name="connsiteY6" fmla="*/ 2187066 h 2734469"/>
            <a:gd name="connsiteX7" fmla="*/ 2842301 w 2842301"/>
            <a:gd name="connsiteY7" fmla="*/ 2734469 h 2734469"/>
            <a:gd name="connsiteX8" fmla="*/ 0 w 2842301"/>
            <a:gd name="connsiteY8" fmla="*/ 2718594 h 2734469"/>
            <a:gd name="connsiteX0" fmla="*/ 0 w 2850214"/>
            <a:gd name="connsiteY0" fmla="*/ 2718594 h 2721710"/>
            <a:gd name="connsiteX1" fmla="*/ 3969 w 2850214"/>
            <a:gd name="connsiteY1" fmla="*/ 2182813 h 2721710"/>
            <a:gd name="connsiteX2" fmla="*/ 900906 w 2850214"/>
            <a:gd name="connsiteY2" fmla="*/ 2182813 h 2721710"/>
            <a:gd name="connsiteX3" fmla="*/ 1230313 w 2850214"/>
            <a:gd name="connsiteY3" fmla="*/ 0 h 2721710"/>
            <a:gd name="connsiteX4" fmla="*/ 1531938 w 2850214"/>
            <a:gd name="connsiteY4" fmla="*/ 3969 h 2721710"/>
            <a:gd name="connsiteX5" fmla="*/ 1535906 w 2850214"/>
            <a:gd name="connsiteY5" fmla="*/ 2190750 h 2721710"/>
            <a:gd name="connsiteX6" fmla="*/ 2838344 w 2850214"/>
            <a:gd name="connsiteY6" fmla="*/ 2187066 h 2721710"/>
            <a:gd name="connsiteX7" fmla="*/ 2850214 w 2850214"/>
            <a:gd name="connsiteY7" fmla="*/ 2721710 h 2721710"/>
            <a:gd name="connsiteX8" fmla="*/ 0 w 2850214"/>
            <a:gd name="connsiteY8" fmla="*/ 2718594 h 2721710"/>
            <a:gd name="connsiteX0" fmla="*/ 0 w 2838344"/>
            <a:gd name="connsiteY0" fmla="*/ 2718594 h 2721710"/>
            <a:gd name="connsiteX1" fmla="*/ 3969 w 2838344"/>
            <a:gd name="connsiteY1" fmla="*/ 2182813 h 2721710"/>
            <a:gd name="connsiteX2" fmla="*/ 900906 w 2838344"/>
            <a:gd name="connsiteY2" fmla="*/ 2182813 h 2721710"/>
            <a:gd name="connsiteX3" fmla="*/ 1230313 w 2838344"/>
            <a:gd name="connsiteY3" fmla="*/ 0 h 2721710"/>
            <a:gd name="connsiteX4" fmla="*/ 1531938 w 2838344"/>
            <a:gd name="connsiteY4" fmla="*/ 3969 h 2721710"/>
            <a:gd name="connsiteX5" fmla="*/ 1535906 w 2838344"/>
            <a:gd name="connsiteY5" fmla="*/ 2190750 h 2721710"/>
            <a:gd name="connsiteX6" fmla="*/ 2838344 w 2838344"/>
            <a:gd name="connsiteY6" fmla="*/ 2187066 h 2721710"/>
            <a:gd name="connsiteX7" fmla="*/ 2838344 w 2838344"/>
            <a:gd name="connsiteY7" fmla="*/ 2721710 h 2721710"/>
            <a:gd name="connsiteX8" fmla="*/ 0 w 2838344"/>
            <a:gd name="connsiteY8" fmla="*/ 2718594 h 2721710"/>
            <a:gd name="connsiteX0" fmla="*/ 0 w 2838344"/>
            <a:gd name="connsiteY0" fmla="*/ 2718594 h 2721710"/>
            <a:gd name="connsiteX1" fmla="*/ 3969 w 2838344"/>
            <a:gd name="connsiteY1" fmla="*/ 2182813 h 2721710"/>
            <a:gd name="connsiteX2" fmla="*/ 900906 w 2838344"/>
            <a:gd name="connsiteY2" fmla="*/ 2182813 h 2721710"/>
            <a:gd name="connsiteX3" fmla="*/ 1230313 w 2838344"/>
            <a:gd name="connsiteY3" fmla="*/ 0 h 2721710"/>
            <a:gd name="connsiteX4" fmla="*/ 1531938 w 2838344"/>
            <a:gd name="connsiteY4" fmla="*/ 3969 h 2721710"/>
            <a:gd name="connsiteX5" fmla="*/ 1618968 w 2838344"/>
            <a:gd name="connsiteY5" fmla="*/ 2184797 h 2721710"/>
            <a:gd name="connsiteX6" fmla="*/ 2838344 w 2838344"/>
            <a:gd name="connsiteY6" fmla="*/ 2187066 h 2721710"/>
            <a:gd name="connsiteX7" fmla="*/ 2838344 w 2838344"/>
            <a:gd name="connsiteY7" fmla="*/ 2721710 h 2721710"/>
            <a:gd name="connsiteX8" fmla="*/ 0 w 2838344"/>
            <a:gd name="connsiteY8" fmla="*/ 2718594 h 2721710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09463 w 2838344"/>
            <a:gd name="connsiteY4" fmla="*/ 0 h 2723695"/>
            <a:gd name="connsiteX5" fmla="*/ 1618968 w 2838344"/>
            <a:gd name="connsiteY5" fmla="*/ 2186782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18968 w 2838344"/>
            <a:gd name="connsiteY5" fmla="*/ 2186782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32651 w 2838344"/>
            <a:gd name="connsiteY5" fmla="*/ 2180926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32651 w 2838344"/>
            <a:gd name="connsiteY5" fmla="*/ 2180926 h 2723695"/>
            <a:gd name="connsiteX6" fmla="*/ 2838344 w 2838344"/>
            <a:gd name="connsiteY6" fmla="*/ 2180266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46068"/>
            <a:gd name="connsiteY0" fmla="*/ 2720579 h 2810185"/>
            <a:gd name="connsiteX1" fmla="*/ 3969 w 2846068"/>
            <a:gd name="connsiteY1" fmla="*/ 2184798 h 2810185"/>
            <a:gd name="connsiteX2" fmla="*/ 900906 w 2846068"/>
            <a:gd name="connsiteY2" fmla="*/ 2184798 h 2810185"/>
            <a:gd name="connsiteX3" fmla="*/ 1230313 w 2846068"/>
            <a:gd name="connsiteY3" fmla="*/ 1985 h 2810185"/>
            <a:gd name="connsiteX4" fmla="*/ 1631356 w 2846068"/>
            <a:gd name="connsiteY4" fmla="*/ 0 h 2810185"/>
            <a:gd name="connsiteX5" fmla="*/ 1632651 w 2846068"/>
            <a:gd name="connsiteY5" fmla="*/ 2180926 h 2810185"/>
            <a:gd name="connsiteX6" fmla="*/ 2838344 w 2846068"/>
            <a:gd name="connsiteY6" fmla="*/ 2180266 h 2810185"/>
            <a:gd name="connsiteX7" fmla="*/ 2846068 w 2846068"/>
            <a:gd name="connsiteY7" fmla="*/ 2810185 h 2810185"/>
            <a:gd name="connsiteX8" fmla="*/ 0 w 2846068"/>
            <a:gd name="connsiteY8" fmla="*/ 2720579 h 2810185"/>
            <a:gd name="connsiteX0" fmla="*/ 0 w 2853791"/>
            <a:gd name="connsiteY0" fmla="*/ 2801488 h 2810185"/>
            <a:gd name="connsiteX1" fmla="*/ 11692 w 2853791"/>
            <a:gd name="connsiteY1" fmla="*/ 2184798 h 2810185"/>
            <a:gd name="connsiteX2" fmla="*/ 908629 w 2853791"/>
            <a:gd name="connsiteY2" fmla="*/ 2184798 h 2810185"/>
            <a:gd name="connsiteX3" fmla="*/ 1238036 w 2853791"/>
            <a:gd name="connsiteY3" fmla="*/ 1985 h 2810185"/>
            <a:gd name="connsiteX4" fmla="*/ 1639079 w 2853791"/>
            <a:gd name="connsiteY4" fmla="*/ 0 h 2810185"/>
            <a:gd name="connsiteX5" fmla="*/ 1640374 w 2853791"/>
            <a:gd name="connsiteY5" fmla="*/ 2180926 h 2810185"/>
            <a:gd name="connsiteX6" fmla="*/ 2846067 w 2853791"/>
            <a:gd name="connsiteY6" fmla="*/ 2180266 h 2810185"/>
            <a:gd name="connsiteX7" fmla="*/ 2853791 w 2853791"/>
            <a:gd name="connsiteY7" fmla="*/ 2810185 h 2810185"/>
            <a:gd name="connsiteX8" fmla="*/ 0 w 2853791"/>
            <a:gd name="connsiteY8" fmla="*/ 2801488 h 2810185"/>
            <a:gd name="connsiteX0" fmla="*/ 11477 w 2842099"/>
            <a:gd name="connsiteY0" fmla="*/ 2821018 h 2821018"/>
            <a:gd name="connsiteX1" fmla="*/ 0 w 2842099"/>
            <a:gd name="connsiteY1" fmla="*/ 2184798 h 2821018"/>
            <a:gd name="connsiteX2" fmla="*/ 896937 w 2842099"/>
            <a:gd name="connsiteY2" fmla="*/ 2184798 h 2821018"/>
            <a:gd name="connsiteX3" fmla="*/ 1226344 w 2842099"/>
            <a:gd name="connsiteY3" fmla="*/ 1985 h 2821018"/>
            <a:gd name="connsiteX4" fmla="*/ 1627387 w 2842099"/>
            <a:gd name="connsiteY4" fmla="*/ 0 h 2821018"/>
            <a:gd name="connsiteX5" fmla="*/ 1628682 w 2842099"/>
            <a:gd name="connsiteY5" fmla="*/ 2180926 h 2821018"/>
            <a:gd name="connsiteX6" fmla="*/ 2834375 w 2842099"/>
            <a:gd name="connsiteY6" fmla="*/ 2180266 h 2821018"/>
            <a:gd name="connsiteX7" fmla="*/ 2842099 w 2842099"/>
            <a:gd name="connsiteY7" fmla="*/ 2810185 h 2821018"/>
            <a:gd name="connsiteX8" fmla="*/ 11477 w 2842099"/>
            <a:gd name="connsiteY8" fmla="*/ 2821018 h 2821018"/>
            <a:gd name="connsiteX0" fmla="*/ 11477 w 2835118"/>
            <a:gd name="connsiteY0" fmla="*/ 2821018 h 2821018"/>
            <a:gd name="connsiteX1" fmla="*/ 0 w 2835118"/>
            <a:gd name="connsiteY1" fmla="*/ 2184798 h 2821018"/>
            <a:gd name="connsiteX2" fmla="*/ 896937 w 2835118"/>
            <a:gd name="connsiteY2" fmla="*/ 2184798 h 2821018"/>
            <a:gd name="connsiteX3" fmla="*/ 1226344 w 2835118"/>
            <a:gd name="connsiteY3" fmla="*/ 1985 h 2821018"/>
            <a:gd name="connsiteX4" fmla="*/ 1627387 w 2835118"/>
            <a:gd name="connsiteY4" fmla="*/ 0 h 2821018"/>
            <a:gd name="connsiteX5" fmla="*/ 1628682 w 2835118"/>
            <a:gd name="connsiteY5" fmla="*/ 2180926 h 2821018"/>
            <a:gd name="connsiteX6" fmla="*/ 2834375 w 2835118"/>
            <a:gd name="connsiteY6" fmla="*/ 2180266 h 2821018"/>
            <a:gd name="connsiteX7" fmla="*/ 2834376 w 2835118"/>
            <a:gd name="connsiteY7" fmla="*/ 2801814 h 2821018"/>
            <a:gd name="connsiteX8" fmla="*/ 11477 w 2835118"/>
            <a:gd name="connsiteY8" fmla="*/ 2821018 h 2821018"/>
            <a:gd name="connsiteX0" fmla="*/ 11477 w 2835118"/>
            <a:gd name="connsiteY0" fmla="*/ 2821018 h 2821018"/>
            <a:gd name="connsiteX1" fmla="*/ 0 w 2835118"/>
            <a:gd name="connsiteY1" fmla="*/ 2184798 h 2821018"/>
            <a:gd name="connsiteX2" fmla="*/ 896937 w 2835118"/>
            <a:gd name="connsiteY2" fmla="*/ 2184798 h 2821018"/>
            <a:gd name="connsiteX3" fmla="*/ 1226344 w 2835118"/>
            <a:gd name="connsiteY3" fmla="*/ 1985 h 2821018"/>
            <a:gd name="connsiteX4" fmla="*/ 1627387 w 2835118"/>
            <a:gd name="connsiteY4" fmla="*/ 0 h 2821018"/>
            <a:gd name="connsiteX5" fmla="*/ 1628682 w 2835118"/>
            <a:gd name="connsiteY5" fmla="*/ 2180926 h 2821018"/>
            <a:gd name="connsiteX6" fmla="*/ 2834375 w 2835118"/>
            <a:gd name="connsiteY6" fmla="*/ 2180266 h 2821018"/>
            <a:gd name="connsiteX7" fmla="*/ 2834377 w 2835118"/>
            <a:gd name="connsiteY7" fmla="*/ 2810184 h 2821018"/>
            <a:gd name="connsiteX8" fmla="*/ 11477 w 2835118"/>
            <a:gd name="connsiteY8" fmla="*/ 2821018 h 2821018"/>
            <a:gd name="connsiteX0" fmla="*/ 11477 w 2836953"/>
            <a:gd name="connsiteY0" fmla="*/ 2821018 h 2821018"/>
            <a:gd name="connsiteX1" fmla="*/ 0 w 2836953"/>
            <a:gd name="connsiteY1" fmla="*/ 2184798 h 2821018"/>
            <a:gd name="connsiteX2" fmla="*/ 896937 w 2836953"/>
            <a:gd name="connsiteY2" fmla="*/ 2184798 h 2821018"/>
            <a:gd name="connsiteX3" fmla="*/ 1226344 w 2836953"/>
            <a:gd name="connsiteY3" fmla="*/ 1985 h 2821018"/>
            <a:gd name="connsiteX4" fmla="*/ 1627387 w 2836953"/>
            <a:gd name="connsiteY4" fmla="*/ 0 h 2821018"/>
            <a:gd name="connsiteX5" fmla="*/ 1628682 w 2836953"/>
            <a:gd name="connsiteY5" fmla="*/ 2180926 h 2821018"/>
            <a:gd name="connsiteX6" fmla="*/ 2834375 w 2836953"/>
            <a:gd name="connsiteY6" fmla="*/ 2180266 h 2821018"/>
            <a:gd name="connsiteX7" fmla="*/ 2836953 w 2836953"/>
            <a:gd name="connsiteY7" fmla="*/ 2818553 h 2821018"/>
            <a:gd name="connsiteX8" fmla="*/ 11477 w 2836953"/>
            <a:gd name="connsiteY8" fmla="*/ 2821018 h 2821018"/>
            <a:gd name="connsiteX0" fmla="*/ 11477 w 2836953"/>
            <a:gd name="connsiteY0" fmla="*/ 2821018 h 2826923"/>
            <a:gd name="connsiteX1" fmla="*/ 0 w 2836953"/>
            <a:gd name="connsiteY1" fmla="*/ 2184798 h 2826923"/>
            <a:gd name="connsiteX2" fmla="*/ 896937 w 2836953"/>
            <a:gd name="connsiteY2" fmla="*/ 2184798 h 2826923"/>
            <a:gd name="connsiteX3" fmla="*/ 1226344 w 2836953"/>
            <a:gd name="connsiteY3" fmla="*/ 1985 h 2826923"/>
            <a:gd name="connsiteX4" fmla="*/ 1627387 w 2836953"/>
            <a:gd name="connsiteY4" fmla="*/ 0 h 2826923"/>
            <a:gd name="connsiteX5" fmla="*/ 1628682 w 2836953"/>
            <a:gd name="connsiteY5" fmla="*/ 2180926 h 2826923"/>
            <a:gd name="connsiteX6" fmla="*/ 2834375 w 2836953"/>
            <a:gd name="connsiteY6" fmla="*/ 2180266 h 2826923"/>
            <a:gd name="connsiteX7" fmla="*/ 2836953 w 2836953"/>
            <a:gd name="connsiteY7" fmla="*/ 2826923 h 2826923"/>
            <a:gd name="connsiteX8" fmla="*/ 11477 w 2836953"/>
            <a:gd name="connsiteY8" fmla="*/ 2821018 h 2826923"/>
            <a:gd name="connsiteX0" fmla="*/ 11477 w 2834908"/>
            <a:gd name="connsiteY0" fmla="*/ 2821018 h 2821018"/>
            <a:gd name="connsiteX1" fmla="*/ 0 w 2834908"/>
            <a:gd name="connsiteY1" fmla="*/ 2184798 h 2821018"/>
            <a:gd name="connsiteX2" fmla="*/ 896937 w 2834908"/>
            <a:gd name="connsiteY2" fmla="*/ 2184798 h 2821018"/>
            <a:gd name="connsiteX3" fmla="*/ 1226344 w 2834908"/>
            <a:gd name="connsiteY3" fmla="*/ 1985 h 2821018"/>
            <a:gd name="connsiteX4" fmla="*/ 1627387 w 2834908"/>
            <a:gd name="connsiteY4" fmla="*/ 0 h 2821018"/>
            <a:gd name="connsiteX5" fmla="*/ 1628682 w 2834908"/>
            <a:gd name="connsiteY5" fmla="*/ 2180926 h 2821018"/>
            <a:gd name="connsiteX6" fmla="*/ 2834375 w 2834908"/>
            <a:gd name="connsiteY6" fmla="*/ 2180266 h 2821018"/>
            <a:gd name="connsiteX7" fmla="*/ 2831804 w 2834908"/>
            <a:gd name="connsiteY7" fmla="*/ 2812973 h 2821018"/>
            <a:gd name="connsiteX8" fmla="*/ 11477 w 2834908"/>
            <a:gd name="connsiteY8" fmla="*/ 2821018 h 2821018"/>
            <a:gd name="connsiteX0" fmla="*/ 11477 w 2835073"/>
            <a:gd name="connsiteY0" fmla="*/ 2821018 h 2829204"/>
            <a:gd name="connsiteX1" fmla="*/ 0 w 2835073"/>
            <a:gd name="connsiteY1" fmla="*/ 2184798 h 2829204"/>
            <a:gd name="connsiteX2" fmla="*/ 896937 w 2835073"/>
            <a:gd name="connsiteY2" fmla="*/ 2184798 h 2829204"/>
            <a:gd name="connsiteX3" fmla="*/ 1226344 w 2835073"/>
            <a:gd name="connsiteY3" fmla="*/ 1985 h 2829204"/>
            <a:gd name="connsiteX4" fmla="*/ 1627387 w 2835073"/>
            <a:gd name="connsiteY4" fmla="*/ 0 h 2829204"/>
            <a:gd name="connsiteX5" fmla="*/ 1628682 w 2835073"/>
            <a:gd name="connsiteY5" fmla="*/ 2180926 h 2829204"/>
            <a:gd name="connsiteX6" fmla="*/ 2834375 w 2835073"/>
            <a:gd name="connsiteY6" fmla="*/ 2180266 h 2829204"/>
            <a:gd name="connsiteX7" fmla="*/ 2833959 w 2835073"/>
            <a:gd name="connsiteY7" fmla="*/ 2829204 h 2829204"/>
            <a:gd name="connsiteX8" fmla="*/ 11477 w 2835073"/>
            <a:gd name="connsiteY8" fmla="*/ 2821018 h 2829204"/>
            <a:gd name="connsiteX0" fmla="*/ 2858 w 2835073"/>
            <a:gd name="connsiteY0" fmla="*/ 2830293 h 2830293"/>
            <a:gd name="connsiteX1" fmla="*/ 0 w 2835073"/>
            <a:gd name="connsiteY1" fmla="*/ 2184798 h 2830293"/>
            <a:gd name="connsiteX2" fmla="*/ 896937 w 2835073"/>
            <a:gd name="connsiteY2" fmla="*/ 2184798 h 2830293"/>
            <a:gd name="connsiteX3" fmla="*/ 1226344 w 2835073"/>
            <a:gd name="connsiteY3" fmla="*/ 1985 h 2830293"/>
            <a:gd name="connsiteX4" fmla="*/ 1627387 w 2835073"/>
            <a:gd name="connsiteY4" fmla="*/ 0 h 2830293"/>
            <a:gd name="connsiteX5" fmla="*/ 1628682 w 2835073"/>
            <a:gd name="connsiteY5" fmla="*/ 2180926 h 2830293"/>
            <a:gd name="connsiteX6" fmla="*/ 2834375 w 2835073"/>
            <a:gd name="connsiteY6" fmla="*/ 2180266 h 2830293"/>
            <a:gd name="connsiteX7" fmla="*/ 2833959 w 2835073"/>
            <a:gd name="connsiteY7" fmla="*/ 2829204 h 2830293"/>
            <a:gd name="connsiteX8" fmla="*/ 2858 w 2835073"/>
            <a:gd name="connsiteY8" fmla="*/ 2830293 h 28302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35073" h="2830293">
              <a:moveTo>
                <a:pt x="2858" y="2830293"/>
              </a:moveTo>
              <a:cubicBezTo>
                <a:pt x="1905" y="2615128"/>
                <a:pt x="953" y="2399963"/>
                <a:pt x="0" y="2184798"/>
              </a:cubicBezTo>
              <a:lnTo>
                <a:pt x="896937" y="2184798"/>
              </a:lnTo>
              <a:lnTo>
                <a:pt x="1226344" y="1985"/>
              </a:lnTo>
              <a:lnTo>
                <a:pt x="1627387" y="0"/>
              </a:lnTo>
              <a:cubicBezTo>
                <a:pt x="1628710" y="728927"/>
                <a:pt x="1627359" y="1451999"/>
                <a:pt x="1628682" y="2180926"/>
              </a:cubicBezTo>
              <a:lnTo>
                <a:pt x="2834375" y="2180266"/>
              </a:lnTo>
              <a:cubicBezTo>
                <a:pt x="2836950" y="2390239"/>
                <a:pt x="2831384" y="2619231"/>
                <a:pt x="2833959" y="2829204"/>
              </a:cubicBezTo>
              <a:lnTo>
                <a:pt x="2858" y="2830293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540674</xdr:colOff>
      <xdr:row>3</xdr:row>
      <xdr:rowOff>8395</xdr:rowOff>
    </xdr:from>
    <xdr:to>
      <xdr:col>10</xdr:col>
      <xdr:colOff>240409</xdr:colOff>
      <xdr:row>3</xdr:row>
      <xdr:rowOff>10530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6916279" y="392468"/>
          <a:ext cx="460199" cy="213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162677</xdr:colOff>
      <xdr:row>15</xdr:row>
      <xdr:rowOff>142766</xdr:rowOff>
    </xdr:from>
    <xdr:to>
      <xdr:col>10</xdr:col>
      <xdr:colOff>241895</xdr:colOff>
      <xdr:row>15</xdr:row>
      <xdr:rowOff>146770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V="1">
          <a:off x="6538282" y="2831274"/>
          <a:ext cx="839682" cy="400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608276</xdr:colOff>
      <xdr:row>19</xdr:row>
      <xdr:rowOff>77632</xdr:rowOff>
    </xdr:from>
    <xdr:to>
      <xdr:col>9</xdr:col>
      <xdr:colOff>162677</xdr:colOff>
      <xdr:row>19</xdr:row>
      <xdr:rowOff>77632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5509042" y="3534285"/>
          <a:ext cx="1029240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162677</xdr:colOff>
      <xdr:row>19</xdr:row>
      <xdr:rowOff>72950</xdr:rowOff>
    </xdr:from>
    <xdr:to>
      <xdr:col>12</xdr:col>
      <xdr:colOff>4648</xdr:colOff>
      <xdr:row>19</xdr:row>
      <xdr:rowOff>77636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6538282" y="3529603"/>
          <a:ext cx="2223221" cy="468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497159</xdr:colOff>
      <xdr:row>3</xdr:row>
      <xdr:rowOff>102934</xdr:rowOff>
    </xdr:from>
    <xdr:to>
      <xdr:col>10</xdr:col>
      <xdr:colOff>518419</xdr:colOff>
      <xdr:row>15</xdr:row>
      <xdr:rowOff>49878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 flipV="1">
          <a:off x="7640909" y="483934"/>
          <a:ext cx="21260" cy="223294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121401</xdr:colOff>
      <xdr:row>15</xdr:row>
      <xdr:rowOff>49879</xdr:rowOff>
    </xdr:from>
    <xdr:to>
      <xdr:col>12</xdr:col>
      <xdr:colOff>121879</xdr:colOff>
      <xdr:row>18</xdr:row>
      <xdr:rowOff>144123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V="1">
          <a:off x="8884401" y="2716879"/>
          <a:ext cx="478" cy="66574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257174</xdr:colOff>
      <xdr:row>35</xdr:row>
      <xdr:rowOff>36634</xdr:rowOff>
    </xdr:from>
    <xdr:to>
      <xdr:col>9</xdr:col>
      <xdr:colOff>337036</xdr:colOff>
      <xdr:row>49</xdr:row>
      <xdr:rowOff>43960</xdr:rowOff>
    </xdr:to>
    <xdr:sp macro="" textlink="">
      <xdr:nvSpPr>
        <xdr:cNvPr id="41" name="Forma libre: forma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5924549" y="6513634"/>
          <a:ext cx="794237" cy="2579076"/>
        </a:xfrm>
        <a:custGeom>
          <a:avLst/>
          <a:gdLst>
            <a:gd name="connsiteX0" fmla="*/ 0 w 1047750"/>
            <a:gd name="connsiteY0" fmla="*/ 2564423 h 2579076"/>
            <a:gd name="connsiteX1" fmla="*/ 476250 w 1047750"/>
            <a:gd name="connsiteY1" fmla="*/ 0 h 2579076"/>
            <a:gd name="connsiteX2" fmla="*/ 981808 w 1047750"/>
            <a:gd name="connsiteY2" fmla="*/ 0 h 2579076"/>
            <a:gd name="connsiteX3" fmla="*/ 1047750 w 1047750"/>
            <a:gd name="connsiteY3" fmla="*/ 2579076 h 2579076"/>
            <a:gd name="connsiteX4" fmla="*/ 0 w 1047750"/>
            <a:gd name="connsiteY4" fmla="*/ 2564423 h 2579076"/>
            <a:gd name="connsiteX0" fmla="*/ 0 w 1011115"/>
            <a:gd name="connsiteY0" fmla="*/ 2564423 h 2564423"/>
            <a:gd name="connsiteX1" fmla="*/ 476250 w 1011115"/>
            <a:gd name="connsiteY1" fmla="*/ 0 h 2564423"/>
            <a:gd name="connsiteX2" fmla="*/ 981808 w 1011115"/>
            <a:gd name="connsiteY2" fmla="*/ 0 h 2564423"/>
            <a:gd name="connsiteX3" fmla="*/ 1011115 w 1011115"/>
            <a:gd name="connsiteY3" fmla="*/ 2549768 h 2564423"/>
            <a:gd name="connsiteX4" fmla="*/ 0 w 1011115"/>
            <a:gd name="connsiteY4" fmla="*/ 2564423 h 2564423"/>
            <a:gd name="connsiteX0" fmla="*/ 0 w 1011115"/>
            <a:gd name="connsiteY0" fmla="*/ 2564423 h 2571749"/>
            <a:gd name="connsiteX1" fmla="*/ 476250 w 1011115"/>
            <a:gd name="connsiteY1" fmla="*/ 0 h 2571749"/>
            <a:gd name="connsiteX2" fmla="*/ 981808 w 1011115"/>
            <a:gd name="connsiteY2" fmla="*/ 0 h 2571749"/>
            <a:gd name="connsiteX3" fmla="*/ 1011115 w 1011115"/>
            <a:gd name="connsiteY3" fmla="*/ 2571749 h 2571749"/>
            <a:gd name="connsiteX4" fmla="*/ 0 w 1011115"/>
            <a:gd name="connsiteY4" fmla="*/ 2564423 h 2571749"/>
            <a:gd name="connsiteX0" fmla="*/ 0 w 1011115"/>
            <a:gd name="connsiteY0" fmla="*/ 2571750 h 2579076"/>
            <a:gd name="connsiteX1" fmla="*/ 578827 w 1011115"/>
            <a:gd name="connsiteY1" fmla="*/ 0 h 2579076"/>
            <a:gd name="connsiteX2" fmla="*/ 981808 w 1011115"/>
            <a:gd name="connsiteY2" fmla="*/ 7327 h 2579076"/>
            <a:gd name="connsiteX3" fmla="*/ 1011115 w 1011115"/>
            <a:gd name="connsiteY3" fmla="*/ 2579076 h 2579076"/>
            <a:gd name="connsiteX4" fmla="*/ 0 w 1011115"/>
            <a:gd name="connsiteY4" fmla="*/ 2571750 h 25790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11115" h="2579076">
              <a:moveTo>
                <a:pt x="0" y="2571750"/>
              </a:moveTo>
              <a:lnTo>
                <a:pt x="578827" y="0"/>
              </a:lnTo>
              <a:lnTo>
                <a:pt x="981808" y="7327"/>
              </a:lnTo>
              <a:lnTo>
                <a:pt x="1011115" y="2579076"/>
              </a:lnTo>
              <a:lnTo>
                <a:pt x="0" y="2571750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354579</xdr:colOff>
      <xdr:row>35</xdr:row>
      <xdr:rowOff>52144</xdr:rowOff>
    </xdr:from>
    <xdr:to>
      <xdr:col>10</xdr:col>
      <xdr:colOff>433892</xdr:colOff>
      <xdr:row>49</xdr:row>
      <xdr:rowOff>43961</xdr:rowOff>
    </xdr:to>
    <xdr:sp macro="" textlink="">
      <xdr:nvSpPr>
        <xdr:cNvPr id="42" name="Forma libre: forma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6733548" y="6552783"/>
          <a:ext cx="840618" cy="2571214"/>
        </a:xfrm>
        <a:custGeom>
          <a:avLst/>
          <a:gdLst>
            <a:gd name="connsiteX0" fmla="*/ 36634 w 857250"/>
            <a:gd name="connsiteY0" fmla="*/ 2564424 h 2564424"/>
            <a:gd name="connsiteX1" fmla="*/ 0 w 857250"/>
            <a:gd name="connsiteY1" fmla="*/ 0 h 2564424"/>
            <a:gd name="connsiteX2" fmla="*/ 857250 w 857250"/>
            <a:gd name="connsiteY2" fmla="*/ 2564424 h 2564424"/>
            <a:gd name="connsiteX3" fmla="*/ 36634 w 857250"/>
            <a:gd name="connsiteY3" fmla="*/ 2564424 h 2564424"/>
            <a:gd name="connsiteX0" fmla="*/ 33155 w 853771"/>
            <a:gd name="connsiteY0" fmla="*/ 2571356 h 2571356"/>
            <a:gd name="connsiteX1" fmla="*/ 0 w 853771"/>
            <a:gd name="connsiteY1" fmla="*/ 0 h 2571356"/>
            <a:gd name="connsiteX2" fmla="*/ 853771 w 853771"/>
            <a:gd name="connsiteY2" fmla="*/ 2571356 h 2571356"/>
            <a:gd name="connsiteX3" fmla="*/ 33155 w 853771"/>
            <a:gd name="connsiteY3" fmla="*/ 2571356 h 2571356"/>
            <a:gd name="connsiteX0" fmla="*/ 26197 w 846813"/>
            <a:gd name="connsiteY0" fmla="*/ 2585220 h 2585220"/>
            <a:gd name="connsiteX1" fmla="*/ 0 w 846813"/>
            <a:gd name="connsiteY1" fmla="*/ 0 h 2585220"/>
            <a:gd name="connsiteX2" fmla="*/ 846813 w 846813"/>
            <a:gd name="connsiteY2" fmla="*/ 2585220 h 2585220"/>
            <a:gd name="connsiteX3" fmla="*/ 26197 w 846813"/>
            <a:gd name="connsiteY3" fmla="*/ 2585220 h 25852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46813" h="2585220">
              <a:moveTo>
                <a:pt x="26197" y="2585220"/>
              </a:moveTo>
              <a:lnTo>
                <a:pt x="0" y="0"/>
              </a:lnTo>
              <a:lnTo>
                <a:pt x="846813" y="2585220"/>
              </a:lnTo>
              <a:lnTo>
                <a:pt x="26197" y="2585220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357188</xdr:colOff>
      <xdr:row>38</xdr:row>
      <xdr:rowOff>20413</xdr:rowOff>
    </xdr:from>
    <xdr:to>
      <xdr:col>9</xdr:col>
      <xdr:colOff>517072</xdr:colOff>
      <xdr:row>38</xdr:row>
      <xdr:rowOff>27216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H="1">
          <a:off x="6735536" y="7068913"/>
          <a:ext cx="159884" cy="68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360590</xdr:colOff>
      <xdr:row>39</xdr:row>
      <xdr:rowOff>153080</xdr:rowOff>
    </xdr:from>
    <xdr:to>
      <xdr:col>9</xdr:col>
      <xdr:colOff>636134</xdr:colOff>
      <xdr:row>39</xdr:row>
      <xdr:rowOff>153084</xdr:rowOff>
    </xdr:to>
    <xdr:cxnSp macro="">
      <xdr:nvCxnSpPr>
        <xdr:cNvPr id="160" name="Conector recto de flecha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/>
      </xdr:nvCxnSpPr>
      <xdr:spPr>
        <a:xfrm flipH="1">
          <a:off x="6738938" y="7392080"/>
          <a:ext cx="275544" cy="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371690</xdr:colOff>
      <xdr:row>41</xdr:row>
      <xdr:rowOff>98307</xdr:rowOff>
    </xdr:from>
    <xdr:to>
      <xdr:col>9</xdr:col>
      <xdr:colOff>738768</xdr:colOff>
      <xdr:row>41</xdr:row>
      <xdr:rowOff>102218</xdr:rowOff>
    </xdr:to>
    <xdr:cxnSp macro="">
      <xdr:nvCxnSpPr>
        <xdr:cNvPr id="163" name="Conector recto de flecha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CxnSpPr/>
      </xdr:nvCxnSpPr>
      <xdr:spPr>
        <a:xfrm flipH="1" flipV="1">
          <a:off x="6755763" y="7718307"/>
          <a:ext cx="367078" cy="39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372836</xdr:colOff>
      <xdr:row>43</xdr:row>
      <xdr:rowOff>27215</xdr:rowOff>
    </xdr:from>
    <xdr:to>
      <xdr:col>10</xdr:col>
      <xdr:colOff>78241</xdr:colOff>
      <xdr:row>43</xdr:row>
      <xdr:rowOff>32662</xdr:rowOff>
    </xdr:to>
    <xdr:cxnSp macro="">
      <xdr:nvCxnSpPr>
        <xdr:cNvPr id="165" name="Conector recto de flecha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 flipH="1">
          <a:off x="6751184" y="8028215"/>
          <a:ext cx="467405" cy="54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376405</xdr:colOff>
      <xdr:row>44</xdr:row>
      <xdr:rowOff>5560</xdr:rowOff>
    </xdr:from>
    <xdr:to>
      <xdr:col>10</xdr:col>
      <xdr:colOff>134744</xdr:colOff>
      <xdr:row>44</xdr:row>
      <xdr:rowOff>6941</xdr:rowOff>
    </xdr:to>
    <xdr:cxnSp macro="">
      <xdr:nvCxnSpPr>
        <xdr:cNvPr id="167" name="Conector recto de flecha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CxnSpPr/>
      </xdr:nvCxnSpPr>
      <xdr:spPr>
        <a:xfrm flipH="1">
          <a:off x="6754753" y="8197060"/>
          <a:ext cx="520339" cy="1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375475</xdr:colOff>
      <xdr:row>44</xdr:row>
      <xdr:rowOff>181203</xdr:rowOff>
    </xdr:from>
    <xdr:to>
      <xdr:col>10</xdr:col>
      <xdr:colOff>190500</xdr:colOff>
      <xdr:row>44</xdr:row>
      <xdr:rowOff>181656</xdr:rowOff>
    </xdr:to>
    <xdr:cxnSp macro="">
      <xdr:nvCxnSpPr>
        <xdr:cNvPr id="168" name="Conector recto de flecha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/>
      </xdr:nvCxnSpPr>
      <xdr:spPr>
        <a:xfrm flipH="1">
          <a:off x="6759548" y="8372703"/>
          <a:ext cx="577025" cy="4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379193</xdr:colOff>
      <xdr:row>46</xdr:row>
      <xdr:rowOff>138914</xdr:rowOff>
    </xdr:from>
    <xdr:to>
      <xdr:col>10</xdr:col>
      <xdr:colOff>311305</xdr:colOff>
      <xdr:row>46</xdr:row>
      <xdr:rowOff>139390</xdr:rowOff>
    </xdr:to>
    <xdr:cxnSp macro="">
      <xdr:nvCxnSpPr>
        <xdr:cNvPr id="170" name="Conector recto de flecha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/>
      </xdr:nvCxnSpPr>
      <xdr:spPr>
        <a:xfrm flipH="1" flipV="1">
          <a:off x="6763266" y="8711414"/>
          <a:ext cx="694112" cy="4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379194</xdr:colOff>
      <xdr:row>45</xdr:row>
      <xdr:rowOff>157501</xdr:rowOff>
    </xdr:from>
    <xdr:to>
      <xdr:col>10</xdr:col>
      <xdr:colOff>241610</xdr:colOff>
      <xdr:row>45</xdr:row>
      <xdr:rowOff>157976</xdr:rowOff>
    </xdr:to>
    <xdr:cxnSp macro="">
      <xdr:nvCxnSpPr>
        <xdr:cNvPr id="172" name="Conector recto de flecha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/>
      </xdr:nvCxnSpPr>
      <xdr:spPr>
        <a:xfrm flipH="1" flipV="1">
          <a:off x="6763267" y="8539501"/>
          <a:ext cx="624416" cy="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368804</xdr:colOff>
      <xdr:row>38</xdr:row>
      <xdr:rowOff>188679</xdr:rowOff>
    </xdr:from>
    <xdr:to>
      <xdr:col>9</xdr:col>
      <xdr:colOff>566854</xdr:colOff>
      <xdr:row>38</xdr:row>
      <xdr:rowOff>188925</xdr:rowOff>
    </xdr:to>
    <xdr:cxnSp macro="">
      <xdr:nvCxnSpPr>
        <xdr:cNvPr id="174" name="Conector recto de flecha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/>
      </xdr:nvCxnSpPr>
      <xdr:spPr>
        <a:xfrm flipH="1" flipV="1">
          <a:off x="6747152" y="7237179"/>
          <a:ext cx="198050" cy="2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367061</xdr:colOff>
      <xdr:row>40</xdr:row>
      <xdr:rowOff>125451</xdr:rowOff>
    </xdr:from>
    <xdr:to>
      <xdr:col>9</xdr:col>
      <xdr:colOff>683014</xdr:colOff>
      <xdr:row>40</xdr:row>
      <xdr:rowOff>130097</xdr:rowOff>
    </xdr:to>
    <xdr:cxnSp macro="">
      <xdr:nvCxnSpPr>
        <xdr:cNvPr id="176" name="Conector recto de flecha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/>
      </xdr:nvCxnSpPr>
      <xdr:spPr>
        <a:xfrm flipH="1">
          <a:off x="6751134" y="7554951"/>
          <a:ext cx="315953" cy="46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370829</xdr:colOff>
      <xdr:row>42</xdr:row>
      <xdr:rowOff>65049</xdr:rowOff>
    </xdr:from>
    <xdr:to>
      <xdr:col>10</xdr:col>
      <xdr:colOff>18586</xdr:colOff>
      <xdr:row>42</xdr:row>
      <xdr:rowOff>74794</xdr:rowOff>
    </xdr:to>
    <xdr:cxnSp macro="">
      <xdr:nvCxnSpPr>
        <xdr:cNvPr id="180" name="Conector recto de flecha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/>
      </xdr:nvCxnSpPr>
      <xdr:spPr>
        <a:xfrm flipH="1">
          <a:off x="6754902" y="7875549"/>
          <a:ext cx="409757" cy="974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387558</xdr:colOff>
      <xdr:row>48</xdr:row>
      <xdr:rowOff>6804</xdr:rowOff>
    </xdr:from>
    <xdr:to>
      <xdr:col>10</xdr:col>
      <xdr:colOff>360590</xdr:colOff>
      <xdr:row>48</xdr:row>
      <xdr:rowOff>21827</xdr:rowOff>
    </xdr:to>
    <xdr:cxnSp macro="">
      <xdr:nvCxnSpPr>
        <xdr:cNvPr id="184" name="Conector recto de flecha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/>
      </xdr:nvCxnSpPr>
      <xdr:spPr>
        <a:xfrm flipH="1">
          <a:off x="6765906" y="8865054"/>
          <a:ext cx="735032" cy="150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386480</xdr:colOff>
      <xdr:row>48</xdr:row>
      <xdr:rowOff>153082</xdr:rowOff>
    </xdr:from>
    <xdr:to>
      <xdr:col>10</xdr:col>
      <xdr:colOff>415018</xdr:colOff>
      <xdr:row>48</xdr:row>
      <xdr:rowOff>160223</xdr:rowOff>
    </xdr:to>
    <xdr:cxnSp macro="">
      <xdr:nvCxnSpPr>
        <xdr:cNvPr id="189" name="Conector recto de flecha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/>
      </xdr:nvCxnSpPr>
      <xdr:spPr>
        <a:xfrm flipH="1">
          <a:off x="6764828" y="9011332"/>
          <a:ext cx="790538" cy="71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362953</xdr:colOff>
      <xdr:row>37</xdr:row>
      <xdr:rowOff>57830</xdr:rowOff>
    </xdr:from>
    <xdr:to>
      <xdr:col>9</xdr:col>
      <xdr:colOff>499704</xdr:colOff>
      <xdr:row>37</xdr:row>
      <xdr:rowOff>63956</xdr:rowOff>
    </xdr:to>
    <xdr:cxnSp macro="">
      <xdr:nvCxnSpPr>
        <xdr:cNvPr id="194" name="Conector recto de flecha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/>
      </xdr:nvCxnSpPr>
      <xdr:spPr>
        <a:xfrm flipH="1">
          <a:off x="6749716" y="6915830"/>
          <a:ext cx="136751" cy="61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533208</xdr:colOff>
      <xdr:row>44</xdr:row>
      <xdr:rowOff>90237</xdr:rowOff>
    </xdr:from>
    <xdr:to>
      <xdr:col>10</xdr:col>
      <xdr:colOff>601579</xdr:colOff>
      <xdr:row>44</xdr:row>
      <xdr:rowOff>101446</xdr:rowOff>
    </xdr:to>
    <xdr:cxnSp macro="">
      <xdr:nvCxnSpPr>
        <xdr:cNvPr id="196" name="Conector recto de flecha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/>
      </xdr:nvCxnSpPr>
      <xdr:spPr>
        <a:xfrm flipH="1">
          <a:off x="6919971" y="8281737"/>
          <a:ext cx="830371" cy="11209"/>
        </a:xfrm>
        <a:prstGeom prst="straightConnector1">
          <a:avLst/>
        </a:prstGeom>
        <a:ln w="19050"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666751</xdr:colOff>
      <xdr:row>43</xdr:row>
      <xdr:rowOff>66675</xdr:rowOff>
    </xdr:from>
    <xdr:ext cx="1257300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9" name="CuadroTexto 198">
              <a:extLst>
                <a:ext uri="{FF2B5EF4-FFF2-40B4-BE49-F238E27FC236}">
                  <a16:creationId xmlns:a16="http://schemas.microsoft.com/office/drawing/2014/main" id="{00000000-0008-0000-0000-0000C7000000}"/>
                </a:ext>
              </a:extLst>
            </xdr:cNvPr>
            <xdr:cNvSpPr txBox="1"/>
          </xdr:nvSpPr>
          <xdr:spPr>
            <a:xfrm>
              <a:off x="7810501" y="8067675"/>
              <a:ext cx="1257300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sSup>
                      <m:sSupPr>
                        <m:ctrlP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ha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l-GR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γ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·(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hp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9" name="CuadroTexto 198">
              <a:extLst>
                <a:ext uri="{FF2B5EF4-FFF2-40B4-BE49-F238E27FC236}">
                  <a16:creationId xmlns:a16="http://schemas.microsoft.com/office/drawing/2014/main" id="{17F50084-C144-4E7D-A99E-3052946B7339}"/>
                </a:ext>
              </a:extLst>
            </xdr:cNvPr>
            <xdr:cNvSpPr txBox="1"/>
          </xdr:nvSpPr>
          <xdr:spPr>
            <a:xfrm>
              <a:off x="7810501" y="8067675"/>
              <a:ext cx="1257300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a·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s·(hp)〗^2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523876</xdr:colOff>
      <xdr:row>48</xdr:row>
      <xdr:rowOff>19050</xdr:rowOff>
    </xdr:from>
    <xdr:ext cx="933449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CuadroTexto 199">
              <a:extLst>
                <a:ext uri="{FF2B5EF4-FFF2-40B4-BE49-F238E27FC236}">
                  <a16:creationId xmlns:a16="http://schemas.microsoft.com/office/drawing/2014/main" id="{00000000-0008-0000-0000-0000C8000000}"/>
                </a:ext>
              </a:extLst>
            </xdr:cNvPr>
            <xdr:cNvSpPr txBox="1"/>
          </xdr:nvSpPr>
          <xdr:spPr>
            <a:xfrm>
              <a:off x="7667626" y="8877300"/>
              <a:ext cx="933449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Ka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hp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00" name="CuadroTexto 199">
              <a:extLst>
                <a:ext uri="{FF2B5EF4-FFF2-40B4-BE49-F238E27FC236}">
                  <a16:creationId xmlns:a16="http://schemas.microsoft.com/office/drawing/2014/main" id="{9402254E-3E76-41EA-B93D-579A2F9ED609}"/>
                </a:ext>
              </a:extLst>
            </xdr:cNvPr>
            <xdr:cNvSpPr txBox="1"/>
          </xdr:nvSpPr>
          <xdr:spPr>
            <a:xfrm>
              <a:off x="7667626" y="8877300"/>
              <a:ext cx="933449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Ka·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s·hp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8</xdr:col>
      <xdr:colOff>711846</xdr:colOff>
      <xdr:row>34</xdr:row>
      <xdr:rowOff>112834</xdr:rowOff>
    </xdr:from>
    <xdr:to>
      <xdr:col>9</xdr:col>
      <xdr:colOff>314015</xdr:colOff>
      <xdr:row>34</xdr:row>
      <xdr:rowOff>120161</xdr:rowOff>
    </xdr:to>
    <xdr:cxnSp macro="">
      <xdr:nvCxnSpPr>
        <xdr:cNvPr id="1033" name="Conector recto de flecha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CxnSpPr/>
      </xdr:nvCxnSpPr>
      <xdr:spPr>
        <a:xfrm>
          <a:off x="6379221" y="6399334"/>
          <a:ext cx="316544" cy="732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238124</xdr:colOff>
      <xdr:row>49</xdr:row>
      <xdr:rowOff>150934</xdr:rowOff>
    </xdr:from>
    <xdr:to>
      <xdr:col>9</xdr:col>
      <xdr:colOff>342900</xdr:colOff>
      <xdr:row>49</xdr:row>
      <xdr:rowOff>152400</xdr:rowOff>
    </xdr:to>
    <xdr:cxnSp macro="">
      <xdr:nvCxnSpPr>
        <xdr:cNvPr id="1035" name="Conector recto de flecha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CxnSpPr/>
      </xdr:nvCxnSpPr>
      <xdr:spPr>
        <a:xfrm>
          <a:off x="5905499" y="9199684"/>
          <a:ext cx="819151" cy="146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97404</xdr:colOff>
      <xdr:row>35</xdr:row>
      <xdr:rowOff>52144</xdr:rowOff>
    </xdr:from>
    <xdr:to>
      <xdr:col>8</xdr:col>
      <xdr:colOff>123431</xdr:colOff>
      <xdr:row>49</xdr:row>
      <xdr:rowOff>43961</xdr:rowOff>
    </xdr:to>
    <xdr:cxnSp macro="">
      <xdr:nvCxnSpPr>
        <xdr:cNvPr id="1038" name="Conector recto de flecha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CxnSpPr/>
      </xdr:nvCxnSpPr>
      <xdr:spPr>
        <a:xfrm flipH="1" flipV="1">
          <a:off x="5764779" y="6529144"/>
          <a:ext cx="26027" cy="256356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608276</xdr:colOff>
      <xdr:row>138</xdr:row>
      <xdr:rowOff>0</xdr:rowOff>
    </xdr:from>
    <xdr:to>
      <xdr:col>11</xdr:col>
      <xdr:colOff>5449</xdr:colOff>
      <xdr:row>153</xdr:row>
      <xdr:rowOff>145240</xdr:rowOff>
    </xdr:to>
    <xdr:sp macro="" textlink="">
      <xdr:nvSpPr>
        <xdr:cNvPr id="208" name="Forma libre: forma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4799276" y="26536650"/>
          <a:ext cx="3188123" cy="3002740"/>
        </a:xfrm>
        <a:custGeom>
          <a:avLst/>
          <a:gdLst>
            <a:gd name="connsiteX0" fmla="*/ 0 w 3059906"/>
            <a:gd name="connsiteY0" fmla="*/ 2718594 h 2734469"/>
            <a:gd name="connsiteX1" fmla="*/ 3969 w 3059906"/>
            <a:gd name="connsiteY1" fmla="*/ 2182813 h 2734469"/>
            <a:gd name="connsiteX2" fmla="*/ 900906 w 3059906"/>
            <a:gd name="connsiteY2" fmla="*/ 2182813 h 2734469"/>
            <a:gd name="connsiteX3" fmla="*/ 1230313 w 3059906"/>
            <a:gd name="connsiteY3" fmla="*/ 0 h 2734469"/>
            <a:gd name="connsiteX4" fmla="*/ 1531938 w 3059906"/>
            <a:gd name="connsiteY4" fmla="*/ 3969 h 2734469"/>
            <a:gd name="connsiteX5" fmla="*/ 1535906 w 3059906"/>
            <a:gd name="connsiteY5" fmla="*/ 2190750 h 2734469"/>
            <a:gd name="connsiteX6" fmla="*/ 3059906 w 3059906"/>
            <a:gd name="connsiteY6" fmla="*/ 2182813 h 2734469"/>
            <a:gd name="connsiteX7" fmla="*/ 3059906 w 3059906"/>
            <a:gd name="connsiteY7" fmla="*/ 2734469 h 2734469"/>
            <a:gd name="connsiteX8" fmla="*/ 0 w 3059906"/>
            <a:gd name="connsiteY8" fmla="*/ 2718594 h 2734469"/>
            <a:gd name="connsiteX0" fmla="*/ 0 w 3059906"/>
            <a:gd name="connsiteY0" fmla="*/ 2718594 h 2734469"/>
            <a:gd name="connsiteX1" fmla="*/ 3969 w 3059906"/>
            <a:gd name="connsiteY1" fmla="*/ 2182813 h 2734469"/>
            <a:gd name="connsiteX2" fmla="*/ 900906 w 3059906"/>
            <a:gd name="connsiteY2" fmla="*/ 2182813 h 2734469"/>
            <a:gd name="connsiteX3" fmla="*/ 1230313 w 3059906"/>
            <a:gd name="connsiteY3" fmla="*/ 0 h 2734469"/>
            <a:gd name="connsiteX4" fmla="*/ 1531938 w 3059906"/>
            <a:gd name="connsiteY4" fmla="*/ 3969 h 2734469"/>
            <a:gd name="connsiteX5" fmla="*/ 1535906 w 3059906"/>
            <a:gd name="connsiteY5" fmla="*/ 2190750 h 2734469"/>
            <a:gd name="connsiteX6" fmla="*/ 3059906 w 3059906"/>
            <a:gd name="connsiteY6" fmla="*/ 2182813 h 2734469"/>
            <a:gd name="connsiteX7" fmla="*/ 2842301 w 3059906"/>
            <a:gd name="connsiteY7" fmla="*/ 2734469 h 2734469"/>
            <a:gd name="connsiteX8" fmla="*/ 0 w 3059906"/>
            <a:gd name="connsiteY8" fmla="*/ 2718594 h 2734469"/>
            <a:gd name="connsiteX0" fmla="*/ 0 w 2842301"/>
            <a:gd name="connsiteY0" fmla="*/ 2718594 h 2734469"/>
            <a:gd name="connsiteX1" fmla="*/ 3969 w 2842301"/>
            <a:gd name="connsiteY1" fmla="*/ 2182813 h 2734469"/>
            <a:gd name="connsiteX2" fmla="*/ 900906 w 2842301"/>
            <a:gd name="connsiteY2" fmla="*/ 2182813 h 2734469"/>
            <a:gd name="connsiteX3" fmla="*/ 1230313 w 2842301"/>
            <a:gd name="connsiteY3" fmla="*/ 0 h 2734469"/>
            <a:gd name="connsiteX4" fmla="*/ 1531938 w 2842301"/>
            <a:gd name="connsiteY4" fmla="*/ 3969 h 2734469"/>
            <a:gd name="connsiteX5" fmla="*/ 1535906 w 2842301"/>
            <a:gd name="connsiteY5" fmla="*/ 2190750 h 2734469"/>
            <a:gd name="connsiteX6" fmla="*/ 2838344 w 2842301"/>
            <a:gd name="connsiteY6" fmla="*/ 2187066 h 2734469"/>
            <a:gd name="connsiteX7" fmla="*/ 2842301 w 2842301"/>
            <a:gd name="connsiteY7" fmla="*/ 2734469 h 2734469"/>
            <a:gd name="connsiteX8" fmla="*/ 0 w 2842301"/>
            <a:gd name="connsiteY8" fmla="*/ 2718594 h 2734469"/>
            <a:gd name="connsiteX0" fmla="*/ 0 w 2850214"/>
            <a:gd name="connsiteY0" fmla="*/ 2718594 h 2721710"/>
            <a:gd name="connsiteX1" fmla="*/ 3969 w 2850214"/>
            <a:gd name="connsiteY1" fmla="*/ 2182813 h 2721710"/>
            <a:gd name="connsiteX2" fmla="*/ 900906 w 2850214"/>
            <a:gd name="connsiteY2" fmla="*/ 2182813 h 2721710"/>
            <a:gd name="connsiteX3" fmla="*/ 1230313 w 2850214"/>
            <a:gd name="connsiteY3" fmla="*/ 0 h 2721710"/>
            <a:gd name="connsiteX4" fmla="*/ 1531938 w 2850214"/>
            <a:gd name="connsiteY4" fmla="*/ 3969 h 2721710"/>
            <a:gd name="connsiteX5" fmla="*/ 1535906 w 2850214"/>
            <a:gd name="connsiteY5" fmla="*/ 2190750 h 2721710"/>
            <a:gd name="connsiteX6" fmla="*/ 2838344 w 2850214"/>
            <a:gd name="connsiteY6" fmla="*/ 2187066 h 2721710"/>
            <a:gd name="connsiteX7" fmla="*/ 2850214 w 2850214"/>
            <a:gd name="connsiteY7" fmla="*/ 2721710 h 2721710"/>
            <a:gd name="connsiteX8" fmla="*/ 0 w 2850214"/>
            <a:gd name="connsiteY8" fmla="*/ 2718594 h 2721710"/>
            <a:gd name="connsiteX0" fmla="*/ 0 w 2838344"/>
            <a:gd name="connsiteY0" fmla="*/ 2718594 h 2721710"/>
            <a:gd name="connsiteX1" fmla="*/ 3969 w 2838344"/>
            <a:gd name="connsiteY1" fmla="*/ 2182813 h 2721710"/>
            <a:gd name="connsiteX2" fmla="*/ 900906 w 2838344"/>
            <a:gd name="connsiteY2" fmla="*/ 2182813 h 2721710"/>
            <a:gd name="connsiteX3" fmla="*/ 1230313 w 2838344"/>
            <a:gd name="connsiteY3" fmla="*/ 0 h 2721710"/>
            <a:gd name="connsiteX4" fmla="*/ 1531938 w 2838344"/>
            <a:gd name="connsiteY4" fmla="*/ 3969 h 2721710"/>
            <a:gd name="connsiteX5" fmla="*/ 1535906 w 2838344"/>
            <a:gd name="connsiteY5" fmla="*/ 2190750 h 2721710"/>
            <a:gd name="connsiteX6" fmla="*/ 2838344 w 2838344"/>
            <a:gd name="connsiteY6" fmla="*/ 2187066 h 2721710"/>
            <a:gd name="connsiteX7" fmla="*/ 2838344 w 2838344"/>
            <a:gd name="connsiteY7" fmla="*/ 2721710 h 2721710"/>
            <a:gd name="connsiteX8" fmla="*/ 0 w 2838344"/>
            <a:gd name="connsiteY8" fmla="*/ 2718594 h 2721710"/>
            <a:gd name="connsiteX0" fmla="*/ 0 w 2838344"/>
            <a:gd name="connsiteY0" fmla="*/ 2718594 h 2721710"/>
            <a:gd name="connsiteX1" fmla="*/ 3969 w 2838344"/>
            <a:gd name="connsiteY1" fmla="*/ 2182813 h 2721710"/>
            <a:gd name="connsiteX2" fmla="*/ 900906 w 2838344"/>
            <a:gd name="connsiteY2" fmla="*/ 2182813 h 2721710"/>
            <a:gd name="connsiteX3" fmla="*/ 1230313 w 2838344"/>
            <a:gd name="connsiteY3" fmla="*/ 0 h 2721710"/>
            <a:gd name="connsiteX4" fmla="*/ 1531938 w 2838344"/>
            <a:gd name="connsiteY4" fmla="*/ 3969 h 2721710"/>
            <a:gd name="connsiteX5" fmla="*/ 1618968 w 2838344"/>
            <a:gd name="connsiteY5" fmla="*/ 2184797 h 2721710"/>
            <a:gd name="connsiteX6" fmla="*/ 2838344 w 2838344"/>
            <a:gd name="connsiteY6" fmla="*/ 2187066 h 2721710"/>
            <a:gd name="connsiteX7" fmla="*/ 2838344 w 2838344"/>
            <a:gd name="connsiteY7" fmla="*/ 2721710 h 2721710"/>
            <a:gd name="connsiteX8" fmla="*/ 0 w 2838344"/>
            <a:gd name="connsiteY8" fmla="*/ 2718594 h 2721710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09463 w 2838344"/>
            <a:gd name="connsiteY4" fmla="*/ 0 h 2723695"/>
            <a:gd name="connsiteX5" fmla="*/ 1618968 w 2838344"/>
            <a:gd name="connsiteY5" fmla="*/ 2186782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18968 w 2838344"/>
            <a:gd name="connsiteY5" fmla="*/ 2186782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32651 w 2838344"/>
            <a:gd name="connsiteY5" fmla="*/ 2180926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32651 w 2838344"/>
            <a:gd name="connsiteY5" fmla="*/ 2180926 h 2723695"/>
            <a:gd name="connsiteX6" fmla="*/ 2838344 w 2838344"/>
            <a:gd name="connsiteY6" fmla="*/ 2180266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46068"/>
            <a:gd name="connsiteY0" fmla="*/ 2720579 h 2810185"/>
            <a:gd name="connsiteX1" fmla="*/ 3969 w 2846068"/>
            <a:gd name="connsiteY1" fmla="*/ 2184798 h 2810185"/>
            <a:gd name="connsiteX2" fmla="*/ 900906 w 2846068"/>
            <a:gd name="connsiteY2" fmla="*/ 2184798 h 2810185"/>
            <a:gd name="connsiteX3" fmla="*/ 1230313 w 2846068"/>
            <a:gd name="connsiteY3" fmla="*/ 1985 h 2810185"/>
            <a:gd name="connsiteX4" fmla="*/ 1631356 w 2846068"/>
            <a:gd name="connsiteY4" fmla="*/ 0 h 2810185"/>
            <a:gd name="connsiteX5" fmla="*/ 1632651 w 2846068"/>
            <a:gd name="connsiteY5" fmla="*/ 2180926 h 2810185"/>
            <a:gd name="connsiteX6" fmla="*/ 2838344 w 2846068"/>
            <a:gd name="connsiteY6" fmla="*/ 2180266 h 2810185"/>
            <a:gd name="connsiteX7" fmla="*/ 2846068 w 2846068"/>
            <a:gd name="connsiteY7" fmla="*/ 2810185 h 2810185"/>
            <a:gd name="connsiteX8" fmla="*/ 0 w 2846068"/>
            <a:gd name="connsiteY8" fmla="*/ 2720579 h 2810185"/>
            <a:gd name="connsiteX0" fmla="*/ 0 w 2853791"/>
            <a:gd name="connsiteY0" fmla="*/ 2801488 h 2810185"/>
            <a:gd name="connsiteX1" fmla="*/ 11692 w 2853791"/>
            <a:gd name="connsiteY1" fmla="*/ 2184798 h 2810185"/>
            <a:gd name="connsiteX2" fmla="*/ 908629 w 2853791"/>
            <a:gd name="connsiteY2" fmla="*/ 2184798 h 2810185"/>
            <a:gd name="connsiteX3" fmla="*/ 1238036 w 2853791"/>
            <a:gd name="connsiteY3" fmla="*/ 1985 h 2810185"/>
            <a:gd name="connsiteX4" fmla="*/ 1639079 w 2853791"/>
            <a:gd name="connsiteY4" fmla="*/ 0 h 2810185"/>
            <a:gd name="connsiteX5" fmla="*/ 1640374 w 2853791"/>
            <a:gd name="connsiteY5" fmla="*/ 2180926 h 2810185"/>
            <a:gd name="connsiteX6" fmla="*/ 2846067 w 2853791"/>
            <a:gd name="connsiteY6" fmla="*/ 2180266 h 2810185"/>
            <a:gd name="connsiteX7" fmla="*/ 2853791 w 2853791"/>
            <a:gd name="connsiteY7" fmla="*/ 2810185 h 2810185"/>
            <a:gd name="connsiteX8" fmla="*/ 0 w 2853791"/>
            <a:gd name="connsiteY8" fmla="*/ 2801488 h 2810185"/>
            <a:gd name="connsiteX0" fmla="*/ 11477 w 2842099"/>
            <a:gd name="connsiteY0" fmla="*/ 2821018 h 2821018"/>
            <a:gd name="connsiteX1" fmla="*/ 0 w 2842099"/>
            <a:gd name="connsiteY1" fmla="*/ 2184798 h 2821018"/>
            <a:gd name="connsiteX2" fmla="*/ 896937 w 2842099"/>
            <a:gd name="connsiteY2" fmla="*/ 2184798 h 2821018"/>
            <a:gd name="connsiteX3" fmla="*/ 1226344 w 2842099"/>
            <a:gd name="connsiteY3" fmla="*/ 1985 h 2821018"/>
            <a:gd name="connsiteX4" fmla="*/ 1627387 w 2842099"/>
            <a:gd name="connsiteY4" fmla="*/ 0 h 2821018"/>
            <a:gd name="connsiteX5" fmla="*/ 1628682 w 2842099"/>
            <a:gd name="connsiteY5" fmla="*/ 2180926 h 2821018"/>
            <a:gd name="connsiteX6" fmla="*/ 2834375 w 2842099"/>
            <a:gd name="connsiteY6" fmla="*/ 2180266 h 2821018"/>
            <a:gd name="connsiteX7" fmla="*/ 2842099 w 2842099"/>
            <a:gd name="connsiteY7" fmla="*/ 2810185 h 2821018"/>
            <a:gd name="connsiteX8" fmla="*/ 11477 w 2842099"/>
            <a:gd name="connsiteY8" fmla="*/ 2821018 h 2821018"/>
            <a:gd name="connsiteX0" fmla="*/ 11477 w 2835118"/>
            <a:gd name="connsiteY0" fmla="*/ 2821018 h 2821018"/>
            <a:gd name="connsiteX1" fmla="*/ 0 w 2835118"/>
            <a:gd name="connsiteY1" fmla="*/ 2184798 h 2821018"/>
            <a:gd name="connsiteX2" fmla="*/ 896937 w 2835118"/>
            <a:gd name="connsiteY2" fmla="*/ 2184798 h 2821018"/>
            <a:gd name="connsiteX3" fmla="*/ 1226344 w 2835118"/>
            <a:gd name="connsiteY3" fmla="*/ 1985 h 2821018"/>
            <a:gd name="connsiteX4" fmla="*/ 1627387 w 2835118"/>
            <a:gd name="connsiteY4" fmla="*/ 0 h 2821018"/>
            <a:gd name="connsiteX5" fmla="*/ 1628682 w 2835118"/>
            <a:gd name="connsiteY5" fmla="*/ 2180926 h 2821018"/>
            <a:gd name="connsiteX6" fmla="*/ 2834375 w 2835118"/>
            <a:gd name="connsiteY6" fmla="*/ 2180266 h 2821018"/>
            <a:gd name="connsiteX7" fmla="*/ 2834376 w 2835118"/>
            <a:gd name="connsiteY7" fmla="*/ 2801814 h 2821018"/>
            <a:gd name="connsiteX8" fmla="*/ 11477 w 2835118"/>
            <a:gd name="connsiteY8" fmla="*/ 2821018 h 2821018"/>
            <a:gd name="connsiteX0" fmla="*/ 11477 w 2835118"/>
            <a:gd name="connsiteY0" fmla="*/ 2821018 h 2821018"/>
            <a:gd name="connsiteX1" fmla="*/ 0 w 2835118"/>
            <a:gd name="connsiteY1" fmla="*/ 2184798 h 2821018"/>
            <a:gd name="connsiteX2" fmla="*/ 896937 w 2835118"/>
            <a:gd name="connsiteY2" fmla="*/ 2184798 h 2821018"/>
            <a:gd name="connsiteX3" fmla="*/ 1226344 w 2835118"/>
            <a:gd name="connsiteY3" fmla="*/ 1985 h 2821018"/>
            <a:gd name="connsiteX4" fmla="*/ 1627387 w 2835118"/>
            <a:gd name="connsiteY4" fmla="*/ 0 h 2821018"/>
            <a:gd name="connsiteX5" fmla="*/ 1628682 w 2835118"/>
            <a:gd name="connsiteY5" fmla="*/ 2180926 h 2821018"/>
            <a:gd name="connsiteX6" fmla="*/ 2834375 w 2835118"/>
            <a:gd name="connsiteY6" fmla="*/ 2180266 h 2821018"/>
            <a:gd name="connsiteX7" fmla="*/ 2834377 w 2835118"/>
            <a:gd name="connsiteY7" fmla="*/ 2810184 h 2821018"/>
            <a:gd name="connsiteX8" fmla="*/ 11477 w 2835118"/>
            <a:gd name="connsiteY8" fmla="*/ 2821018 h 2821018"/>
            <a:gd name="connsiteX0" fmla="*/ 11477 w 2836953"/>
            <a:gd name="connsiteY0" fmla="*/ 2821018 h 2821018"/>
            <a:gd name="connsiteX1" fmla="*/ 0 w 2836953"/>
            <a:gd name="connsiteY1" fmla="*/ 2184798 h 2821018"/>
            <a:gd name="connsiteX2" fmla="*/ 896937 w 2836953"/>
            <a:gd name="connsiteY2" fmla="*/ 2184798 h 2821018"/>
            <a:gd name="connsiteX3" fmla="*/ 1226344 w 2836953"/>
            <a:gd name="connsiteY3" fmla="*/ 1985 h 2821018"/>
            <a:gd name="connsiteX4" fmla="*/ 1627387 w 2836953"/>
            <a:gd name="connsiteY4" fmla="*/ 0 h 2821018"/>
            <a:gd name="connsiteX5" fmla="*/ 1628682 w 2836953"/>
            <a:gd name="connsiteY5" fmla="*/ 2180926 h 2821018"/>
            <a:gd name="connsiteX6" fmla="*/ 2834375 w 2836953"/>
            <a:gd name="connsiteY6" fmla="*/ 2180266 h 2821018"/>
            <a:gd name="connsiteX7" fmla="*/ 2836953 w 2836953"/>
            <a:gd name="connsiteY7" fmla="*/ 2818553 h 2821018"/>
            <a:gd name="connsiteX8" fmla="*/ 11477 w 2836953"/>
            <a:gd name="connsiteY8" fmla="*/ 2821018 h 2821018"/>
            <a:gd name="connsiteX0" fmla="*/ 11477 w 2836953"/>
            <a:gd name="connsiteY0" fmla="*/ 2821018 h 2826923"/>
            <a:gd name="connsiteX1" fmla="*/ 0 w 2836953"/>
            <a:gd name="connsiteY1" fmla="*/ 2184798 h 2826923"/>
            <a:gd name="connsiteX2" fmla="*/ 896937 w 2836953"/>
            <a:gd name="connsiteY2" fmla="*/ 2184798 h 2826923"/>
            <a:gd name="connsiteX3" fmla="*/ 1226344 w 2836953"/>
            <a:gd name="connsiteY3" fmla="*/ 1985 h 2826923"/>
            <a:gd name="connsiteX4" fmla="*/ 1627387 w 2836953"/>
            <a:gd name="connsiteY4" fmla="*/ 0 h 2826923"/>
            <a:gd name="connsiteX5" fmla="*/ 1628682 w 2836953"/>
            <a:gd name="connsiteY5" fmla="*/ 2180926 h 2826923"/>
            <a:gd name="connsiteX6" fmla="*/ 2834375 w 2836953"/>
            <a:gd name="connsiteY6" fmla="*/ 2180266 h 2826923"/>
            <a:gd name="connsiteX7" fmla="*/ 2836953 w 2836953"/>
            <a:gd name="connsiteY7" fmla="*/ 2826923 h 2826923"/>
            <a:gd name="connsiteX8" fmla="*/ 11477 w 2836953"/>
            <a:gd name="connsiteY8" fmla="*/ 2821018 h 2826923"/>
            <a:gd name="connsiteX0" fmla="*/ 11477 w 2834908"/>
            <a:gd name="connsiteY0" fmla="*/ 2821018 h 2821018"/>
            <a:gd name="connsiteX1" fmla="*/ 0 w 2834908"/>
            <a:gd name="connsiteY1" fmla="*/ 2184798 h 2821018"/>
            <a:gd name="connsiteX2" fmla="*/ 896937 w 2834908"/>
            <a:gd name="connsiteY2" fmla="*/ 2184798 h 2821018"/>
            <a:gd name="connsiteX3" fmla="*/ 1226344 w 2834908"/>
            <a:gd name="connsiteY3" fmla="*/ 1985 h 2821018"/>
            <a:gd name="connsiteX4" fmla="*/ 1627387 w 2834908"/>
            <a:gd name="connsiteY4" fmla="*/ 0 h 2821018"/>
            <a:gd name="connsiteX5" fmla="*/ 1628682 w 2834908"/>
            <a:gd name="connsiteY5" fmla="*/ 2180926 h 2821018"/>
            <a:gd name="connsiteX6" fmla="*/ 2834375 w 2834908"/>
            <a:gd name="connsiteY6" fmla="*/ 2180266 h 2821018"/>
            <a:gd name="connsiteX7" fmla="*/ 2831804 w 2834908"/>
            <a:gd name="connsiteY7" fmla="*/ 2812973 h 2821018"/>
            <a:gd name="connsiteX8" fmla="*/ 11477 w 2834908"/>
            <a:gd name="connsiteY8" fmla="*/ 2821018 h 2821018"/>
            <a:gd name="connsiteX0" fmla="*/ 11477 w 2835073"/>
            <a:gd name="connsiteY0" fmla="*/ 2821018 h 2829204"/>
            <a:gd name="connsiteX1" fmla="*/ 0 w 2835073"/>
            <a:gd name="connsiteY1" fmla="*/ 2184798 h 2829204"/>
            <a:gd name="connsiteX2" fmla="*/ 896937 w 2835073"/>
            <a:gd name="connsiteY2" fmla="*/ 2184798 h 2829204"/>
            <a:gd name="connsiteX3" fmla="*/ 1226344 w 2835073"/>
            <a:gd name="connsiteY3" fmla="*/ 1985 h 2829204"/>
            <a:gd name="connsiteX4" fmla="*/ 1627387 w 2835073"/>
            <a:gd name="connsiteY4" fmla="*/ 0 h 2829204"/>
            <a:gd name="connsiteX5" fmla="*/ 1628682 w 2835073"/>
            <a:gd name="connsiteY5" fmla="*/ 2180926 h 2829204"/>
            <a:gd name="connsiteX6" fmla="*/ 2834375 w 2835073"/>
            <a:gd name="connsiteY6" fmla="*/ 2180266 h 2829204"/>
            <a:gd name="connsiteX7" fmla="*/ 2833959 w 2835073"/>
            <a:gd name="connsiteY7" fmla="*/ 2829204 h 2829204"/>
            <a:gd name="connsiteX8" fmla="*/ 11477 w 2835073"/>
            <a:gd name="connsiteY8" fmla="*/ 2821018 h 2829204"/>
            <a:gd name="connsiteX0" fmla="*/ 2858 w 2835073"/>
            <a:gd name="connsiteY0" fmla="*/ 2830293 h 2830293"/>
            <a:gd name="connsiteX1" fmla="*/ 0 w 2835073"/>
            <a:gd name="connsiteY1" fmla="*/ 2184798 h 2830293"/>
            <a:gd name="connsiteX2" fmla="*/ 896937 w 2835073"/>
            <a:gd name="connsiteY2" fmla="*/ 2184798 h 2830293"/>
            <a:gd name="connsiteX3" fmla="*/ 1226344 w 2835073"/>
            <a:gd name="connsiteY3" fmla="*/ 1985 h 2830293"/>
            <a:gd name="connsiteX4" fmla="*/ 1627387 w 2835073"/>
            <a:gd name="connsiteY4" fmla="*/ 0 h 2830293"/>
            <a:gd name="connsiteX5" fmla="*/ 1628682 w 2835073"/>
            <a:gd name="connsiteY5" fmla="*/ 2180926 h 2830293"/>
            <a:gd name="connsiteX6" fmla="*/ 2834375 w 2835073"/>
            <a:gd name="connsiteY6" fmla="*/ 2180266 h 2830293"/>
            <a:gd name="connsiteX7" fmla="*/ 2833959 w 2835073"/>
            <a:gd name="connsiteY7" fmla="*/ 2829204 h 2830293"/>
            <a:gd name="connsiteX8" fmla="*/ 2858 w 2835073"/>
            <a:gd name="connsiteY8" fmla="*/ 2830293 h 28302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35073" h="2830293">
              <a:moveTo>
                <a:pt x="2858" y="2830293"/>
              </a:moveTo>
              <a:cubicBezTo>
                <a:pt x="1905" y="2615128"/>
                <a:pt x="953" y="2399963"/>
                <a:pt x="0" y="2184798"/>
              </a:cubicBezTo>
              <a:lnTo>
                <a:pt x="896937" y="2184798"/>
              </a:lnTo>
              <a:lnTo>
                <a:pt x="1226344" y="1985"/>
              </a:lnTo>
              <a:lnTo>
                <a:pt x="1627387" y="0"/>
              </a:lnTo>
              <a:cubicBezTo>
                <a:pt x="1628710" y="728927"/>
                <a:pt x="1627359" y="1451999"/>
                <a:pt x="1628682" y="2180926"/>
              </a:cubicBezTo>
              <a:lnTo>
                <a:pt x="2834375" y="2180266"/>
              </a:lnTo>
              <a:cubicBezTo>
                <a:pt x="2836950" y="2390239"/>
                <a:pt x="2831384" y="2619231"/>
                <a:pt x="2833959" y="2829204"/>
              </a:cubicBezTo>
              <a:lnTo>
                <a:pt x="2858" y="2830293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454949</xdr:colOff>
      <xdr:row>137</xdr:row>
      <xdr:rowOff>65545</xdr:rowOff>
    </xdr:from>
    <xdr:to>
      <xdr:col>9</xdr:col>
      <xdr:colOff>154684</xdr:colOff>
      <xdr:row>137</xdr:row>
      <xdr:rowOff>67680</xdr:rowOff>
    </xdr:to>
    <xdr:cxnSp macro="">
      <xdr:nvCxnSpPr>
        <xdr:cNvPr id="209" name="Conector recto de flecha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/>
      </xdr:nvCxnSpPr>
      <xdr:spPr>
        <a:xfrm flipV="1">
          <a:off x="6198524" y="26411695"/>
          <a:ext cx="414110" cy="213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76952</xdr:colOff>
      <xdr:row>150</xdr:row>
      <xdr:rowOff>142766</xdr:rowOff>
    </xdr:from>
    <xdr:to>
      <xdr:col>9</xdr:col>
      <xdr:colOff>156170</xdr:colOff>
      <xdr:row>150</xdr:row>
      <xdr:rowOff>146770</xdr:rowOff>
    </xdr:to>
    <xdr:cxnSp macro="">
      <xdr:nvCxnSpPr>
        <xdr:cNvPr id="210" name="Conector recto de flecha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/>
      </xdr:nvCxnSpPr>
      <xdr:spPr>
        <a:xfrm flipV="1">
          <a:off x="5744327" y="27479516"/>
          <a:ext cx="793593" cy="400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608276</xdr:colOff>
      <xdr:row>154</xdr:row>
      <xdr:rowOff>104468</xdr:rowOff>
    </xdr:from>
    <xdr:to>
      <xdr:col>8</xdr:col>
      <xdr:colOff>153629</xdr:colOff>
      <xdr:row>154</xdr:row>
      <xdr:rowOff>115733</xdr:rowOff>
    </xdr:to>
    <xdr:cxnSp macro="">
      <xdr:nvCxnSpPr>
        <xdr:cNvPr id="211" name="Conector recto de flecha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 flipV="1">
          <a:off x="4722461" y="28203218"/>
          <a:ext cx="1097007" cy="1126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160118</xdr:colOff>
      <xdr:row>154</xdr:row>
      <xdr:rowOff>110853</xdr:rowOff>
    </xdr:from>
    <xdr:to>
      <xdr:col>11</xdr:col>
      <xdr:colOff>4106</xdr:colOff>
      <xdr:row>154</xdr:row>
      <xdr:rowOff>119063</xdr:rowOff>
    </xdr:to>
    <xdr:cxnSp macro="">
      <xdr:nvCxnSpPr>
        <xdr:cNvPr id="212" name="Conector recto de flecha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/>
      </xdr:nvCxnSpPr>
      <xdr:spPr>
        <a:xfrm>
          <a:off x="5838168" y="27967372"/>
          <a:ext cx="2085647" cy="821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611459</xdr:colOff>
      <xdr:row>136</xdr:row>
      <xdr:rowOff>102934</xdr:rowOff>
    </xdr:from>
    <xdr:to>
      <xdr:col>7</xdr:col>
      <xdr:colOff>632719</xdr:colOff>
      <xdr:row>150</xdr:row>
      <xdr:rowOff>49878</xdr:rowOff>
    </xdr:to>
    <xdr:cxnSp macro="">
      <xdr:nvCxnSpPr>
        <xdr:cNvPr id="213" name="Conector recto de flecha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/>
      </xdr:nvCxnSpPr>
      <xdr:spPr>
        <a:xfrm flipH="1" flipV="1">
          <a:off x="5516834" y="25153684"/>
          <a:ext cx="21260" cy="223294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512602</xdr:colOff>
      <xdr:row>150</xdr:row>
      <xdr:rowOff>49879</xdr:rowOff>
    </xdr:from>
    <xdr:to>
      <xdr:col>6</xdr:col>
      <xdr:colOff>513080</xdr:colOff>
      <xdr:row>153</xdr:row>
      <xdr:rowOff>144123</xdr:rowOff>
    </xdr:to>
    <xdr:cxnSp macro="">
      <xdr:nvCxnSpPr>
        <xdr:cNvPr id="214" name="Conector recto de flecha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/>
      </xdr:nvCxnSpPr>
      <xdr:spPr>
        <a:xfrm flipV="1">
          <a:off x="4645772" y="26898473"/>
          <a:ext cx="478" cy="655538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611501</xdr:colOff>
      <xdr:row>156</xdr:row>
      <xdr:rowOff>76106</xdr:rowOff>
    </xdr:from>
    <xdr:to>
      <xdr:col>11</xdr:col>
      <xdr:colOff>4192</xdr:colOff>
      <xdr:row>156</xdr:row>
      <xdr:rowOff>77204</xdr:rowOff>
    </xdr:to>
    <xdr:cxnSp macro="">
      <xdr:nvCxnSpPr>
        <xdr:cNvPr id="1063" name="Conector recto de flecha 1062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CxnSpPr/>
      </xdr:nvCxnSpPr>
      <xdr:spPr>
        <a:xfrm flipV="1">
          <a:off x="4744671" y="28038785"/>
          <a:ext cx="3194186" cy="1098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24033</xdr:colOff>
      <xdr:row>137</xdr:row>
      <xdr:rowOff>180975</xdr:rowOff>
    </xdr:from>
    <xdr:to>
      <xdr:col>11</xdr:col>
      <xdr:colOff>753894</xdr:colOff>
      <xdr:row>153</xdr:row>
      <xdr:rowOff>141861</xdr:rowOff>
    </xdr:to>
    <xdr:sp macro="" textlink="">
      <xdr:nvSpPr>
        <xdr:cNvPr id="225" name="Forma libre: forma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8005983" y="26527125"/>
          <a:ext cx="729861" cy="3008886"/>
        </a:xfrm>
        <a:custGeom>
          <a:avLst/>
          <a:gdLst>
            <a:gd name="connsiteX0" fmla="*/ 36634 w 857250"/>
            <a:gd name="connsiteY0" fmla="*/ 2564424 h 2564424"/>
            <a:gd name="connsiteX1" fmla="*/ 0 w 857250"/>
            <a:gd name="connsiteY1" fmla="*/ 0 h 2564424"/>
            <a:gd name="connsiteX2" fmla="*/ 857250 w 857250"/>
            <a:gd name="connsiteY2" fmla="*/ 2564424 h 2564424"/>
            <a:gd name="connsiteX3" fmla="*/ 36634 w 857250"/>
            <a:gd name="connsiteY3" fmla="*/ 2564424 h 2564424"/>
            <a:gd name="connsiteX0" fmla="*/ 33155 w 853771"/>
            <a:gd name="connsiteY0" fmla="*/ 2571356 h 2571356"/>
            <a:gd name="connsiteX1" fmla="*/ 0 w 853771"/>
            <a:gd name="connsiteY1" fmla="*/ 0 h 2571356"/>
            <a:gd name="connsiteX2" fmla="*/ 853771 w 853771"/>
            <a:gd name="connsiteY2" fmla="*/ 2571356 h 2571356"/>
            <a:gd name="connsiteX3" fmla="*/ 33155 w 853771"/>
            <a:gd name="connsiteY3" fmla="*/ 2571356 h 2571356"/>
            <a:gd name="connsiteX0" fmla="*/ 26197 w 846813"/>
            <a:gd name="connsiteY0" fmla="*/ 2585220 h 2585220"/>
            <a:gd name="connsiteX1" fmla="*/ 0 w 846813"/>
            <a:gd name="connsiteY1" fmla="*/ 0 h 2585220"/>
            <a:gd name="connsiteX2" fmla="*/ 846813 w 846813"/>
            <a:gd name="connsiteY2" fmla="*/ 2585220 h 2585220"/>
            <a:gd name="connsiteX3" fmla="*/ 26197 w 846813"/>
            <a:gd name="connsiteY3" fmla="*/ 2585220 h 25852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46813" h="2585220">
              <a:moveTo>
                <a:pt x="26197" y="2585220"/>
              </a:moveTo>
              <a:lnTo>
                <a:pt x="0" y="0"/>
              </a:lnTo>
              <a:lnTo>
                <a:pt x="846813" y="2585220"/>
              </a:lnTo>
              <a:lnTo>
                <a:pt x="26197" y="2585220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409373</xdr:colOff>
      <xdr:row>138</xdr:row>
      <xdr:rowOff>2106</xdr:rowOff>
    </xdr:from>
    <xdr:to>
      <xdr:col>8</xdr:col>
      <xdr:colOff>434761</xdr:colOff>
      <xdr:row>150</xdr:row>
      <xdr:rowOff>48638</xdr:rowOff>
    </xdr:to>
    <xdr:cxnSp macro="">
      <xdr:nvCxnSpPr>
        <xdr:cNvPr id="1067" name="Conector recto 106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CxnSpPr>
          <a:stCxn id="208" idx="3"/>
        </xdr:cNvCxnSpPr>
      </xdr:nvCxnSpPr>
      <xdr:spPr>
        <a:xfrm flipH="1">
          <a:off x="6152948" y="26538756"/>
          <a:ext cx="25388" cy="2332532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64333</xdr:colOff>
      <xdr:row>150</xdr:row>
      <xdr:rowOff>27808</xdr:rowOff>
    </xdr:from>
    <xdr:to>
      <xdr:col>9</xdr:col>
      <xdr:colOff>172827</xdr:colOff>
      <xdr:row>150</xdr:row>
      <xdr:rowOff>31916</xdr:rowOff>
    </xdr:to>
    <xdr:cxnSp macro="">
      <xdr:nvCxnSpPr>
        <xdr:cNvPr id="1070" name="Conector recto 1069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CxnSpPr>
          <a:stCxn id="208" idx="2"/>
          <a:endCxn id="208" idx="5"/>
        </xdr:cNvCxnSpPr>
      </xdr:nvCxnSpPr>
      <xdr:spPr>
        <a:xfrm flipV="1">
          <a:off x="5807908" y="28850458"/>
          <a:ext cx="822869" cy="4108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213964</xdr:colOff>
      <xdr:row>138</xdr:row>
      <xdr:rowOff>0</xdr:rowOff>
    </xdr:from>
    <xdr:to>
      <xdr:col>11</xdr:col>
      <xdr:colOff>232</xdr:colOff>
      <xdr:row>150</xdr:row>
      <xdr:rowOff>4646</xdr:rowOff>
    </xdr:to>
    <xdr:sp macro="" textlink="">
      <xdr:nvSpPr>
        <xdr:cNvPr id="1074" name="Rectángulo 1073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/>
      </xdr:nvSpPr>
      <xdr:spPr>
        <a:xfrm>
          <a:off x="6671914" y="26536650"/>
          <a:ext cx="1310268" cy="2290646"/>
        </a:xfrm>
        <a:prstGeom prst="rect">
          <a:avLst/>
        </a:prstGeom>
        <a:noFill/>
        <a:ln w="952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46612</xdr:colOff>
      <xdr:row>152</xdr:row>
      <xdr:rowOff>183679</xdr:rowOff>
    </xdr:from>
    <xdr:to>
      <xdr:col>11</xdr:col>
      <xdr:colOff>715537</xdr:colOff>
      <xdr:row>152</xdr:row>
      <xdr:rowOff>185854</xdr:rowOff>
    </xdr:to>
    <xdr:cxnSp macro="">
      <xdr:nvCxnSpPr>
        <xdr:cNvPr id="1076" name="Conector recto de flecha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CxnSpPr/>
      </xdr:nvCxnSpPr>
      <xdr:spPr>
        <a:xfrm flipH="1" flipV="1">
          <a:off x="7954685" y="27903752"/>
          <a:ext cx="668925" cy="2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50329</xdr:colOff>
      <xdr:row>151</xdr:row>
      <xdr:rowOff>176559</xdr:rowOff>
    </xdr:from>
    <xdr:to>
      <xdr:col>11</xdr:col>
      <xdr:colOff>659781</xdr:colOff>
      <xdr:row>151</xdr:row>
      <xdr:rowOff>182748</xdr:rowOff>
    </xdr:to>
    <xdr:cxnSp macro="">
      <xdr:nvCxnSpPr>
        <xdr:cNvPr id="238" name="Conector recto de flecha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/>
      </xdr:nvCxnSpPr>
      <xdr:spPr>
        <a:xfrm flipH="1">
          <a:off x="7958402" y="27706132"/>
          <a:ext cx="609452" cy="61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44754</xdr:colOff>
      <xdr:row>150</xdr:row>
      <xdr:rowOff>148451</xdr:rowOff>
    </xdr:from>
    <xdr:to>
      <xdr:col>11</xdr:col>
      <xdr:colOff>613317</xdr:colOff>
      <xdr:row>150</xdr:row>
      <xdr:rowOff>153709</xdr:rowOff>
    </xdr:to>
    <xdr:cxnSp macro="">
      <xdr:nvCxnSpPr>
        <xdr:cNvPr id="241" name="Conector recto de flecha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/>
      </xdr:nvCxnSpPr>
      <xdr:spPr>
        <a:xfrm flipH="1">
          <a:off x="8026704" y="28971101"/>
          <a:ext cx="568563" cy="52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48471</xdr:colOff>
      <xdr:row>149</xdr:row>
      <xdr:rowOff>120021</xdr:rowOff>
    </xdr:from>
    <xdr:to>
      <xdr:col>11</xdr:col>
      <xdr:colOff>562207</xdr:colOff>
      <xdr:row>149</xdr:row>
      <xdr:rowOff>120340</xdr:rowOff>
    </xdr:to>
    <xdr:cxnSp macro="">
      <xdr:nvCxnSpPr>
        <xdr:cNvPr id="243" name="Conector recto de flecha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/>
      </xdr:nvCxnSpPr>
      <xdr:spPr>
        <a:xfrm flipH="1" flipV="1">
          <a:off x="8030421" y="28752171"/>
          <a:ext cx="513736" cy="3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42896</xdr:colOff>
      <xdr:row>148</xdr:row>
      <xdr:rowOff>49948</xdr:rowOff>
    </xdr:from>
    <xdr:to>
      <xdr:col>11</xdr:col>
      <xdr:colOff>492512</xdr:colOff>
      <xdr:row>148</xdr:row>
      <xdr:rowOff>53349</xdr:rowOff>
    </xdr:to>
    <xdr:cxnSp macro="">
      <xdr:nvCxnSpPr>
        <xdr:cNvPr id="245" name="Conector recto de flecha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/>
      </xdr:nvCxnSpPr>
      <xdr:spPr>
        <a:xfrm flipH="1">
          <a:off x="8024846" y="28491598"/>
          <a:ext cx="449616" cy="34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41966</xdr:colOff>
      <xdr:row>146</xdr:row>
      <xdr:rowOff>98735</xdr:rowOff>
    </xdr:from>
    <xdr:to>
      <xdr:col>11</xdr:col>
      <xdr:colOff>441403</xdr:colOff>
      <xdr:row>146</xdr:row>
      <xdr:rowOff>105852</xdr:rowOff>
    </xdr:to>
    <xdr:cxnSp macro="">
      <xdr:nvCxnSpPr>
        <xdr:cNvPr id="247" name="Conector recto de flecha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/>
      </xdr:nvCxnSpPr>
      <xdr:spPr>
        <a:xfrm flipH="1">
          <a:off x="8023916" y="28159385"/>
          <a:ext cx="399437" cy="7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41040</xdr:colOff>
      <xdr:row>145</xdr:row>
      <xdr:rowOff>71322</xdr:rowOff>
    </xdr:from>
    <xdr:to>
      <xdr:col>11</xdr:col>
      <xdr:colOff>367061</xdr:colOff>
      <xdr:row>145</xdr:row>
      <xdr:rowOff>77511</xdr:rowOff>
    </xdr:to>
    <xdr:cxnSp macro="">
      <xdr:nvCxnSpPr>
        <xdr:cNvPr id="249" name="Conector recto de flecha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/>
      </xdr:nvCxnSpPr>
      <xdr:spPr>
        <a:xfrm flipH="1">
          <a:off x="8022990" y="27941472"/>
          <a:ext cx="326021" cy="618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35463</xdr:colOff>
      <xdr:row>144</xdr:row>
      <xdr:rowOff>15565</xdr:rowOff>
    </xdr:from>
    <xdr:to>
      <xdr:col>11</xdr:col>
      <xdr:colOff>325244</xdr:colOff>
      <xdr:row>144</xdr:row>
      <xdr:rowOff>25472</xdr:rowOff>
    </xdr:to>
    <xdr:cxnSp macro="">
      <xdr:nvCxnSpPr>
        <xdr:cNvPr id="251" name="Conector recto de flecha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/>
      </xdr:nvCxnSpPr>
      <xdr:spPr>
        <a:xfrm flipH="1">
          <a:off x="8017413" y="27695215"/>
          <a:ext cx="289781" cy="99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34535</xdr:colOff>
      <xdr:row>142</xdr:row>
      <xdr:rowOff>183298</xdr:rowOff>
    </xdr:from>
    <xdr:to>
      <xdr:col>11</xdr:col>
      <xdr:colOff>260195</xdr:colOff>
      <xdr:row>142</xdr:row>
      <xdr:rowOff>187630</xdr:rowOff>
    </xdr:to>
    <xdr:cxnSp macro="">
      <xdr:nvCxnSpPr>
        <xdr:cNvPr id="256" name="Conector recto de flecha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/>
      </xdr:nvCxnSpPr>
      <xdr:spPr>
        <a:xfrm flipH="1">
          <a:off x="8016485" y="27481948"/>
          <a:ext cx="225660" cy="433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28960</xdr:colOff>
      <xdr:row>141</xdr:row>
      <xdr:rowOff>103614</xdr:rowOff>
    </xdr:from>
    <xdr:to>
      <xdr:col>11</xdr:col>
      <xdr:colOff>213732</xdr:colOff>
      <xdr:row>141</xdr:row>
      <xdr:rowOff>107016</xdr:rowOff>
    </xdr:to>
    <xdr:cxnSp macro="">
      <xdr:nvCxnSpPr>
        <xdr:cNvPr id="258" name="Conector recto de flecha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/>
      </xdr:nvCxnSpPr>
      <xdr:spPr>
        <a:xfrm flipH="1">
          <a:off x="8010910" y="27211764"/>
          <a:ext cx="184772" cy="34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32677</xdr:colOff>
      <xdr:row>140</xdr:row>
      <xdr:rowOff>101905</xdr:rowOff>
    </xdr:from>
    <xdr:to>
      <xdr:col>11</xdr:col>
      <xdr:colOff>148683</xdr:colOff>
      <xdr:row>140</xdr:row>
      <xdr:rowOff>104078</xdr:rowOff>
    </xdr:to>
    <xdr:cxnSp macro="">
      <xdr:nvCxnSpPr>
        <xdr:cNvPr id="260" name="Conector recto de flecha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/>
      </xdr:nvCxnSpPr>
      <xdr:spPr>
        <a:xfrm flipH="1" flipV="1">
          <a:off x="8014627" y="27019555"/>
          <a:ext cx="116006" cy="21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64272</xdr:colOff>
      <xdr:row>147</xdr:row>
      <xdr:rowOff>0</xdr:rowOff>
    </xdr:from>
    <xdr:to>
      <xdr:col>12</xdr:col>
      <xdr:colOff>343830</xdr:colOff>
      <xdr:row>147</xdr:row>
      <xdr:rowOff>1545</xdr:rowOff>
    </xdr:to>
    <xdr:cxnSp macro="">
      <xdr:nvCxnSpPr>
        <xdr:cNvPr id="262" name="Conector recto de flecha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/>
      </xdr:nvCxnSpPr>
      <xdr:spPr>
        <a:xfrm flipH="1">
          <a:off x="8046222" y="28251150"/>
          <a:ext cx="1136808" cy="1545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23232</xdr:colOff>
      <xdr:row>147</xdr:row>
      <xdr:rowOff>0</xdr:rowOff>
    </xdr:from>
    <xdr:to>
      <xdr:col>12</xdr:col>
      <xdr:colOff>36599</xdr:colOff>
      <xdr:row>153</xdr:row>
      <xdr:rowOff>146153</xdr:rowOff>
    </xdr:to>
    <xdr:cxnSp macro="">
      <xdr:nvCxnSpPr>
        <xdr:cNvPr id="264" name="Conector recto de flecha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/>
      </xdr:nvCxnSpPr>
      <xdr:spPr>
        <a:xfrm flipH="1" flipV="1">
          <a:off x="8790878" y="26958073"/>
          <a:ext cx="13367" cy="109865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733425</xdr:colOff>
      <xdr:row>168</xdr:row>
      <xdr:rowOff>32045</xdr:rowOff>
    </xdr:from>
    <xdr:to>
      <xdr:col>10</xdr:col>
      <xdr:colOff>704850</xdr:colOff>
      <xdr:row>181</xdr:row>
      <xdr:rowOff>184445</xdr:rowOff>
    </xdr:to>
    <xdr:sp macro="" textlink="">
      <xdr:nvSpPr>
        <xdr:cNvPr id="267" name="Forma libre: forma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5643130" y="13462295"/>
          <a:ext cx="2209800" cy="2628900"/>
        </a:xfrm>
        <a:custGeom>
          <a:avLst/>
          <a:gdLst>
            <a:gd name="connsiteX0" fmla="*/ 0 w 3059906"/>
            <a:gd name="connsiteY0" fmla="*/ 2718594 h 2734469"/>
            <a:gd name="connsiteX1" fmla="*/ 3969 w 3059906"/>
            <a:gd name="connsiteY1" fmla="*/ 2182813 h 2734469"/>
            <a:gd name="connsiteX2" fmla="*/ 900906 w 3059906"/>
            <a:gd name="connsiteY2" fmla="*/ 2182813 h 2734469"/>
            <a:gd name="connsiteX3" fmla="*/ 1230313 w 3059906"/>
            <a:gd name="connsiteY3" fmla="*/ 0 h 2734469"/>
            <a:gd name="connsiteX4" fmla="*/ 1531938 w 3059906"/>
            <a:gd name="connsiteY4" fmla="*/ 3969 h 2734469"/>
            <a:gd name="connsiteX5" fmla="*/ 1535906 w 3059906"/>
            <a:gd name="connsiteY5" fmla="*/ 2190750 h 2734469"/>
            <a:gd name="connsiteX6" fmla="*/ 3059906 w 3059906"/>
            <a:gd name="connsiteY6" fmla="*/ 2182813 h 2734469"/>
            <a:gd name="connsiteX7" fmla="*/ 3059906 w 3059906"/>
            <a:gd name="connsiteY7" fmla="*/ 2734469 h 2734469"/>
            <a:gd name="connsiteX8" fmla="*/ 0 w 3059906"/>
            <a:gd name="connsiteY8" fmla="*/ 2718594 h 2734469"/>
            <a:gd name="connsiteX0" fmla="*/ 0 w 3059906"/>
            <a:gd name="connsiteY0" fmla="*/ 2718594 h 2734469"/>
            <a:gd name="connsiteX1" fmla="*/ 3969 w 3059906"/>
            <a:gd name="connsiteY1" fmla="*/ 2182813 h 2734469"/>
            <a:gd name="connsiteX2" fmla="*/ 900906 w 3059906"/>
            <a:gd name="connsiteY2" fmla="*/ 2182813 h 2734469"/>
            <a:gd name="connsiteX3" fmla="*/ 1230313 w 3059906"/>
            <a:gd name="connsiteY3" fmla="*/ 0 h 2734469"/>
            <a:gd name="connsiteX4" fmla="*/ 1531938 w 3059906"/>
            <a:gd name="connsiteY4" fmla="*/ 3969 h 2734469"/>
            <a:gd name="connsiteX5" fmla="*/ 1535906 w 3059906"/>
            <a:gd name="connsiteY5" fmla="*/ 2190750 h 2734469"/>
            <a:gd name="connsiteX6" fmla="*/ 3059906 w 3059906"/>
            <a:gd name="connsiteY6" fmla="*/ 2182813 h 2734469"/>
            <a:gd name="connsiteX7" fmla="*/ 2842301 w 3059906"/>
            <a:gd name="connsiteY7" fmla="*/ 2734469 h 2734469"/>
            <a:gd name="connsiteX8" fmla="*/ 0 w 3059906"/>
            <a:gd name="connsiteY8" fmla="*/ 2718594 h 2734469"/>
            <a:gd name="connsiteX0" fmla="*/ 0 w 2842301"/>
            <a:gd name="connsiteY0" fmla="*/ 2718594 h 2734469"/>
            <a:gd name="connsiteX1" fmla="*/ 3969 w 2842301"/>
            <a:gd name="connsiteY1" fmla="*/ 2182813 h 2734469"/>
            <a:gd name="connsiteX2" fmla="*/ 900906 w 2842301"/>
            <a:gd name="connsiteY2" fmla="*/ 2182813 h 2734469"/>
            <a:gd name="connsiteX3" fmla="*/ 1230313 w 2842301"/>
            <a:gd name="connsiteY3" fmla="*/ 0 h 2734469"/>
            <a:gd name="connsiteX4" fmla="*/ 1531938 w 2842301"/>
            <a:gd name="connsiteY4" fmla="*/ 3969 h 2734469"/>
            <a:gd name="connsiteX5" fmla="*/ 1535906 w 2842301"/>
            <a:gd name="connsiteY5" fmla="*/ 2190750 h 2734469"/>
            <a:gd name="connsiteX6" fmla="*/ 2838344 w 2842301"/>
            <a:gd name="connsiteY6" fmla="*/ 2187066 h 2734469"/>
            <a:gd name="connsiteX7" fmla="*/ 2842301 w 2842301"/>
            <a:gd name="connsiteY7" fmla="*/ 2734469 h 2734469"/>
            <a:gd name="connsiteX8" fmla="*/ 0 w 2842301"/>
            <a:gd name="connsiteY8" fmla="*/ 2718594 h 2734469"/>
            <a:gd name="connsiteX0" fmla="*/ 0 w 2850214"/>
            <a:gd name="connsiteY0" fmla="*/ 2718594 h 2721710"/>
            <a:gd name="connsiteX1" fmla="*/ 3969 w 2850214"/>
            <a:gd name="connsiteY1" fmla="*/ 2182813 h 2721710"/>
            <a:gd name="connsiteX2" fmla="*/ 900906 w 2850214"/>
            <a:gd name="connsiteY2" fmla="*/ 2182813 h 2721710"/>
            <a:gd name="connsiteX3" fmla="*/ 1230313 w 2850214"/>
            <a:gd name="connsiteY3" fmla="*/ 0 h 2721710"/>
            <a:gd name="connsiteX4" fmla="*/ 1531938 w 2850214"/>
            <a:gd name="connsiteY4" fmla="*/ 3969 h 2721710"/>
            <a:gd name="connsiteX5" fmla="*/ 1535906 w 2850214"/>
            <a:gd name="connsiteY5" fmla="*/ 2190750 h 2721710"/>
            <a:gd name="connsiteX6" fmla="*/ 2838344 w 2850214"/>
            <a:gd name="connsiteY6" fmla="*/ 2187066 h 2721710"/>
            <a:gd name="connsiteX7" fmla="*/ 2850214 w 2850214"/>
            <a:gd name="connsiteY7" fmla="*/ 2721710 h 2721710"/>
            <a:gd name="connsiteX8" fmla="*/ 0 w 2850214"/>
            <a:gd name="connsiteY8" fmla="*/ 2718594 h 2721710"/>
            <a:gd name="connsiteX0" fmla="*/ 0 w 2838344"/>
            <a:gd name="connsiteY0" fmla="*/ 2718594 h 2721710"/>
            <a:gd name="connsiteX1" fmla="*/ 3969 w 2838344"/>
            <a:gd name="connsiteY1" fmla="*/ 2182813 h 2721710"/>
            <a:gd name="connsiteX2" fmla="*/ 900906 w 2838344"/>
            <a:gd name="connsiteY2" fmla="*/ 2182813 h 2721710"/>
            <a:gd name="connsiteX3" fmla="*/ 1230313 w 2838344"/>
            <a:gd name="connsiteY3" fmla="*/ 0 h 2721710"/>
            <a:gd name="connsiteX4" fmla="*/ 1531938 w 2838344"/>
            <a:gd name="connsiteY4" fmla="*/ 3969 h 2721710"/>
            <a:gd name="connsiteX5" fmla="*/ 1535906 w 2838344"/>
            <a:gd name="connsiteY5" fmla="*/ 2190750 h 2721710"/>
            <a:gd name="connsiteX6" fmla="*/ 2838344 w 2838344"/>
            <a:gd name="connsiteY6" fmla="*/ 2187066 h 2721710"/>
            <a:gd name="connsiteX7" fmla="*/ 2838344 w 2838344"/>
            <a:gd name="connsiteY7" fmla="*/ 2721710 h 2721710"/>
            <a:gd name="connsiteX8" fmla="*/ 0 w 2838344"/>
            <a:gd name="connsiteY8" fmla="*/ 2718594 h 2721710"/>
            <a:gd name="connsiteX0" fmla="*/ 0 w 2838344"/>
            <a:gd name="connsiteY0" fmla="*/ 2718594 h 2721710"/>
            <a:gd name="connsiteX1" fmla="*/ 3969 w 2838344"/>
            <a:gd name="connsiteY1" fmla="*/ 2182813 h 2721710"/>
            <a:gd name="connsiteX2" fmla="*/ 900906 w 2838344"/>
            <a:gd name="connsiteY2" fmla="*/ 2182813 h 2721710"/>
            <a:gd name="connsiteX3" fmla="*/ 1230313 w 2838344"/>
            <a:gd name="connsiteY3" fmla="*/ 0 h 2721710"/>
            <a:gd name="connsiteX4" fmla="*/ 1531938 w 2838344"/>
            <a:gd name="connsiteY4" fmla="*/ 3969 h 2721710"/>
            <a:gd name="connsiteX5" fmla="*/ 1618968 w 2838344"/>
            <a:gd name="connsiteY5" fmla="*/ 2184797 h 2721710"/>
            <a:gd name="connsiteX6" fmla="*/ 2838344 w 2838344"/>
            <a:gd name="connsiteY6" fmla="*/ 2187066 h 2721710"/>
            <a:gd name="connsiteX7" fmla="*/ 2838344 w 2838344"/>
            <a:gd name="connsiteY7" fmla="*/ 2721710 h 2721710"/>
            <a:gd name="connsiteX8" fmla="*/ 0 w 2838344"/>
            <a:gd name="connsiteY8" fmla="*/ 2718594 h 2721710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09463 w 2838344"/>
            <a:gd name="connsiteY4" fmla="*/ 0 h 2723695"/>
            <a:gd name="connsiteX5" fmla="*/ 1618968 w 2838344"/>
            <a:gd name="connsiteY5" fmla="*/ 2186782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18968 w 2838344"/>
            <a:gd name="connsiteY5" fmla="*/ 2186782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32651 w 2838344"/>
            <a:gd name="connsiteY5" fmla="*/ 2180926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32651 w 2838344"/>
            <a:gd name="connsiteY5" fmla="*/ 2180926 h 2723695"/>
            <a:gd name="connsiteX6" fmla="*/ 2838344 w 2838344"/>
            <a:gd name="connsiteY6" fmla="*/ 2180266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46068"/>
            <a:gd name="connsiteY0" fmla="*/ 2720579 h 2810185"/>
            <a:gd name="connsiteX1" fmla="*/ 3969 w 2846068"/>
            <a:gd name="connsiteY1" fmla="*/ 2184798 h 2810185"/>
            <a:gd name="connsiteX2" fmla="*/ 900906 w 2846068"/>
            <a:gd name="connsiteY2" fmla="*/ 2184798 h 2810185"/>
            <a:gd name="connsiteX3" fmla="*/ 1230313 w 2846068"/>
            <a:gd name="connsiteY3" fmla="*/ 1985 h 2810185"/>
            <a:gd name="connsiteX4" fmla="*/ 1631356 w 2846068"/>
            <a:gd name="connsiteY4" fmla="*/ 0 h 2810185"/>
            <a:gd name="connsiteX5" fmla="*/ 1632651 w 2846068"/>
            <a:gd name="connsiteY5" fmla="*/ 2180926 h 2810185"/>
            <a:gd name="connsiteX6" fmla="*/ 2838344 w 2846068"/>
            <a:gd name="connsiteY6" fmla="*/ 2180266 h 2810185"/>
            <a:gd name="connsiteX7" fmla="*/ 2846068 w 2846068"/>
            <a:gd name="connsiteY7" fmla="*/ 2810185 h 2810185"/>
            <a:gd name="connsiteX8" fmla="*/ 0 w 2846068"/>
            <a:gd name="connsiteY8" fmla="*/ 2720579 h 2810185"/>
            <a:gd name="connsiteX0" fmla="*/ 0 w 2853791"/>
            <a:gd name="connsiteY0" fmla="*/ 2801488 h 2810185"/>
            <a:gd name="connsiteX1" fmla="*/ 11692 w 2853791"/>
            <a:gd name="connsiteY1" fmla="*/ 2184798 h 2810185"/>
            <a:gd name="connsiteX2" fmla="*/ 908629 w 2853791"/>
            <a:gd name="connsiteY2" fmla="*/ 2184798 h 2810185"/>
            <a:gd name="connsiteX3" fmla="*/ 1238036 w 2853791"/>
            <a:gd name="connsiteY3" fmla="*/ 1985 h 2810185"/>
            <a:gd name="connsiteX4" fmla="*/ 1639079 w 2853791"/>
            <a:gd name="connsiteY4" fmla="*/ 0 h 2810185"/>
            <a:gd name="connsiteX5" fmla="*/ 1640374 w 2853791"/>
            <a:gd name="connsiteY5" fmla="*/ 2180926 h 2810185"/>
            <a:gd name="connsiteX6" fmla="*/ 2846067 w 2853791"/>
            <a:gd name="connsiteY6" fmla="*/ 2180266 h 2810185"/>
            <a:gd name="connsiteX7" fmla="*/ 2853791 w 2853791"/>
            <a:gd name="connsiteY7" fmla="*/ 2810185 h 2810185"/>
            <a:gd name="connsiteX8" fmla="*/ 0 w 2853791"/>
            <a:gd name="connsiteY8" fmla="*/ 2801488 h 2810185"/>
            <a:gd name="connsiteX0" fmla="*/ 11477 w 2842099"/>
            <a:gd name="connsiteY0" fmla="*/ 2821018 h 2821018"/>
            <a:gd name="connsiteX1" fmla="*/ 0 w 2842099"/>
            <a:gd name="connsiteY1" fmla="*/ 2184798 h 2821018"/>
            <a:gd name="connsiteX2" fmla="*/ 896937 w 2842099"/>
            <a:gd name="connsiteY2" fmla="*/ 2184798 h 2821018"/>
            <a:gd name="connsiteX3" fmla="*/ 1226344 w 2842099"/>
            <a:gd name="connsiteY3" fmla="*/ 1985 h 2821018"/>
            <a:gd name="connsiteX4" fmla="*/ 1627387 w 2842099"/>
            <a:gd name="connsiteY4" fmla="*/ 0 h 2821018"/>
            <a:gd name="connsiteX5" fmla="*/ 1628682 w 2842099"/>
            <a:gd name="connsiteY5" fmla="*/ 2180926 h 2821018"/>
            <a:gd name="connsiteX6" fmla="*/ 2834375 w 2842099"/>
            <a:gd name="connsiteY6" fmla="*/ 2180266 h 2821018"/>
            <a:gd name="connsiteX7" fmla="*/ 2842099 w 2842099"/>
            <a:gd name="connsiteY7" fmla="*/ 2810185 h 2821018"/>
            <a:gd name="connsiteX8" fmla="*/ 11477 w 2842099"/>
            <a:gd name="connsiteY8" fmla="*/ 2821018 h 2821018"/>
            <a:gd name="connsiteX0" fmla="*/ 11477 w 2835118"/>
            <a:gd name="connsiteY0" fmla="*/ 2821018 h 2821018"/>
            <a:gd name="connsiteX1" fmla="*/ 0 w 2835118"/>
            <a:gd name="connsiteY1" fmla="*/ 2184798 h 2821018"/>
            <a:gd name="connsiteX2" fmla="*/ 896937 w 2835118"/>
            <a:gd name="connsiteY2" fmla="*/ 2184798 h 2821018"/>
            <a:gd name="connsiteX3" fmla="*/ 1226344 w 2835118"/>
            <a:gd name="connsiteY3" fmla="*/ 1985 h 2821018"/>
            <a:gd name="connsiteX4" fmla="*/ 1627387 w 2835118"/>
            <a:gd name="connsiteY4" fmla="*/ 0 h 2821018"/>
            <a:gd name="connsiteX5" fmla="*/ 1628682 w 2835118"/>
            <a:gd name="connsiteY5" fmla="*/ 2180926 h 2821018"/>
            <a:gd name="connsiteX6" fmla="*/ 2834375 w 2835118"/>
            <a:gd name="connsiteY6" fmla="*/ 2180266 h 2821018"/>
            <a:gd name="connsiteX7" fmla="*/ 2834376 w 2835118"/>
            <a:gd name="connsiteY7" fmla="*/ 2801814 h 2821018"/>
            <a:gd name="connsiteX8" fmla="*/ 11477 w 2835118"/>
            <a:gd name="connsiteY8" fmla="*/ 2821018 h 2821018"/>
            <a:gd name="connsiteX0" fmla="*/ 11477 w 2835118"/>
            <a:gd name="connsiteY0" fmla="*/ 2821018 h 2821018"/>
            <a:gd name="connsiteX1" fmla="*/ 0 w 2835118"/>
            <a:gd name="connsiteY1" fmla="*/ 2184798 h 2821018"/>
            <a:gd name="connsiteX2" fmla="*/ 896937 w 2835118"/>
            <a:gd name="connsiteY2" fmla="*/ 2184798 h 2821018"/>
            <a:gd name="connsiteX3" fmla="*/ 1226344 w 2835118"/>
            <a:gd name="connsiteY3" fmla="*/ 1985 h 2821018"/>
            <a:gd name="connsiteX4" fmla="*/ 1627387 w 2835118"/>
            <a:gd name="connsiteY4" fmla="*/ 0 h 2821018"/>
            <a:gd name="connsiteX5" fmla="*/ 1628682 w 2835118"/>
            <a:gd name="connsiteY5" fmla="*/ 2180926 h 2821018"/>
            <a:gd name="connsiteX6" fmla="*/ 2834375 w 2835118"/>
            <a:gd name="connsiteY6" fmla="*/ 2180266 h 2821018"/>
            <a:gd name="connsiteX7" fmla="*/ 2834377 w 2835118"/>
            <a:gd name="connsiteY7" fmla="*/ 2810184 h 2821018"/>
            <a:gd name="connsiteX8" fmla="*/ 11477 w 2835118"/>
            <a:gd name="connsiteY8" fmla="*/ 2821018 h 2821018"/>
            <a:gd name="connsiteX0" fmla="*/ 11477 w 2836953"/>
            <a:gd name="connsiteY0" fmla="*/ 2821018 h 2821018"/>
            <a:gd name="connsiteX1" fmla="*/ 0 w 2836953"/>
            <a:gd name="connsiteY1" fmla="*/ 2184798 h 2821018"/>
            <a:gd name="connsiteX2" fmla="*/ 896937 w 2836953"/>
            <a:gd name="connsiteY2" fmla="*/ 2184798 h 2821018"/>
            <a:gd name="connsiteX3" fmla="*/ 1226344 w 2836953"/>
            <a:gd name="connsiteY3" fmla="*/ 1985 h 2821018"/>
            <a:gd name="connsiteX4" fmla="*/ 1627387 w 2836953"/>
            <a:gd name="connsiteY4" fmla="*/ 0 h 2821018"/>
            <a:gd name="connsiteX5" fmla="*/ 1628682 w 2836953"/>
            <a:gd name="connsiteY5" fmla="*/ 2180926 h 2821018"/>
            <a:gd name="connsiteX6" fmla="*/ 2834375 w 2836953"/>
            <a:gd name="connsiteY6" fmla="*/ 2180266 h 2821018"/>
            <a:gd name="connsiteX7" fmla="*/ 2836953 w 2836953"/>
            <a:gd name="connsiteY7" fmla="*/ 2818553 h 2821018"/>
            <a:gd name="connsiteX8" fmla="*/ 11477 w 2836953"/>
            <a:gd name="connsiteY8" fmla="*/ 2821018 h 2821018"/>
            <a:gd name="connsiteX0" fmla="*/ 11477 w 2836953"/>
            <a:gd name="connsiteY0" fmla="*/ 2821018 h 2826923"/>
            <a:gd name="connsiteX1" fmla="*/ 0 w 2836953"/>
            <a:gd name="connsiteY1" fmla="*/ 2184798 h 2826923"/>
            <a:gd name="connsiteX2" fmla="*/ 896937 w 2836953"/>
            <a:gd name="connsiteY2" fmla="*/ 2184798 h 2826923"/>
            <a:gd name="connsiteX3" fmla="*/ 1226344 w 2836953"/>
            <a:gd name="connsiteY3" fmla="*/ 1985 h 2826923"/>
            <a:gd name="connsiteX4" fmla="*/ 1627387 w 2836953"/>
            <a:gd name="connsiteY4" fmla="*/ 0 h 2826923"/>
            <a:gd name="connsiteX5" fmla="*/ 1628682 w 2836953"/>
            <a:gd name="connsiteY5" fmla="*/ 2180926 h 2826923"/>
            <a:gd name="connsiteX6" fmla="*/ 2834375 w 2836953"/>
            <a:gd name="connsiteY6" fmla="*/ 2180266 h 2826923"/>
            <a:gd name="connsiteX7" fmla="*/ 2836953 w 2836953"/>
            <a:gd name="connsiteY7" fmla="*/ 2826923 h 2826923"/>
            <a:gd name="connsiteX8" fmla="*/ 11477 w 2836953"/>
            <a:gd name="connsiteY8" fmla="*/ 2821018 h 2826923"/>
            <a:gd name="connsiteX0" fmla="*/ 11477 w 2834908"/>
            <a:gd name="connsiteY0" fmla="*/ 2821018 h 2821018"/>
            <a:gd name="connsiteX1" fmla="*/ 0 w 2834908"/>
            <a:gd name="connsiteY1" fmla="*/ 2184798 h 2821018"/>
            <a:gd name="connsiteX2" fmla="*/ 896937 w 2834908"/>
            <a:gd name="connsiteY2" fmla="*/ 2184798 h 2821018"/>
            <a:gd name="connsiteX3" fmla="*/ 1226344 w 2834908"/>
            <a:gd name="connsiteY3" fmla="*/ 1985 h 2821018"/>
            <a:gd name="connsiteX4" fmla="*/ 1627387 w 2834908"/>
            <a:gd name="connsiteY4" fmla="*/ 0 h 2821018"/>
            <a:gd name="connsiteX5" fmla="*/ 1628682 w 2834908"/>
            <a:gd name="connsiteY5" fmla="*/ 2180926 h 2821018"/>
            <a:gd name="connsiteX6" fmla="*/ 2834375 w 2834908"/>
            <a:gd name="connsiteY6" fmla="*/ 2180266 h 2821018"/>
            <a:gd name="connsiteX7" fmla="*/ 2831804 w 2834908"/>
            <a:gd name="connsiteY7" fmla="*/ 2812973 h 2821018"/>
            <a:gd name="connsiteX8" fmla="*/ 11477 w 2834908"/>
            <a:gd name="connsiteY8" fmla="*/ 2821018 h 2821018"/>
            <a:gd name="connsiteX0" fmla="*/ 11477 w 2835073"/>
            <a:gd name="connsiteY0" fmla="*/ 2821018 h 2829204"/>
            <a:gd name="connsiteX1" fmla="*/ 0 w 2835073"/>
            <a:gd name="connsiteY1" fmla="*/ 2184798 h 2829204"/>
            <a:gd name="connsiteX2" fmla="*/ 896937 w 2835073"/>
            <a:gd name="connsiteY2" fmla="*/ 2184798 h 2829204"/>
            <a:gd name="connsiteX3" fmla="*/ 1226344 w 2835073"/>
            <a:gd name="connsiteY3" fmla="*/ 1985 h 2829204"/>
            <a:gd name="connsiteX4" fmla="*/ 1627387 w 2835073"/>
            <a:gd name="connsiteY4" fmla="*/ 0 h 2829204"/>
            <a:gd name="connsiteX5" fmla="*/ 1628682 w 2835073"/>
            <a:gd name="connsiteY5" fmla="*/ 2180926 h 2829204"/>
            <a:gd name="connsiteX6" fmla="*/ 2834375 w 2835073"/>
            <a:gd name="connsiteY6" fmla="*/ 2180266 h 2829204"/>
            <a:gd name="connsiteX7" fmla="*/ 2833959 w 2835073"/>
            <a:gd name="connsiteY7" fmla="*/ 2829204 h 2829204"/>
            <a:gd name="connsiteX8" fmla="*/ 11477 w 2835073"/>
            <a:gd name="connsiteY8" fmla="*/ 2821018 h 2829204"/>
            <a:gd name="connsiteX0" fmla="*/ 2858 w 2835073"/>
            <a:gd name="connsiteY0" fmla="*/ 2830293 h 2830293"/>
            <a:gd name="connsiteX1" fmla="*/ 0 w 2835073"/>
            <a:gd name="connsiteY1" fmla="*/ 2184798 h 2830293"/>
            <a:gd name="connsiteX2" fmla="*/ 896937 w 2835073"/>
            <a:gd name="connsiteY2" fmla="*/ 2184798 h 2830293"/>
            <a:gd name="connsiteX3" fmla="*/ 1226344 w 2835073"/>
            <a:gd name="connsiteY3" fmla="*/ 1985 h 2830293"/>
            <a:gd name="connsiteX4" fmla="*/ 1627387 w 2835073"/>
            <a:gd name="connsiteY4" fmla="*/ 0 h 2830293"/>
            <a:gd name="connsiteX5" fmla="*/ 1628682 w 2835073"/>
            <a:gd name="connsiteY5" fmla="*/ 2180926 h 2830293"/>
            <a:gd name="connsiteX6" fmla="*/ 2834375 w 2835073"/>
            <a:gd name="connsiteY6" fmla="*/ 2180266 h 2830293"/>
            <a:gd name="connsiteX7" fmla="*/ 2833959 w 2835073"/>
            <a:gd name="connsiteY7" fmla="*/ 2829204 h 2830293"/>
            <a:gd name="connsiteX8" fmla="*/ 2858 w 2835073"/>
            <a:gd name="connsiteY8" fmla="*/ 2830293 h 28302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35073" h="2830293">
              <a:moveTo>
                <a:pt x="2858" y="2830293"/>
              </a:moveTo>
              <a:cubicBezTo>
                <a:pt x="1905" y="2615128"/>
                <a:pt x="953" y="2399963"/>
                <a:pt x="0" y="2184798"/>
              </a:cubicBezTo>
              <a:lnTo>
                <a:pt x="896937" y="2184798"/>
              </a:lnTo>
              <a:lnTo>
                <a:pt x="1226344" y="1985"/>
              </a:lnTo>
              <a:lnTo>
                <a:pt x="1627387" y="0"/>
              </a:lnTo>
              <a:cubicBezTo>
                <a:pt x="1628710" y="728927"/>
                <a:pt x="1627359" y="1451999"/>
                <a:pt x="1628682" y="2180926"/>
              </a:cubicBezTo>
              <a:lnTo>
                <a:pt x="2834375" y="2180266"/>
              </a:lnTo>
              <a:cubicBezTo>
                <a:pt x="2836950" y="2390239"/>
                <a:pt x="2831384" y="2619231"/>
                <a:pt x="2833959" y="2829204"/>
              </a:cubicBezTo>
              <a:lnTo>
                <a:pt x="2858" y="2830293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736934</xdr:colOff>
      <xdr:row>182</xdr:row>
      <xdr:rowOff>70182</xdr:rowOff>
    </xdr:from>
    <xdr:to>
      <xdr:col>10</xdr:col>
      <xdr:colOff>711869</xdr:colOff>
      <xdr:row>185</xdr:row>
      <xdr:rowOff>70182</xdr:rowOff>
    </xdr:to>
    <xdr:sp macro="" textlink="">
      <xdr:nvSpPr>
        <xdr:cNvPr id="173" name="Forma libre: forma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5644816" y="16167432"/>
          <a:ext cx="2215816" cy="571500"/>
        </a:xfrm>
        <a:custGeom>
          <a:avLst/>
          <a:gdLst>
            <a:gd name="connsiteX0" fmla="*/ 0 w 2215816"/>
            <a:gd name="connsiteY0" fmla="*/ 10026 h 571500"/>
            <a:gd name="connsiteX1" fmla="*/ 2210802 w 2215816"/>
            <a:gd name="connsiteY1" fmla="*/ 0 h 571500"/>
            <a:gd name="connsiteX2" fmla="*/ 2215816 w 2215816"/>
            <a:gd name="connsiteY2" fmla="*/ 335882 h 571500"/>
            <a:gd name="connsiteX3" fmla="*/ 10026 w 2215816"/>
            <a:gd name="connsiteY3" fmla="*/ 571500 h 571500"/>
            <a:gd name="connsiteX4" fmla="*/ 0 w 2215816"/>
            <a:gd name="connsiteY4" fmla="*/ 10026 h 571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15816" h="571500">
              <a:moveTo>
                <a:pt x="0" y="10026"/>
              </a:moveTo>
              <a:lnTo>
                <a:pt x="2210802" y="0"/>
              </a:lnTo>
              <a:cubicBezTo>
                <a:pt x="2212473" y="111961"/>
                <a:pt x="2214145" y="223921"/>
                <a:pt x="2215816" y="335882"/>
              </a:cubicBezTo>
              <a:lnTo>
                <a:pt x="10026" y="571500"/>
              </a:lnTo>
              <a:lnTo>
                <a:pt x="0" y="10026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95246</xdr:colOff>
      <xdr:row>182</xdr:row>
      <xdr:rowOff>80208</xdr:rowOff>
    </xdr:from>
    <xdr:to>
      <xdr:col>8</xdr:col>
      <xdr:colOff>105272</xdr:colOff>
      <xdr:row>185</xdr:row>
      <xdr:rowOff>70182</xdr:rowOff>
    </xdr:to>
    <xdr:cxnSp macro="">
      <xdr:nvCxnSpPr>
        <xdr:cNvPr id="177" name="Conector recto de flecha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/>
      </xdr:nvCxnSpPr>
      <xdr:spPr>
        <a:xfrm flipH="1" flipV="1">
          <a:off x="5765128" y="16177458"/>
          <a:ext cx="10026" cy="5614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247646</xdr:colOff>
      <xdr:row>182</xdr:row>
      <xdr:rowOff>87231</xdr:rowOff>
    </xdr:from>
    <xdr:to>
      <xdr:col>8</xdr:col>
      <xdr:colOff>263770</xdr:colOff>
      <xdr:row>185</xdr:row>
      <xdr:rowOff>46893</xdr:rowOff>
    </xdr:to>
    <xdr:cxnSp macro="">
      <xdr:nvCxnSpPr>
        <xdr:cNvPr id="272" name="Conector recto de flecha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/>
      </xdr:nvCxnSpPr>
      <xdr:spPr>
        <a:xfrm flipH="1" flipV="1">
          <a:off x="5918684" y="16185946"/>
          <a:ext cx="16124" cy="5311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400046</xdr:colOff>
      <xdr:row>182</xdr:row>
      <xdr:rowOff>79213</xdr:rowOff>
    </xdr:from>
    <xdr:to>
      <xdr:col>8</xdr:col>
      <xdr:colOff>416170</xdr:colOff>
      <xdr:row>185</xdr:row>
      <xdr:rowOff>23447</xdr:rowOff>
    </xdr:to>
    <xdr:cxnSp macro="">
      <xdr:nvCxnSpPr>
        <xdr:cNvPr id="273" name="Conector recto de flecha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/>
      </xdr:nvCxnSpPr>
      <xdr:spPr>
        <a:xfrm flipH="1" flipV="1">
          <a:off x="6071084" y="16177928"/>
          <a:ext cx="16124" cy="51573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552446</xdr:colOff>
      <xdr:row>182</xdr:row>
      <xdr:rowOff>76209</xdr:rowOff>
    </xdr:from>
    <xdr:to>
      <xdr:col>8</xdr:col>
      <xdr:colOff>556847</xdr:colOff>
      <xdr:row>185</xdr:row>
      <xdr:rowOff>5862</xdr:rowOff>
    </xdr:to>
    <xdr:cxnSp macro="">
      <xdr:nvCxnSpPr>
        <xdr:cNvPr id="274" name="Conector recto de flecha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/>
      </xdr:nvCxnSpPr>
      <xdr:spPr>
        <a:xfrm flipH="1" flipV="1">
          <a:off x="6223484" y="16174924"/>
          <a:ext cx="4401" cy="5011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704846</xdr:colOff>
      <xdr:row>182</xdr:row>
      <xdr:rowOff>73203</xdr:rowOff>
    </xdr:from>
    <xdr:to>
      <xdr:col>9</xdr:col>
      <xdr:colOff>2931</xdr:colOff>
      <xdr:row>184</xdr:row>
      <xdr:rowOff>187570</xdr:rowOff>
    </xdr:to>
    <xdr:cxnSp macro="">
      <xdr:nvCxnSpPr>
        <xdr:cNvPr id="275" name="Conector recto de flecha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/>
      </xdr:nvCxnSpPr>
      <xdr:spPr>
        <a:xfrm flipH="1" flipV="1">
          <a:off x="6375884" y="16171918"/>
          <a:ext cx="13193" cy="49536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140365</xdr:colOff>
      <xdr:row>182</xdr:row>
      <xdr:rowOff>75210</xdr:rowOff>
    </xdr:from>
    <xdr:to>
      <xdr:col>9</xdr:col>
      <xdr:colOff>155331</xdr:colOff>
      <xdr:row>184</xdr:row>
      <xdr:rowOff>169985</xdr:rowOff>
    </xdr:to>
    <xdr:cxnSp macro="">
      <xdr:nvCxnSpPr>
        <xdr:cNvPr id="276" name="Conector recto de flecha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/>
      </xdr:nvCxnSpPr>
      <xdr:spPr>
        <a:xfrm flipH="1" flipV="1">
          <a:off x="6526511" y="16173925"/>
          <a:ext cx="14966" cy="47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292765</xdr:colOff>
      <xdr:row>182</xdr:row>
      <xdr:rowOff>72205</xdr:rowOff>
    </xdr:from>
    <xdr:to>
      <xdr:col>9</xdr:col>
      <xdr:colOff>304800</xdr:colOff>
      <xdr:row>184</xdr:row>
      <xdr:rowOff>155331</xdr:rowOff>
    </xdr:to>
    <xdr:cxnSp macro="">
      <xdr:nvCxnSpPr>
        <xdr:cNvPr id="277" name="Conector recto de flecha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/>
      </xdr:nvCxnSpPr>
      <xdr:spPr>
        <a:xfrm flipH="1" flipV="1">
          <a:off x="6678911" y="16170920"/>
          <a:ext cx="12035" cy="4641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445165</xdr:colOff>
      <xdr:row>182</xdr:row>
      <xdr:rowOff>69200</xdr:rowOff>
    </xdr:from>
    <xdr:to>
      <xdr:col>9</xdr:col>
      <xdr:colOff>454269</xdr:colOff>
      <xdr:row>184</xdr:row>
      <xdr:rowOff>131885</xdr:rowOff>
    </xdr:to>
    <xdr:cxnSp macro="">
      <xdr:nvCxnSpPr>
        <xdr:cNvPr id="278" name="Conector recto de flecha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CxnSpPr/>
      </xdr:nvCxnSpPr>
      <xdr:spPr>
        <a:xfrm flipH="1" flipV="1">
          <a:off x="6831311" y="16167915"/>
          <a:ext cx="9104" cy="4436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597565</xdr:colOff>
      <xdr:row>182</xdr:row>
      <xdr:rowOff>76222</xdr:rowOff>
    </xdr:from>
    <xdr:to>
      <xdr:col>9</xdr:col>
      <xdr:colOff>603739</xdr:colOff>
      <xdr:row>184</xdr:row>
      <xdr:rowOff>108439</xdr:rowOff>
    </xdr:to>
    <xdr:cxnSp macro="">
      <xdr:nvCxnSpPr>
        <xdr:cNvPr id="279" name="Conector recto de flecha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CxnSpPr/>
      </xdr:nvCxnSpPr>
      <xdr:spPr>
        <a:xfrm flipH="1" flipV="1">
          <a:off x="6983711" y="16174937"/>
          <a:ext cx="6174" cy="4132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749965</xdr:colOff>
      <xdr:row>182</xdr:row>
      <xdr:rowOff>73217</xdr:rowOff>
    </xdr:from>
    <xdr:to>
      <xdr:col>9</xdr:col>
      <xdr:colOff>756139</xdr:colOff>
      <xdr:row>184</xdr:row>
      <xdr:rowOff>102577</xdr:rowOff>
    </xdr:to>
    <xdr:cxnSp macro="">
      <xdr:nvCxnSpPr>
        <xdr:cNvPr id="280" name="Conector recto de flecha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CxnSpPr/>
      </xdr:nvCxnSpPr>
      <xdr:spPr>
        <a:xfrm flipH="1" flipV="1">
          <a:off x="7136111" y="16171932"/>
          <a:ext cx="6174" cy="410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140365</xdr:colOff>
      <xdr:row>182</xdr:row>
      <xdr:rowOff>70213</xdr:rowOff>
    </xdr:from>
    <xdr:to>
      <xdr:col>10</xdr:col>
      <xdr:colOff>149469</xdr:colOff>
      <xdr:row>184</xdr:row>
      <xdr:rowOff>79131</xdr:rowOff>
    </xdr:to>
    <xdr:cxnSp macro="">
      <xdr:nvCxnSpPr>
        <xdr:cNvPr id="281" name="Conector recto de flecha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CxnSpPr/>
      </xdr:nvCxnSpPr>
      <xdr:spPr>
        <a:xfrm flipH="1" flipV="1">
          <a:off x="7288511" y="16168928"/>
          <a:ext cx="9104" cy="3899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290146</xdr:colOff>
      <xdr:row>182</xdr:row>
      <xdr:rowOff>72222</xdr:rowOff>
    </xdr:from>
    <xdr:to>
      <xdr:col>10</xdr:col>
      <xdr:colOff>292765</xdr:colOff>
      <xdr:row>184</xdr:row>
      <xdr:rowOff>70339</xdr:rowOff>
    </xdr:to>
    <xdr:cxnSp macro="">
      <xdr:nvCxnSpPr>
        <xdr:cNvPr id="282" name="Conector recto de flecha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CxnSpPr/>
      </xdr:nvCxnSpPr>
      <xdr:spPr>
        <a:xfrm flipV="1">
          <a:off x="7438292" y="16170937"/>
          <a:ext cx="2619" cy="379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445165</xdr:colOff>
      <xdr:row>182</xdr:row>
      <xdr:rowOff>74229</xdr:rowOff>
    </xdr:from>
    <xdr:to>
      <xdr:col>10</xdr:col>
      <xdr:colOff>448408</xdr:colOff>
      <xdr:row>184</xdr:row>
      <xdr:rowOff>55685</xdr:rowOff>
    </xdr:to>
    <xdr:cxnSp macro="">
      <xdr:nvCxnSpPr>
        <xdr:cNvPr id="283" name="Conector recto de flecha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/>
      </xdr:nvCxnSpPr>
      <xdr:spPr>
        <a:xfrm flipH="1" flipV="1">
          <a:off x="7593311" y="16172944"/>
          <a:ext cx="3243" cy="3624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597565</xdr:colOff>
      <xdr:row>182</xdr:row>
      <xdr:rowOff>76236</xdr:rowOff>
    </xdr:from>
    <xdr:to>
      <xdr:col>10</xdr:col>
      <xdr:colOff>597877</xdr:colOff>
      <xdr:row>184</xdr:row>
      <xdr:rowOff>41031</xdr:rowOff>
    </xdr:to>
    <xdr:cxnSp macro="">
      <xdr:nvCxnSpPr>
        <xdr:cNvPr id="284" name="Conector recto de flecha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/>
      </xdr:nvCxnSpPr>
      <xdr:spPr>
        <a:xfrm flipH="1" flipV="1">
          <a:off x="7745711" y="16174951"/>
          <a:ext cx="312" cy="3457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685229</xdr:colOff>
      <xdr:row>276</xdr:row>
      <xdr:rowOff>123702</xdr:rowOff>
    </xdr:from>
    <xdr:to>
      <xdr:col>8</xdr:col>
      <xdr:colOff>327808</xdr:colOff>
      <xdr:row>289</xdr:row>
      <xdr:rowOff>80407</xdr:rowOff>
    </xdr:to>
    <xdr:sp macro="" textlink="">
      <xdr:nvSpPr>
        <xdr:cNvPr id="298" name="Forma libre: forma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 flipH="1">
          <a:off x="4037534" y="51830845"/>
          <a:ext cx="1955793" cy="2449286"/>
        </a:xfrm>
        <a:custGeom>
          <a:avLst/>
          <a:gdLst>
            <a:gd name="connsiteX0" fmla="*/ 0 w 1047750"/>
            <a:gd name="connsiteY0" fmla="*/ 2564423 h 2579076"/>
            <a:gd name="connsiteX1" fmla="*/ 476250 w 1047750"/>
            <a:gd name="connsiteY1" fmla="*/ 0 h 2579076"/>
            <a:gd name="connsiteX2" fmla="*/ 981808 w 1047750"/>
            <a:gd name="connsiteY2" fmla="*/ 0 h 2579076"/>
            <a:gd name="connsiteX3" fmla="*/ 1047750 w 1047750"/>
            <a:gd name="connsiteY3" fmla="*/ 2579076 h 2579076"/>
            <a:gd name="connsiteX4" fmla="*/ 0 w 1047750"/>
            <a:gd name="connsiteY4" fmla="*/ 2564423 h 2579076"/>
            <a:gd name="connsiteX0" fmla="*/ 0 w 1011115"/>
            <a:gd name="connsiteY0" fmla="*/ 2564423 h 2564423"/>
            <a:gd name="connsiteX1" fmla="*/ 476250 w 1011115"/>
            <a:gd name="connsiteY1" fmla="*/ 0 h 2564423"/>
            <a:gd name="connsiteX2" fmla="*/ 981808 w 1011115"/>
            <a:gd name="connsiteY2" fmla="*/ 0 h 2564423"/>
            <a:gd name="connsiteX3" fmla="*/ 1011115 w 1011115"/>
            <a:gd name="connsiteY3" fmla="*/ 2549768 h 2564423"/>
            <a:gd name="connsiteX4" fmla="*/ 0 w 1011115"/>
            <a:gd name="connsiteY4" fmla="*/ 2564423 h 2564423"/>
            <a:gd name="connsiteX0" fmla="*/ 0 w 1011115"/>
            <a:gd name="connsiteY0" fmla="*/ 2564423 h 2571749"/>
            <a:gd name="connsiteX1" fmla="*/ 476250 w 1011115"/>
            <a:gd name="connsiteY1" fmla="*/ 0 h 2571749"/>
            <a:gd name="connsiteX2" fmla="*/ 981808 w 1011115"/>
            <a:gd name="connsiteY2" fmla="*/ 0 h 2571749"/>
            <a:gd name="connsiteX3" fmla="*/ 1011115 w 1011115"/>
            <a:gd name="connsiteY3" fmla="*/ 2571749 h 2571749"/>
            <a:gd name="connsiteX4" fmla="*/ 0 w 1011115"/>
            <a:gd name="connsiteY4" fmla="*/ 2564423 h 2571749"/>
            <a:gd name="connsiteX0" fmla="*/ 0 w 1011115"/>
            <a:gd name="connsiteY0" fmla="*/ 2571750 h 2579076"/>
            <a:gd name="connsiteX1" fmla="*/ 578827 w 1011115"/>
            <a:gd name="connsiteY1" fmla="*/ 0 h 2579076"/>
            <a:gd name="connsiteX2" fmla="*/ 981808 w 1011115"/>
            <a:gd name="connsiteY2" fmla="*/ 7327 h 2579076"/>
            <a:gd name="connsiteX3" fmla="*/ 1011115 w 1011115"/>
            <a:gd name="connsiteY3" fmla="*/ 2579076 h 2579076"/>
            <a:gd name="connsiteX4" fmla="*/ 0 w 1011115"/>
            <a:gd name="connsiteY4" fmla="*/ 2571750 h 2579076"/>
            <a:gd name="connsiteX0" fmla="*/ 0 w 1011115"/>
            <a:gd name="connsiteY0" fmla="*/ 2571750 h 2579076"/>
            <a:gd name="connsiteX1" fmla="*/ 578827 w 1011115"/>
            <a:gd name="connsiteY1" fmla="*/ 0 h 2579076"/>
            <a:gd name="connsiteX2" fmla="*/ 1005983 w 1011115"/>
            <a:gd name="connsiteY2" fmla="*/ 18509 h 2579076"/>
            <a:gd name="connsiteX3" fmla="*/ 1011115 w 1011115"/>
            <a:gd name="connsiteY3" fmla="*/ 2579076 h 2579076"/>
            <a:gd name="connsiteX4" fmla="*/ 0 w 1011115"/>
            <a:gd name="connsiteY4" fmla="*/ 2571750 h 25790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11115" h="2579076">
              <a:moveTo>
                <a:pt x="0" y="2571750"/>
              </a:moveTo>
              <a:lnTo>
                <a:pt x="578827" y="0"/>
              </a:lnTo>
              <a:lnTo>
                <a:pt x="1005983" y="18509"/>
              </a:lnTo>
              <a:cubicBezTo>
                <a:pt x="1007694" y="872031"/>
                <a:pt x="1009404" y="1725554"/>
                <a:pt x="1011115" y="2579076"/>
              </a:cubicBezTo>
              <a:lnTo>
                <a:pt x="0" y="2571750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543752</xdr:colOff>
      <xdr:row>276</xdr:row>
      <xdr:rowOff>142256</xdr:rowOff>
    </xdr:from>
    <xdr:to>
      <xdr:col>9</xdr:col>
      <xdr:colOff>553211</xdr:colOff>
      <xdr:row>290</xdr:row>
      <xdr:rowOff>47086</xdr:rowOff>
    </xdr:to>
    <xdr:cxnSp macro="">
      <xdr:nvCxnSpPr>
        <xdr:cNvPr id="198" name="Conector rect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/>
      </xdr:nvCxnSpPr>
      <xdr:spPr>
        <a:xfrm flipV="1">
          <a:off x="6921361" y="51527560"/>
          <a:ext cx="9459" cy="257183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408106</xdr:colOff>
      <xdr:row>276</xdr:row>
      <xdr:rowOff>146216</xdr:rowOff>
    </xdr:from>
    <xdr:to>
      <xdr:col>10</xdr:col>
      <xdr:colOff>417565</xdr:colOff>
      <xdr:row>290</xdr:row>
      <xdr:rowOff>51046</xdr:rowOff>
    </xdr:to>
    <xdr:cxnSp macro="">
      <xdr:nvCxnSpPr>
        <xdr:cNvPr id="301" name="Conector recto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/>
      </xdr:nvCxnSpPr>
      <xdr:spPr>
        <a:xfrm flipV="1">
          <a:off x="7551856" y="51525910"/>
          <a:ext cx="9459" cy="257183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273697</xdr:colOff>
      <xdr:row>276</xdr:row>
      <xdr:rowOff>150175</xdr:rowOff>
    </xdr:from>
    <xdr:to>
      <xdr:col>11</xdr:col>
      <xdr:colOff>284393</xdr:colOff>
      <xdr:row>290</xdr:row>
      <xdr:rowOff>55005</xdr:rowOff>
    </xdr:to>
    <xdr:cxnSp macro="">
      <xdr:nvCxnSpPr>
        <xdr:cNvPr id="302" name="Conector recto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/>
      </xdr:nvCxnSpPr>
      <xdr:spPr>
        <a:xfrm flipV="1">
          <a:off x="8179447" y="51529869"/>
          <a:ext cx="10696" cy="257183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46053</xdr:colOff>
      <xdr:row>276</xdr:row>
      <xdr:rowOff>141842</xdr:rowOff>
    </xdr:from>
    <xdr:to>
      <xdr:col>12</xdr:col>
      <xdr:colOff>55512</xdr:colOff>
      <xdr:row>290</xdr:row>
      <xdr:rowOff>46672</xdr:rowOff>
    </xdr:to>
    <xdr:cxnSp macro="">
      <xdr:nvCxnSpPr>
        <xdr:cNvPr id="303" name="Conector recto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/>
      </xdr:nvCxnSpPr>
      <xdr:spPr>
        <a:xfrm flipV="1">
          <a:off x="8809053" y="51521536"/>
          <a:ext cx="9459" cy="257183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92845</xdr:colOff>
      <xdr:row>282</xdr:row>
      <xdr:rowOff>142256</xdr:rowOff>
    </xdr:from>
    <xdr:to>
      <xdr:col>10</xdr:col>
      <xdr:colOff>100579</xdr:colOff>
      <xdr:row>290</xdr:row>
      <xdr:rowOff>36449</xdr:rowOff>
    </xdr:to>
    <xdr:cxnSp macro="">
      <xdr:nvCxnSpPr>
        <xdr:cNvPr id="304" name="Conector recto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/>
      </xdr:nvCxnSpPr>
      <xdr:spPr>
        <a:xfrm flipV="1">
          <a:off x="7232454" y="52670560"/>
          <a:ext cx="7734" cy="141819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721746</xdr:colOff>
      <xdr:row>282</xdr:row>
      <xdr:rowOff>152401</xdr:rowOff>
    </xdr:from>
    <xdr:to>
      <xdr:col>10</xdr:col>
      <xdr:colOff>729480</xdr:colOff>
      <xdr:row>290</xdr:row>
      <xdr:rowOff>46594</xdr:rowOff>
    </xdr:to>
    <xdr:cxnSp macro="">
      <xdr:nvCxnSpPr>
        <xdr:cNvPr id="306" name="Conector recto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/>
      </xdr:nvCxnSpPr>
      <xdr:spPr>
        <a:xfrm flipV="1">
          <a:off x="7865496" y="52675095"/>
          <a:ext cx="7734" cy="141819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586289</xdr:colOff>
      <xdr:row>282</xdr:row>
      <xdr:rowOff>168731</xdr:rowOff>
    </xdr:from>
    <xdr:to>
      <xdr:col>11</xdr:col>
      <xdr:colOff>594023</xdr:colOff>
      <xdr:row>290</xdr:row>
      <xdr:rowOff>62924</xdr:rowOff>
    </xdr:to>
    <xdr:cxnSp macro="">
      <xdr:nvCxnSpPr>
        <xdr:cNvPr id="307" name="Conector recto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/>
      </xdr:nvCxnSpPr>
      <xdr:spPr>
        <a:xfrm flipV="1">
          <a:off x="8492039" y="52691425"/>
          <a:ext cx="7734" cy="141819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705097</xdr:colOff>
      <xdr:row>276</xdr:row>
      <xdr:rowOff>144354</xdr:rowOff>
    </xdr:from>
    <xdr:to>
      <xdr:col>8</xdr:col>
      <xdr:colOff>327809</xdr:colOff>
      <xdr:row>289</xdr:row>
      <xdr:rowOff>76319</xdr:rowOff>
    </xdr:to>
    <xdr:sp macro="" textlink="">
      <xdr:nvSpPr>
        <xdr:cNvPr id="205" name="Forma libre: forma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4059554" y="51529658"/>
          <a:ext cx="1933559" cy="2408465"/>
        </a:xfrm>
        <a:custGeom>
          <a:avLst/>
          <a:gdLst>
            <a:gd name="connsiteX0" fmla="*/ 0 w 1935926"/>
            <a:gd name="connsiteY0" fmla="*/ 0 h 2424546"/>
            <a:gd name="connsiteX1" fmla="*/ 550471 w 1935926"/>
            <a:gd name="connsiteY1" fmla="*/ 1601932 h 2424546"/>
            <a:gd name="connsiteX2" fmla="*/ 1935926 w 1935926"/>
            <a:gd name="connsiteY2" fmla="*/ 2424546 h 2424546"/>
            <a:gd name="connsiteX0" fmla="*/ 0 w 1935926"/>
            <a:gd name="connsiteY0" fmla="*/ 0 h 2424546"/>
            <a:gd name="connsiteX1" fmla="*/ 507176 w 1935926"/>
            <a:gd name="connsiteY1" fmla="*/ 1459676 h 2424546"/>
            <a:gd name="connsiteX2" fmla="*/ 1935926 w 1935926"/>
            <a:gd name="connsiteY2" fmla="*/ 2424546 h 2424546"/>
            <a:gd name="connsiteX0" fmla="*/ 0 w 1935926"/>
            <a:gd name="connsiteY0" fmla="*/ 0 h 2424546"/>
            <a:gd name="connsiteX1" fmla="*/ 507176 w 1935926"/>
            <a:gd name="connsiteY1" fmla="*/ 1459676 h 2424546"/>
            <a:gd name="connsiteX2" fmla="*/ 1935926 w 1935926"/>
            <a:gd name="connsiteY2" fmla="*/ 2424546 h 242454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935926" h="2424546">
              <a:moveTo>
                <a:pt x="0" y="0"/>
              </a:moveTo>
              <a:cubicBezTo>
                <a:pt x="113908" y="598920"/>
                <a:pt x="190708" y="956624"/>
                <a:pt x="507176" y="1459676"/>
              </a:cubicBezTo>
              <a:cubicBezTo>
                <a:pt x="823644" y="1962728"/>
                <a:pt x="1698832" y="2309091"/>
                <a:pt x="1935926" y="2424546"/>
              </a:cubicBezTo>
            </a:path>
          </a:pathLst>
        </a:custGeom>
        <a:noFill/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364919</xdr:colOff>
      <xdr:row>276</xdr:row>
      <xdr:rowOff>123701</xdr:rowOff>
    </xdr:from>
    <xdr:to>
      <xdr:col>7</xdr:col>
      <xdr:colOff>331305</xdr:colOff>
      <xdr:row>289</xdr:row>
      <xdr:rowOff>91109</xdr:rowOff>
    </xdr:to>
    <xdr:cxnSp macro="">
      <xdr:nvCxnSpPr>
        <xdr:cNvPr id="207" name="Conector rect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/>
      </xdr:nvCxnSpPr>
      <xdr:spPr>
        <a:xfrm>
          <a:off x="4481376" y="51509005"/>
          <a:ext cx="753233" cy="2443908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371104</xdr:colOff>
      <xdr:row>276</xdr:row>
      <xdr:rowOff>129886</xdr:rowOff>
    </xdr:from>
    <xdr:to>
      <xdr:col>7</xdr:col>
      <xdr:colOff>204108</xdr:colOff>
      <xdr:row>289</xdr:row>
      <xdr:rowOff>92776</xdr:rowOff>
    </xdr:to>
    <xdr:cxnSp macro="">
      <xdr:nvCxnSpPr>
        <xdr:cNvPr id="216" name="Conector rect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/>
      </xdr:nvCxnSpPr>
      <xdr:spPr>
        <a:xfrm>
          <a:off x="4484172" y="51837029"/>
          <a:ext cx="624692" cy="245547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702571</xdr:colOff>
      <xdr:row>286</xdr:row>
      <xdr:rowOff>98961</xdr:rowOff>
    </xdr:from>
    <xdr:to>
      <xdr:col>6</xdr:col>
      <xdr:colOff>714944</xdr:colOff>
      <xdr:row>289</xdr:row>
      <xdr:rowOff>74221</xdr:rowOff>
    </xdr:to>
    <xdr:cxnSp macro="">
      <xdr:nvCxnSpPr>
        <xdr:cNvPr id="219" name="Conector recto de flecha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/>
      </xdr:nvCxnSpPr>
      <xdr:spPr>
        <a:xfrm>
          <a:off x="4816560" y="53386270"/>
          <a:ext cx="12373" cy="54676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55455</xdr:colOff>
      <xdr:row>286</xdr:row>
      <xdr:rowOff>86591</xdr:rowOff>
    </xdr:from>
    <xdr:to>
      <xdr:col>7</xdr:col>
      <xdr:colOff>68904</xdr:colOff>
      <xdr:row>289</xdr:row>
      <xdr:rowOff>85117</xdr:rowOff>
    </xdr:to>
    <xdr:cxnSp macro="">
      <xdr:nvCxnSpPr>
        <xdr:cNvPr id="226" name="Conector rect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/>
      </xdr:nvCxnSpPr>
      <xdr:spPr>
        <a:xfrm>
          <a:off x="4959817" y="53373900"/>
          <a:ext cx="13449" cy="570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429599</xdr:colOff>
      <xdr:row>284</xdr:row>
      <xdr:rowOff>182393</xdr:rowOff>
    </xdr:from>
    <xdr:to>
      <xdr:col>8</xdr:col>
      <xdr:colOff>429638</xdr:colOff>
      <xdr:row>289</xdr:row>
      <xdr:rowOff>64493</xdr:rowOff>
    </xdr:to>
    <xdr:cxnSp macro="">
      <xdr:nvCxnSpPr>
        <xdr:cNvPr id="328" name="Conector recto de flecha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/>
      </xdr:nvCxnSpPr>
      <xdr:spPr>
        <a:xfrm flipH="1">
          <a:off x="6095961" y="53088702"/>
          <a:ext cx="39" cy="83460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36656</xdr:colOff>
      <xdr:row>289</xdr:row>
      <xdr:rowOff>32425</xdr:rowOff>
    </xdr:from>
    <xdr:to>
      <xdr:col>7</xdr:col>
      <xdr:colOff>109613</xdr:colOff>
      <xdr:row>289</xdr:row>
      <xdr:rowOff>113489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4939960" y="53894229"/>
          <a:ext cx="72957" cy="81064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290209</xdr:colOff>
      <xdr:row>289</xdr:row>
      <xdr:rowOff>26751</xdr:rowOff>
    </xdr:from>
    <xdr:to>
      <xdr:col>8</xdr:col>
      <xdr:colOff>363166</xdr:colOff>
      <xdr:row>289</xdr:row>
      <xdr:rowOff>107815</xdr:rowOff>
    </xdr:to>
    <xdr:sp macro="" textlink="">
      <xdr:nvSpPr>
        <xdr:cNvPr id="332" name="Elips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5956571" y="53885560"/>
          <a:ext cx="72957" cy="81064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726333</xdr:colOff>
      <xdr:row>276</xdr:row>
      <xdr:rowOff>85927</xdr:rowOff>
    </xdr:from>
    <xdr:to>
      <xdr:col>7</xdr:col>
      <xdr:colOff>8917</xdr:colOff>
      <xdr:row>276</xdr:row>
      <xdr:rowOff>166991</xdr:rowOff>
    </xdr:to>
    <xdr:sp macro="" textlink="">
      <xdr:nvSpPr>
        <xdr:cNvPr id="333" name="Elips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>
          <a:off x="4840322" y="51468236"/>
          <a:ext cx="72957" cy="81064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335606</xdr:colOff>
      <xdr:row>276</xdr:row>
      <xdr:rowOff>88359</xdr:rowOff>
    </xdr:from>
    <xdr:to>
      <xdr:col>6</xdr:col>
      <xdr:colOff>408563</xdr:colOff>
      <xdr:row>276</xdr:row>
      <xdr:rowOff>169423</xdr:rowOff>
    </xdr:to>
    <xdr:sp macro="" textlink="">
      <xdr:nvSpPr>
        <xdr:cNvPr id="334" name="Elips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4449595" y="51470668"/>
          <a:ext cx="72957" cy="81064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546650</xdr:colOff>
      <xdr:row>276</xdr:row>
      <xdr:rowOff>140804</xdr:rowOff>
    </xdr:from>
    <xdr:to>
      <xdr:col>5</xdr:col>
      <xdr:colOff>555105</xdr:colOff>
      <xdr:row>289</xdr:row>
      <xdr:rowOff>71226</xdr:rowOff>
    </xdr:to>
    <xdr:cxnSp macro="">
      <xdr:nvCxnSpPr>
        <xdr:cNvPr id="335" name="Conector recto de flecha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/>
      </xdr:nvCxnSpPr>
      <xdr:spPr>
        <a:xfrm>
          <a:off x="3901107" y="51526108"/>
          <a:ext cx="8455" cy="2406922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397567</xdr:colOff>
      <xdr:row>280</xdr:row>
      <xdr:rowOff>8286</xdr:rowOff>
    </xdr:from>
    <xdr:to>
      <xdr:col>7</xdr:col>
      <xdr:colOff>637761</xdr:colOff>
      <xdr:row>281</xdr:row>
      <xdr:rowOff>91110</xdr:rowOff>
    </xdr:to>
    <xdr:cxnSp macro="">
      <xdr:nvCxnSpPr>
        <xdr:cNvPr id="239" name="Conector: curvad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/>
      </xdr:nvCxnSpPr>
      <xdr:spPr>
        <a:xfrm rot="5400000">
          <a:off x="5284306" y="52172155"/>
          <a:ext cx="273324" cy="240194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41414</xdr:colOff>
      <xdr:row>282</xdr:row>
      <xdr:rowOff>165653</xdr:rowOff>
    </xdr:from>
    <xdr:to>
      <xdr:col>7</xdr:col>
      <xdr:colOff>240198</xdr:colOff>
      <xdr:row>284</xdr:row>
      <xdr:rowOff>24850</xdr:rowOff>
    </xdr:to>
    <xdr:cxnSp macro="">
      <xdr:nvCxnSpPr>
        <xdr:cNvPr id="342" name="Conector: curvado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/>
      </xdr:nvCxnSpPr>
      <xdr:spPr>
        <a:xfrm rot="5400000">
          <a:off x="4924011" y="52714664"/>
          <a:ext cx="240197" cy="198784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372717</xdr:colOff>
      <xdr:row>281</xdr:row>
      <xdr:rowOff>41413</xdr:rowOff>
    </xdr:from>
    <xdr:to>
      <xdr:col>6</xdr:col>
      <xdr:colOff>662608</xdr:colOff>
      <xdr:row>282</xdr:row>
      <xdr:rowOff>91109</xdr:rowOff>
    </xdr:to>
    <xdr:cxnSp macro="">
      <xdr:nvCxnSpPr>
        <xdr:cNvPr id="246" name="Conector: curvad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/>
      </xdr:nvCxnSpPr>
      <xdr:spPr>
        <a:xfrm>
          <a:off x="4489174" y="52379217"/>
          <a:ext cx="289891" cy="240196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240201</xdr:colOff>
      <xdr:row>285</xdr:row>
      <xdr:rowOff>91111</xdr:rowOff>
    </xdr:from>
    <xdr:to>
      <xdr:col>7</xdr:col>
      <xdr:colOff>248446</xdr:colOff>
      <xdr:row>286</xdr:row>
      <xdr:rowOff>94630</xdr:rowOff>
    </xdr:to>
    <xdr:cxnSp macro="">
      <xdr:nvCxnSpPr>
        <xdr:cNvPr id="350" name="Conector recto de flecha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/>
      </xdr:nvCxnSpPr>
      <xdr:spPr>
        <a:xfrm>
          <a:off x="5143505" y="53190915"/>
          <a:ext cx="8245" cy="19401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381005</xdr:colOff>
      <xdr:row>283</xdr:row>
      <xdr:rowOff>173934</xdr:rowOff>
    </xdr:from>
    <xdr:to>
      <xdr:col>8</xdr:col>
      <xdr:colOff>66262</xdr:colOff>
      <xdr:row>285</xdr:row>
      <xdr:rowOff>173937</xdr:rowOff>
    </xdr:to>
    <xdr:cxnSp macro="">
      <xdr:nvCxnSpPr>
        <xdr:cNvPr id="354" name="Conector: curvado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/>
      </xdr:nvCxnSpPr>
      <xdr:spPr>
        <a:xfrm rot="10800000" flipV="1">
          <a:off x="5284309" y="52892738"/>
          <a:ext cx="447257" cy="381003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540242</xdr:colOff>
      <xdr:row>288</xdr:row>
      <xdr:rowOff>15202</xdr:rowOff>
    </xdr:from>
    <xdr:to>
      <xdr:col>10</xdr:col>
      <xdr:colOff>92178</xdr:colOff>
      <xdr:row>288</xdr:row>
      <xdr:rowOff>17875</xdr:rowOff>
    </xdr:to>
    <xdr:cxnSp macro="">
      <xdr:nvCxnSpPr>
        <xdr:cNvPr id="268" name="Conector recto de flecha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/>
      </xdr:nvCxnSpPr>
      <xdr:spPr>
        <a:xfrm flipV="1">
          <a:off x="6927005" y="53681057"/>
          <a:ext cx="313936" cy="267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93488</xdr:colOff>
      <xdr:row>288</xdr:row>
      <xdr:rowOff>10905</xdr:rowOff>
    </xdr:from>
    <xdr:to>
      <xdr:col>10</xdr:col>
      <xdr:colOff>407424</xdr:colOff>
      <xdr:row>288</xdr:row>
      <xdr:rowOff>13578</xdr:rowOff>
    </xdr:to>
    <xdr:cxnSp macro="">
      <xdr:nvCxnSpPr>
        <xdr:cNvPr id="364" name="Conector recto de flecha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/>
      </xdr:nvCxnSpPr>
      <xdr:spPr>
        <a:xfrm flipV="1">
          <a:off x="7242251" y="53676760"/>
          <a:ext cx="313936" cy="267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405661</xdr:colOff>
      <xdr:row>288</xdr:row>
      <xdr:rowOff>4662</xdr:rowOff>
    </xdr:from>
    <xdr:to>
      <xdr:col>10</xdr:col>
      <xdr:colOff>719597</xdr:colOff>
      <xdr:row>288</xdr:row>
      <xdr:rowOff>7335</xdr:rowOff>
    </xdr:to>
    <xdr:cxnSp macro="">
      <xdr:nvCxnSpPr>
        <xdr:cNvPr id="365" name="Conector recto de flecha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/>
      </xdr:nvCxnSpPr>
      <xdr:spPr>
        <a:xfrm flipV="1">
          <a:off x="7554424" y="53670517"/>
          <a:ext cx="313936" cy="267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717835</xdr:colOff>
      <xdr:row>288</xdr:row>
      <xdr:rowOff>357</xdr:rowOff>
    </xdr:from>
    <xdr:to>
      <xdr:col>11</xdr:col>
      <xdr:colOff>269771</xdr:colOff>
      <xdr:row>288</xdr:row>
      <xdr:rowOff>3030</xdr:rowOff>
    </xdr:to>
    <xdr:cxnSp macro="">
      <xdr:nvCxnSpPr>
        <xdr:cNvPr id="366" name="Conector recto de flecha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/>
      </xdr:nvCxnSpPr>
      <xdr:spPr>
        <a:xfrm flipV="1">
          <a:off x="7866598" y="53666212"/>
          <a:ext cx="313936" cy="267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271084</xdr:colOff>
      <xdr:row>287</xdr:row>
      <xdr:rowOff>189629</xdr:rowOff>
    </xdr:from>
    <xdr:to>
      <xdr:col>11</xdr:col>
      <xdr:colOff>585020</xdr:colOff>
      <xdr:row>288</xdr:row>
      <xdr:rowOff>1802</xdr:rowOff>
    </xdr:to>
    <xdr:cxnSp macro="">
      <xdr:nvCxnSpPr>
        <xdr:cNvPr id="367" name="Conector recto de flecha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/>
      </xdr:nvCxnSpPr>
      <xdr:spPr>
        <a:xfrm flipV="1">
          <a:off x="8181847" y="53664984"/>
          <a:ext cx="313936" cy="267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586329</xdr:colOff>
      <xdr:row>287</xdr:row>
      <xdr:rowOff>190339</xdr:rowOff>
    </xdr:from>
    <xdr:to>
      <xdr:col>12</xdr:col>
      <xdr:colOff>43015</xdr:colOff>
      <xdr:row>288</xdr:row>
      <xdr:rowOff>2512</xdr:rowOff>
    </xdr:to>
    <xdr:cxnSp macro="">
      <xdr:nvCxnSpPr>
        <xdr:cNvPr id="368" name="Conector recto de flecha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/>
      </xdr:nvCxnSpPr>
      <xdr:spPr>
        <a:xfrm flipV="1">
          <a:off x="8497092" y="53665694"/>
          <a:ext cx="313936" cy="267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372338</xdr:colOff>
      <xdr:row>282</xdr:row>
      <xdr:rowOff>173182</xdr:rowOff>
    </xdr:from>
    <xdr:to>
      <xdr:col>12</xdr:col>
      <xdr:colOff>376667</xdr:colOff>
      <xdr:row>290</xdr:row>
      <xdr:rowOff>43295</xdr:rowOff>
    </xdr:to>
    <xdr:cxnSp macro="">
      <xdr:nvCxnSpPr>
        <xdr:cNvPr id="286" name="Conector recto de flecha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/>
      </xdr:nvCxnSpPr>
      <xdr:spPr>
        <a:xfrm flipV="1">
          <a:off x="9139668" y="52694898"/>
          <a:ext cx="4329" cy="139411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536407</xdr:colOff>
      <xdr:row>288</xdr:row>
      <xdr:rowOff>61659</xdr:rowOff>
    </xdr:from>
    <xdr:ext cx="315829" cy="146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1" name="CuadroTexto 370">
              <a:extLst>
                <a:ext uri="{FF2B5EF4-FFF2-40B4-BE49-F238E27FC236}">
                  <a16:creationId xmlns:a16="http://schemas.microsoft.com/office/drawing/2014/main" id="{00000000-0008-0000-0000-000073010000}"/>
                </a:ext>
              </a:extLst>
            </xdr:cNvPr>
            <xdr:cNvSpPr txBox="1"/>
          </xdr:nvSpPr>
          <xdr:spPr>
            <a:xfrm>
              <a:off x="6923170" y="53727514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71" name="CuadroTexto 370">
              <a:extLst>
                <a:ext uri="{FF2B5EF4-FFF2-40B4-BE49-F238E27FC236}">
                  <a16:creationId xmlns:a16="http://schemas.microsoft.com/office/drawing/2014/main" id="{74B8950B-FD19-4EE4-A075-CE22C55A15DD}"/>
                </a:ext>
              </a:extLst>
            </xdr:cNvPr>
            <xdr:cNvSpPr txBox="1"/>
          </xdr:nvSpPr>
          <xdr:spPr>
            <a:xfrm>
              <a:off x="6923170" y="53727514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92242</xdr:colOff>
      <xdr:row>288</xdr:row>
      <xdr:rowOff>63664</xdr:rowOff>
    </xdr:from>
    <xdr:ext cx="315829" cy="146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2" name="CuadroTexto 371">
              <a:extLst>
                <a:ext uri="{FF2B5EF4-FFF2-40B4-BE49-F238E27FC236}">
                  <a16:creationId xmlns:a16="http://schemas.microsoft.com/office/drawing/2014/main" id="{00000000-0008-0000-0000-000074010000}"/>
                </a:ext>
              </a:extLst>
            </xdr:cNvPr>
            <xdr:cNvSpPr txBox="1"/>
          </xdr:nvSpPr>
          <xdr:spPr>
            <a:xfrm>
              <a:off x="7241005" y="53729519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72" name="CuadroTexto 371">
              <a:extLst>
                <a:ext uri="{FF2B5EF4-FFF2-40B4-BE49-F238E27FC236}">
                  <a16:creationId xmlns:a16="http://schemas.microsoft.com/office/drawing/2014/main" id="{3C33EDFC-9942-43B9-8AEB-F9701D0CAC03}"/>
                </a:ext>
              </a:extLst>
            </xdr:cNvPr>
            <xdr:cNvSpPr txBox="1"/>
          </xdr:nvSpPr>
          <xdr:spPr>
            <a:xfrm>
              <a:off x="7241005" y="53729519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410075</xdr:colOff>
      <xdr:row>288</xdr:row>
      <xdr:rowOff>55644</xdr:rowOff>
    </xdr:from>
    <xdr:ext cx="315829" cy="146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3" name="CuadroTexto 372">
              <a:extLst>
                <a:ext uri="{FF2B5EF4-FFF2-40B4-BE49-F238E27FC236}">
                  <a16:creationId xmlns:a16="http://schemas.microsoft.com/office/drawing/2014/main" id="{00000000-0008-0000-0000-000075010000}"/>
                </a:ext>
              </a:extLst>
            </xdr:cNvPr>
            <xdr:cNvSpPr txBox="1"/>
          </xdr:nvSpPr>
          <xdr:spPr>
            <a:xfrm>
              <a:off x="7558838" y="53721499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73" name="CuadroTexto 372">
              <a:extLst>
                <a:ext uri="{FF2B5EF4-FFF2-40B4-BE49-F238E27FC236}">
                  <a16:creationId xmlns:a16="http://schemas.microsoft.com/office/drawing/2014/main" id="{B26A2664-6A43-4809-84BC-17E50B59C38C}"/>
                </a:ext>
              </a:extLst>
            </xdr:cNvPr>
            <xdr:cNvSpPr txBox="1"/>
          </xdr:nvSpPr>
          <xdr:spPr>
            <a:xfrm>
              <a:off x="7558838" y="53721499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727908</xdr:colOff>
      <xdr:row>288</xdr:row>
      <xdr:rowOff>57649</xdr:rowOff>
    </xdr:from>
    <xdr:ext cx="315829" cy="146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4" name="CuadroTexto 373">
              <a:extLst>
                <a:ext uri="{FF2B5EF4-FFF2-40B4-BE49-F238E27FC236}">
                  <a16:creationId xmlns:a16="http://schemas.microsoft.com/office/drawing/2014/main" id="{00000000-0008-0000-0000-000076010000}"/>
                </a:ext>
              </a:extLst>
            </xdr:cNvPr>
            <xdr:cNvSpPr txBox="1"/>
          </xdr:nvSpPr>
          <xdr:spPr>
            <a:xfrm>
              <a:off x="7876671" y="53723504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74" name="CuadroTexto 373">
              <a:extLst>
                <a:ext uri="{FF2B5EF4-FFF2-40B4-BE49-F238E27FC236}">
                  <a16:creationId xmlns:a16="http://schemas.microsoft.com/office/drawing/2014/main" id="{D0946848-4498-4390-A86C-F9AB8B0164B9}"/>
                </a:ext>
              </a:extLst>
            </xdr:cNvPr>
            <xdr:cNvSpPr txBox="1"/>
          </xdr:nvSpPr>
          <xdr:spPr>
            <a:xfrm>
              <a:off x="7876671" y="53723504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273715</xdr:colOff>
      <xdr:row>288</xdr:row>
      <xdr:rowOff>59655</xdr:rowOff>
    </xdr:from>
    <xdr:ext cx="315829" cy="146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5" name="CuadroTexto 374">
              <a:extLst>
                <a:ext uri="{FF2B5EF4-FFF2-40B4-BE49-F238E27FC236}">
                  <a16:creationId xmlns:a16="http://schemas.microsoft.com/office/drawing/2014/main" id="{00000000-0008-0000-0000-000077010000}"/>
                </a:ext>
              </a:extLst>
            </xdr:cNvPr>
            <xdr:cNvSpPr txBox="1"/>
          </xdr:nvSpPr>
          <xdr:spPr>
            <a:xfrm>
              <a:off x="8184478" y="53725510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75" name="CuadroTexto 374">
              <a:extLst>
                <a:ext uri="{FF2B5EF4-FFF2-40B4-BE49-F238E27FC236}">
                  <a16:creationId xmlns:a16="http://schemas.microsoft.com/office/drawing/2014/main" id="{6DC3F01F-16B2-4C97-9F1E-1D4E1734793A}"/>
                </a:ext>
              </a:extLst>
            </xdr:cNvPr>
            <xdr:cNvSpPr txBox="1"/>
          </xdr:nvSpPr>
          <xdr:spPr>
            <a:xfrm>
              <a:off x="8184478" y="53725510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581521</xdr:colOff>
      <xdr:row>288</xdr:row>
      <xdr:rowOff>51637</xdr:rowOff>
    </xdr:from>
    <xdr:ext cx="315829" cy="146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6" name="CuadroTexto 375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SpPr txBox="1"/>
          </xdr:nvSpPr>
          <xdr:spPr>
            <a:xfrm>
              <a:off x="8492284" y="53717492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76" name="CuadroTexto 375">
              <a:extLst>
                <a:ext uri="{FF2B5EF4-FFF2-40B4-BE49-F238E27FC236}">
                  <a16:creationId xmlns:a16="http://schemas.microsoft.com/office/drawing/2014/main" id="{D0BE0473-8208-4E43-B95D-8BF6071064D6}"/>
                </a:ext>
              </a:extLst>
            </xdr:cNvPr>
            <xdr:cNvSpPr txBox="1"/>
          </xdr:nvSpPr>
          <xdr:spPr>
            <a:xfrm>
              <a:off x="8492284" y="53717492"/>
              <a:ext cx="315829" cy="146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10</xdr:col>
      <xdr:colOff>98199</xdr:colOff>
      <xdr:row>296</xdr:row>
      <xdr:rowOff>7284</xdr:rowOff>
    </xdr:from>
    <xdr:to>
      <xdr:col>12</xdr:col>
      <xdr:colOff>434081</xdr:colOff>
      <xdr:row>309</xdr:row>
      <xdr:rowOff>26836</xdr:rowOff>
    </xdr:to>
    <xdr:sp macro="" textlink="">
      <xdr:nvSpPr>
        <xdr:cNvPr id="287" name="Forma libre: forma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7247552" y="55196255"/>
          <a:ext cx="1960735" cy="2496052"/>
        </a:xfrm>
        <a:custGeom>
          <a:avLst/>
          <a:gdLst>
            <a:gd name="connsiteX0" fmla="*/ 0 w 1209675"/>
            <a:gd name="connsiteY0" fmla="*/ 2085975 h 2095500"/>
            <a:gd name="connsiteX1" fmla="*/ 257175 w 1209675"/>
            <a:gd name="connsiteY1" fmla="*/ 2085975 h 2095500"/>
            <a:gd name="connsiteX2" fmla="*/ 533400 w 1209675"/>
            <a:gd name="connsiteY2" fmla="*/ 0 h 2095500"/>
            <a:gd name="connsiteX3" fmla="*/ 800100 w 1209675"/>
            <a:gd name="connsiteY3" fmla="*/ 0 h 2095500"/>
            <a:gd name="connsiteX4" fmla="*/ 819150 w 1209675"/>
            <a:gd name="connsiteY4" fmla="*/ 2095500 h 2095500"/>
            <a:gd name="connsiteX5" fmla="*/ 1209675 w 1209675"/>
            <a:gd name="connsiteY5" fmla="*/ 2095500 h 2095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09675" h="2095500">
              <a:moveTo>
                <a:pt x="0" y="2085975"/>
              </a:moveTo>
              <a:lnTo>
                <a:pt x="257175" y="2085975"/>
              </a:lnTo>
              <a:lnTo>
                <a:pt x="533400" y="0"/>
              </a:lnTo>
              <a:lnTo>
                <a:pt x="800100" y="0"/>
              </a:lnTo>
              <a:lnTo>
                <a:pt x="819150" y="2095500"/>
              </a:lnTo>
              <a:lnTo>
                <a:pt x="1209675" y="2095500"/>
              </a:lnTo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580939</xdr:colOff>
      <xdr:row>296</xdr:row>
      <xdr:rowOff>117100</xdr:rowOff>
    </xdr:from>
    <xdr:to>
      <xdr:col>11</xdr:col>
      <xdr:colOff>564423</xdr:colOff>
      <xdr:row>310</xdr:row>
      <xdr:rowOff>50425</xdr:rowOff>
    </xdr:to>
    <xdr:sp macro="" textlink="">
      <xdr:nvSpPr>
        <xdr:cNvPr id="288" name="Forma libre: forma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7730292" y="55306071"/>
          <a:ext cx="745484" cy="2600325"/>
        </a:xfrm>
        <a:custGeom>
          <a:avLst/>
          <a:gdLst>
            <a:gd name="connsiteX0" fmla="*/ 0 w 457200"/>
            <a:gd name="connsiteY0" fmla="*/ 2276475 h 2286000"/>
            <a:gd name="connsiteX1" fmla="*/ 266700 w 457200"/>
            <a:gd name="connsiteY1" fmla="*/ 0 h 2286000"/>
            <a:gd name="connsiteX2" fmla="*/ 447675 w 457200"/>
            <a:gd name="connsiteY2" fmla="*/ 0 h 2286000"/>
            <a:gd name="connsiteX3" fmla="*/ 457200 w 457200"/>
            <a:gd name="connsiteY3" fmla="*/ 2286000 h 2286000"/>
            <a:gd name="connsiteX0" fmla="*/ 0 w 457200"/>
            <a:gd name="connsiteY0" fmla="*/ 2276475 h 2286000"/>
            <a:gd name="connsiteX1" fmla="*/ 294715 w 457200"/>
            <a:gd name="connsiteY1" fmla="*/ 0 h 2286000"/>
            <a:gd name="connsiteX2" fmla="*/ 447675 w 457200"/>
            <a:gd name="connsiteY2" fmla="*/ 0 h 2286000"/>
            <a:gd name="connsiteX3" fmla="*/ 457200 w 457200"/>
            <a:gd name="connsiteY3" fmla="*/ 2286000 h 2286000"/>
            <a:gd name="connsiteX0" fmla="*/ 0 w 435721"/>
            <a:gd name="connsiteY0" fmla="*/ 2267661 h 2286000"/>
            <a:gd name="connsiteX1" fmla="*/ 273236 w 435721"/>
            <a:gd name="connsiteY1" fmla="*/ 0 h 2286000"/>
            <a:gd name="connsiteX2" fmla="*/ 426196 w 435721"/>
            <a:gd name="connsiteY2" fmla="*/ 0 h 2286000"/>
            <a:gd name="connsiteX3" fmla="*/ 435721 w 435721"/>
            <a:gd name="connsiteY3" fmla="*/ 2286000 h 2286000"/>
            <a:gd name="connsiteX0" fmla="*/ 0 w 435721"/>
            <a:gd name="connsiteY0" fmla="*/ 2267661 h 2286000"/>
            <a:gd name="connsiteX1" fmla="*/ 254825 w 435721"/>
            <a:gd name="connsiteY1" fmla="*/ 0 h 2286000"/>
            <a:gd name="connsiteX2" fmla="*/ 426196 w 435721"/>
            <a:gd name="connsiteY2" fmla="*/ 0 h 2286000"/>
            <a:gd name="connsiteX3" fmla="*/ 435721 w 435721"/>
            <a:gd name="connsiteY3" fmla="*/ 2286000 h 2286000"/>
            <a:gd name="connsiteX0" fmla="*/ 0 w 456297"/>
            <a:gd name="connsiteY0" fmla="*/ 2267662 h 2286000"/>
            <a:gd name="connsiteX1" fmla="*/ 275401 w 456297"/>
            <a:gd name="connsiteY1" fmla="*/ 0 h 2286000"/>
            <a:gd name="connsiteX2" fmla="*/ 446772 w 456297"/>
            <a:gd name="connsiteY2" fmla="*/ 0 h 2286000"/>
            <a:gd name="connsiteX3" fmla="*/ 456297 w 456297"/>
            <a:gd name="connsiteY3" fmla="*/ 2286000 h 2286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56297" h="2286000">
              <a:moveTo>
                <a:pt x="0" y="2267662"/>
              </a:moveTo>
              <a:lnTo>
                <a:pt x="275401" y="0"/>
              </a:lnTo>
              <a:lnTo>
                <a:pt x="446772" y="0"/>
              </a:lnTo>
              <a:lnTo>
                <a:pt x="456297" y="2286000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647402</xdr:colOff>
      <xdr:row>308</xdr:row>
      <xdr:rowOff>122783</xdr:rowOff>
    </xdr:from>
    <xdr:to>
      <xdr:col>10</xdr:col>
      <xdr:colOff>693121</xdr:colOff>
      <xdr:row>308</xdr:row>
      <xdr:rowOff>168502</xdr:rowOff>
    </xdr:to>
    <xdr:sp macro="" textlink="">
      <xdr:nvSpPr>
        <xdr:cNvPr id="289" name="Elips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7791152" y="57376963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683823</xdr:colOff>
      <xdr:row>307</xdr:row>
      <xdr:rowOff>107751</xdr:rowOff>
    </xdr:from>
    <xdr:to>
      <xdr:col>10</xdr:col>
      <xdr:colOff>729542</xdr:colOff>
      <xdr:row>307</xdr:row>
      <xdr:rowOff>153470</xdr:rowOff>
    </xdr:to>
    <xdr:sp macro="" textlink="">
      <xdr:nvSpPr>
        <xdr:cNvPr id="380" name="Elipse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/>
      </xdr:nvSpPr>
      <xdr:spPr>
        <a:xfrm>
          <a:off x="7824171" y="57390421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717160</xdr:colOff>
      <xdr:row>306</xdr:row>
      <xdr:rowOff>100267</xdr:rowOff>
    </xdr:from>
    <xdr:to>
      <xdr:col>11</xdr:col>
      <xdr:colOff>879</xdr:colOff>
      <xdr:row>306</xdr:row>
      <xdr:rowOff>145986</xdr:rowOff>
    </xdr:to>
    <xdr:sp macro="" textlink="">
      <xdr:nvSpPr>
        <xdr:cNvPr id="381" name="Elipse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>
          <a:off x="7857508" y="57192437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757300</xdr:colOff>
      <xdr:row>305</xdr:row>
      <xdr:rowOff>82580</xdr:rowOff>
    </xdr:from>
    <xdr:to>
      <xdr:col>11</xdr:col>
      <xdr:colOff>41019</xdr:colOff>
      <xdr:row>305</xdr:row>
      <xdr:rowOff>128299</xdr:rowOff>
    </xdr:to>
    <xdr:sp macro="" textlink="">
      <xdr:nvSpPr>
        <xdr:cNvPr id="382" name="Elips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>
          <a:off x="7897648" y="56984250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32039</xdr:colOff>
      <xdr:row>304</xdr:row>
      <xdr:rowOff>64890</xdr:rowOff>
    </xdr:from>
    <xdr:to>
      <xdr:col>11</xdr:col>
      <xdr:colOff>77758</xdr:colOff>
      <xdr:row>304</xdr:row>
      <xdr:rowOff>110609</xdr:rowOff>
    </xdr:to>
    <xdr:sp macro="" textlink="">
      <xdr:nvSpPr>
        <xdr:cNvPr id="383" name="Elipse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/>
      </xdr:nvSpPr>
      <xdr:spPr>
        <a:xfrm>
          <a:off x="7934387" y="56776060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65697</xdr:colOff>
      <xdr:row>303</xdr:row>
      <xdr:rowOff>33061</xdr:rowOff>
    </xdr:from>
    <xdr:to>
      <xdr:col>11</xdr:col>
      <xdr:colOff>111416</xdr:colOff>
      <xdr:row>303</xdr:row>
      <xdr:rowOff>78780</xdr:rowOff>
    </xdr:to>
    <xdr:sp macro="" textlink="">
      <xdr:nvSpPr>
        <xdr:cNvPr id="384" name="Elips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7968045" y="56553731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112641</xdr:colOff>
      <xdr:row>301</xdr:row>
      <xdr:rowOff>165050</xdr:rowOff>
    </xdr:from>
    <xdr:to>
      <xdr:col>11</xdr:col>
      <xdr:colOff>158360</xdr:colOff>
      <xdr:row>302</xdr:row>
      <xdr:rowOff>20269</xdr:rowOff>
    </xdr:to>
    <xdr:sp macro="" textlink="">
      <xdr:nvSpPr>
        <xdr:cNvPr id="385" name="Elipse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/>
      </xdr:nvSpPr>
      <xdr:spPr>
        <a:xfrm>
          <a:off x="8014989" y="56304720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149380</xdr:colOff>
      <xdr:row>300</xdr:row>
      <xdr:rowOff>113343</xdr:rowOff>
    </xdr:from>
    <xdr:to>
      <xdr:col>11</xdr:col>
      <xdr:colOff>195099</xdr:colOff>
      <xdr:row>300</xdr:row>
      <xdr:rowOff>159062</xdr:rowOff>
    </xdr:to>
    <xdr:sp macro="" textlink="">
      <xdr:nvSpPr>
        <xdr:cNvPr id="386" name="Elips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/>
      </xdr:nvSpPr>
      <xdr:spPr>
        <a:xfrm>
          <a:off x="8051728" y="56062513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192923</xdr:colOff>
      <xdr:row>299</xdr:row>
      <xdr:rowOff>37824</xdr:rowOff>
    </xdr:from>
    <xdr:to>
      <xdr:col>11</xdr:col>
      <xdr:colOff>238642</xdr:colOff>
      <xdr:row>299</xdr:row>
      <xdr:rowOff>83543</xdr:rowOff>
    </xdr:to>
    <xdr:sp macro="" textlink="">
      <xdr:nvSpPr>
        <xdr:cNvPr id="387" name="Elips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>
          <a:off x="8095271" y="55796494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233065</xdr:colOff>
      <xdr:row>297</xdr:row>
      <xdr:rowOff>173216</xdr:rowOff>
    </xdr:from>
    <xdr:to>
      <xdr:col>11</xdr:col>
      <xdr:colOff>278784</xdr:colOff>
      <xdr:row>298</xdr:row>
      <xdr:rowOff>28435</xdr:rowOff>
    </xdr:to>
    <xdr:sp macro="" textlink="">
      <xdr:nvSpPr>
        <xdr:cNvPr id="388" name="Elips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/>
      </xdr:nvSpPr>
      <xdr:spPr>
        <a:xfrm>
          <a:off x="8135413" y="55550886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276608</xdr:colOff>
      <xdr:row>296</xdr:row>
      <xdr:rowOff>131713</xdr:rowOff>
    </xdr:from>
    <xdr:to>
      <xdr:col>11</xdr:col>
      <xdr:colOff>322327</xdr:colOff>
      <xdr:row>296</xdr:row>
      <xdr:rowOff>177432</xdr:rowOff>
    </xdr:to>
    <xdr:sp macro="" textlink="">
      <xdr:nvSpPr>
        <xdr:cNvPr id="389" name="Elipse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/>
      </xdr:nvSpPr>
      <xdr:spPr>
        <a:xfrm>
          <a:off x="8178956" y="55318883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486838</xdr:colOff>
      <xdr:row>296</xdr:row>
      <xdr:rowOff>131033</xdr:rowOff>
    </xdr:from>
    <xdr:to>
      <xdr:col>11</xdr:col>
      <xdr:colOff>532557</xdr:colOff>
      <xdr:row>296</xdr:row>
      <xdr:rowOff>176752</xdr:rowOff>
    </xdr:to>
    <xdr:sp macro="" textlink="">
      <xdr:nvSpPr>
        <xdr:cNvPr id="390" name="Elips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/>
      </xdr:nvSpPr>
      <xdr:spPr>
        <a:xfrm>
          <a:off x="8389186" y="55318203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480715</xdr:colOff>
      <xdr:row>297</xdr:row>
      <xdr:rowOff>175937</xdr:rowOff>
    </xdr:from>
    <xdr:to>
      <xdr:col>11</xdr:col>
      <xdr:colOff>526434</xdr:colOff>
      <xdr:row>298</xdr:row>
      <xdr:rowOff>31156</xdr:rowOff>
    </xdr:to>
    <xdr:sp macro="" textlink="">
      <xdr:nvSpPr>
        <xdr:cNvPr id="391" name="Elipse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/>
      </xdr:nvSpPr>
      <xdr:spPr>
        <a:xfrm>
          <a:off x="8383063" y="55553607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481394</xdr:colOff>
      <xdr:row>299</xdr:row>
      <xdr:rowOff>50751</xdr:rowOff>
    </xdr:from>
    <xdr:to>
      <xdr:col>11</xdr:col>
      <xdr:colOff>527113</xdr:colOff>
      <xdr:row>299</xdr:row>
      <xdr:rowOff>96470</xdr:rowOff>
    </xdr:to>
    <xdr:sp macro="" textlink="">
      <xdr:nvSpPr>
        <xdr:cNvPr id="392" name="Elips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/>
      </xdr:nvSpPr>
      <xdr:spPr>
        <a:xfrm>
          <a:off x="8383742" y="55809421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482593</xdr:colOff>
      <xdr:row>300</xdr:row>
      <xdr:rowOff>110761</xdr:rowOff>
    </xdr:from>
    <xdr:to>
      <xdr:col>11</xdr:col>
      <xdr:colOff>528312</xdr:colOff>
      <xdr:row>300</xdr:row>
      <xdr:rowOff>156480</xdr:rowOff>
    </xdr:to>
    <xdr:sp macro="" textlink="">
      <xdr:nvSpPr>
        <xdr:cNvPr id="393" name="Elipse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/>
      </xdr:nvSpPr>
      <xdr:spPr>
        <a:xfrm>
          <a:off x="8386729" y="56062871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485395</xdr:colOff>
      <xdr:row>301</xdr:row>
      <xdr:rowOff>152424</xdr:rowOff>
    </xdr:from>
    <xdr:to>
      <xdr:col>11</xdr:col>
      <xdr:colOff>531114</xdr:colOff>
      <xdr:row>302</xdr:row>
      <xdr:rowOff>7643</xdr:rowOff>
    </xdr:to>
    <xdr:sp macro="" textlink="">
      <xdr:nvSpPr>
        <xdr:cNvPr id="394" name="Elipse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/>
      </xdr:nvSpPr>
      <xdr:spPr>
        <a:xfrm>
          <a:off x="8389531" y="56295034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486884</xdr:colOff>
      <xdr:row>303</xdr:row>
      <xdr:rowOff>30121</xdr:rowOff>
    </xdr:from>
    <xdr:to>
      <xdr:col>11</xdr:col>
      <xdr:colOff>532603</xdr:colOff>
      <xdr:row>303</xdr:row>
      <xdr:rowOff>75840</xdr:rowOff>
    </xdr:to>
    <xdr:sp macro="" textlink="">
      <xdr:nvSpPr>
        <xdr:cNvPr id="395" name="Elipse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/>
      </xdr:nvSpPr>
      <xdr:spPr>
        <a:xfrm>
          <a:off x="8391020" y="56553731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488743</xdr:colOff>
      <xdr:row>304</xdr:row>
      <xdr:rowOff>61950</xdr:rowOff>
    </xdr:from>
    <xdr:to>
      <xdr:col>11</xdr:col>
      <xdr:colOff>534462</xdr:colOff>
      <xdr:row>304</xdr:row>
      <xdr:rowOff>107669</xdr:rowOff>
    </xdr:to>
    <xdr:sp macro="" textlink="">
      <xdr:nvSpPr>
        <xdr:cNvPr id="396" name="Elipse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/>
      </xdr:nvSpPr>
      <xdr:spPr>
        <a:xfrm>
          <a:off x="8392879" y="56776060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487519</xdr:colOff>
      <xdr:row>305</xdr:row>
      <xdr:rowOff>82870</xdr:rowOff>
    </xdr:from>
    <xdr:to>
      <xdr:col>11</xdr:col>
      <xdr:colOff>533238</xdr:colOff>
      <xdr:row>305</xdr:row>
      <xdr:rowOff>128589</xdr:rowOff>
    </xdr:to>
    <xdr:sp macro="" textlink="">
      <xdr:nvSpPr>
        <xdr:cNvPr id="397" name="Elipse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/>
      </xdr:nvSpPr>
      <xdr:spPr>
        <a:xfrm>
          <a:off x="8391655" y="56987480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486126</xdr:colOff>
      <xdr:row>306</xdr:row>
      <xdr:rowOff>90870</xdr:rowOff>
    </xdr:from>
    <xdr:to>
      <xdr:col>11</xdr:col>
      <xdr:colOff>531845</xdr:colOff>
      <xdr:row>306</xdr:row>
      <xdr:rowOff>136589</xdr:rowOff>
    </xdr:to>
    <xdr:sp macro="" textlink="">
      <xdr:nvSpPr>
        <xdr:cNvPr id="398" name="Elipse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/>
      </xdr:nvSpPr>
      <xdr:spPr>
        <a:xfrm>
          <a:off x="8390262" y="57185980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491535</xdr:colOff>
      <xdr:row>307</xdr:row>
      <xdr:rowOff>120957</xdr:rowOff>
    </xdr:from>
    <xdr:to>
      <xdr:col>11</xdr:col>
      <xdr:colOff>537254</xdr:colOff>
      <xdr:row>307</xdr:row>
      <xdr:rowOff>166676</xdr:rowOff>
    </xdr:to>
    <xdr:sp macro="" textlink="">
      <xdr:nvSpPr>
        <xdr:cNvPr id="399" name="Elipse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/>
      </xdr:nvSpPr>
      <xdr:spPr>
        <a:xfrm>
          <a:off x="8395671" y="57406567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487576</xdr:colOff>
      <xdr:row>308</xdr:row>
      <xdr:rowOff>120413</xdr:rowOff>
    </xdr:from>
    <xdr:to>
      <xdr:col>11</xdr:col>
      <xdr:colOff>533295</xdr:colOff>
      <xdr:row>308</xdr:row>
      <xdr:rowOff>166132</xdr:rowOff>
    </xdr:to>
    <xdr:sp macro="" textlink="">
      <xdr:nvSpPr>
        <xdr:cNvPr id="400" name="Elipse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/>
      </xdr:nvSpPr>
      <xdr:spPr>
        <a:xfrm>
          <a:off x="8391712" y="57596523"/>
          <a:ext cx="45719" cy="45719"/>
        </a:xfrm>
        <a:prstGeom prst="ellips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437745</xdr:colOff>
      <xdr:row>302</xdr:row>
      <xdr:rowOff>170234</xdr:rowOff>
    </xdr:from>
    <xdr:to>
      <xdr:col>11</xdr:col>
      <xdr:colOff>579607</xdr:colOff>
      <xdr:row>303</xdr:row>
      <xdr:rowOff>129702</xdr:rowOff>
    </xdr:to>
    <xdr:sp macro="" textlink="">
      <xdr:nvSpPr>
        <xdr:cNvPr id="290" name="Elips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8341468" y="56505543"/>
          <a:ext cx="141862" cy="149968"/>
        </a:xfrm>
        <a:prstGeom prst="ellipse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144294</xdr:colOff>
      <xdr:row>298</xdr:row>
      <xdr:rowOff>176719</xdr:rowOff>
    </xdr:from>
    <xdr:to>
      <xdr:col>11</xdr:col>
      <xdr:colOff>286156</xdr:colOff>
      <xdr:row>299</xdr:row>
      <xdr:rowOff>136187</xdr:rowOff>
    </xdr:to>
    <xdr:sp macro="" textlink="">
      <xdr:nvSpPr>
        <xdr:cNvPr id="402" name="Elips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8048017" y="55750028"/>
          <a:ext cx="141862" cy="149968"/>
        </a:xfrm>
        <a:prstGeom prst="ellipse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102140</xdr:colOff>
      <xdr:row>300</xdr:row>
      <xdr:rowOff>57556</xdr:rowOff>
    </xdr:from>
    <xdr:to>
      <xdr:col>11</xdr:col>
      <xdr:colOff>244002</xdr:colOff>
      <xdr:row>301</xdr:row>
      <xdr:rowOff>17024</xdr:rowOff>
    </xdr:to>
    <xdr:sp macro="" textlink="">
      <xdr:nvSpPr>
        <xdr:cNvPr id="403" name="Elipse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/>
      </xdr:nvSpPr>
      <xdr:spPr>
        <a:xfrm>
          <a:off x="8005863" y="56011865"/>
          <a:ext cx="141862" cy="149968"/>
        </a:xfrm>
        <a:prstGeom prst="ellipse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579608</xdr:colOff>
      <xdr:row>302</xdr:row>
      <xdr:rowOff>105104</xdr:rowOff>
    </xdr:from>
    <xdr:to>
      <xdr:col>12</xdr:col>
      <xdr:colOff>98535</xdr:colOff>
      <xdr:row>303</xdr:row>
      <xdr:rowOff>54718</xdr:rowOff>
    </xdr:to>
    <xdr:cxnSp macro="">
      <xdr:nvCxnSpPr>
        <xdr:cNvPr id="292" name="Conector: curvad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endCxn id="290" idx="6"/>
        </xdr:cNvCxnSpPr>
      </xdr:nvCxnSpPr>
      <xdr:spPr>
        <a:xfrm rot="10800000" flipV="1">
          <a:off x="8482074" y="56440552"/>
          <a:ext cx="379461" cy="140114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498543</xdr:colOff>
      <xdr:row>299</xdr:row>
      <xdr:rowOff>61203</xdr:rowOff>
    </xdr:from>
    <xdr:to>
      <xdr:col>11</xdr:col>
      <xdr:colOff>144294</xdr:colOff>
      <xdr:row>299</xdr:row>
      <xdr:rowOff>129702</xdr:rowOff>
    </xdr:to>
    <xdr:cxnSp macro="">
      <xdr:nvCxnSpPr>
        <xdr:cNvPr id="299" name="Conector: curvado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endCxn id="402" idx="2"/>
        </xdr:cNvCxnSpPr>
      </xdr:nvCxnSpPr>
      <xdr:spPr>
        <a:xfrm flipV="1">
          <a:off x="7640266" y="55825012"/>
          <a:ext cx="407751" cy="68499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494490</xdr:colOff>
      <xdr:row>299</xdr:row>
      <xdr:rowOff>125648</xdr:rowOff>
    </xdr:from>
    <xdr:to>
      <xdr:col>11</xdr:col>
      <xdr:colOff>102140</xdr:colOff>
      <xdr:row>300</xdr:row>
      <xdr:rowOff>132540</xdr:rowOff>
    </xdr:to>
    <xdr:cxnSp macro="">
      <xdr:nvCxnSpPr>
        <xdr:cNvPr id="305" name="Conector: curvado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endCxn id="403" idx="2"/>
        </xdr:cNvCxnSpPr>
      </xdr:nvCxnSpPr>
      <xdr:spPr>
        <a:xfrm>
          <a:off x="7636213" y="55889457"/>
          <a:ext cx="369650" cy="197392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168089</xdr:colOff>
      <xdr:row>401</xdr:row>
      <xdr:rowOff>112626</xdr:rowOff>
    </xdr:from>
    <xdr:to>
      <xdr:col>12</xdr:col>
      <xdr:colOff>260026</xdr:colOff>
      <xdr:row>411</xdr:row>
      <xdr:rowOff>95719</xdr:rowOff>
    </xdr:to>
    <xdr:sp macro="" textlink="">
      <xdr:nvSpPr>
        <xdr:cNvPr id="418" name="Forma libre: forma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5842268" y="74353197"/>
          <a:ext cx="3194365" cy="1888093"/>
        </a:xfrm>
        <a:custGeom>
          <a:avLst/>
          <a:gdLst>
            <a:gd name="connsiteX0" fmla="*/ 0 w 3059906"/>
            <a:gd name="connsiteY0" fmla="*/ 2718594 h 2734469"/>
            <a:gd name="connsiteX1" fmla="*/ 3969 w 3059906"/>
            <a:gd name="connsiteY1" fmla="*/ 2182813 h 2734469"/>
            <a:gd name="connsiteX2" fmla="*/ 900906 w 3059906"/>
            <a:gd name="connsiteY2" fmla="*/ 2182813 h 2734469"/>
            <a:gd name="connsiteX3" fmla="*/ 1230313 w 3059906"/>
            <a:gd name="connsiteY3" fmla="*/ 0 h 2734469"/>
            <a:gd name="connsiteX4" fmla="*/ 1531938 w 3059906"/>
            <a:gd name="connsiteY4" fmla="*/ 3969 h 2734469"/>
            <a:gd name="connsiteX5" fmla="*/ 1535906 w 3059906"/>
            <a:gd name="connsiteY5" fmla="*/ 2190750 h 2734469"/>
            <a:gd name="connsiteX6" fmla="*/ 3059906 w 3059906"/>
            <a:gd name="connsiteY6" fmla="*/ 2182813 h 2734469"/>
            <a:gd name="connsiteX7" fmla="*/ 3059906 w 3059906"/>
            <a:gd name="connsiteY7" fmla="*/ 2734469 h 2734469"/>
            <a:gd name="connsiteX8" fmla="*/ 0 w 3059906"/>
            <a:gd name="connsiteY8" fmla="*/ 2718594 h 2734469"/>
            <a:gd name="connsiteX0" fmla="*/ 0 w 3059906"/>
            <a:gd name="connsiteY0" fmla="*/ 2718594 h 2734469"/>
            <a:gd name="connsiteX1" fmla="*/ 3969 w 3059906"/>
            <a:gd name="connsiteY1" fmla="*/ 2182813 h 2734469"/>
            <a:gd name="connsiteX2" fmla="*/ 900906 w 3059906"/>
            <a:gd name="connsiteY2" fmla="*/ 2182813 h 2734469"/>
            <a:gd name="connsiteX3" fmla="*/ 1230313 w 3059906"/>
            <a:gd name="connsiteY3" fmla="*/ 0 h 2734469"/>
            <a:gd name="connsiteX4" fmla="*/ 1531938 w 3059906"/>
            <a:gd name="connsiteY4" fmla="*/ 3969 h 2734469"/>
            <a:gd name="connsiteX5" fmla="*/ 1535906 w 3059906"/>
            <a:gd name="connsiteY5" fmla="*/ 2190750 h 2734469"/>
            <a:gd name="connsiteX6" fmla="*/ 3059906 w 3059906"/>
            <a:gd name="connsiteY6" fmla="*/ 2182813 h 2734469"/>
            <a:gd name="connsiteX7" fmla="*/ 2842301 w 3059906"/>
            <a:gd name="connsiteY7" fmla="*/ 2734469 h 2734469"/>
            <a:gd name="connsiteX8" fmla="*/ 0 w 3059906"/>
            <a:gd name="connsiteY8" fmla="*/ 2718594 h 2734469"/>
            <a:gd name="connsiteX0" fmla="*/ 0 w 2842301"/>
            <a:gd name="connsiteY0" fmla="*/ 2718594 h 2734469"/>
            <a:gd name="connsiteX1" fmla="*/ 3969 w 2842301"/>
            <a:gd name="connsiteY1" fmla="*/ 2182813 h 2734469"/>
            <a:gd name="connsiteX2" fmla="*/ 900906 w 2842301"/>
            <a:gd name="connsiteY2" fmla="*/ 2182813 h 2734469"/>
            <a:gd name="connsiteX3" fmla="*/ 1230313 w 2842301"/>
            <a:gd name="connsiteY3" fmla="*/ 0 h 2734469"/>
            <a:gd name="connsiteX4" fmla="*/ 1531938 w 2842301"/>
            <a:gd name="connsiteY4" fmla="*/ 3969 h 2734469"/>
            <a:gd name="connsiteX5" fmla="*/ 1535906 w 2842301"/>
            <a:gd name="connsiteY5" fmla="*/ 2190750 h 2734469"/>
            <a:gd name="connsiteX6" fmla="*/ 2838344 w 2842301"/>
            <a:gd name="connsiteY6" fmla="*/ 2187066 h 2734469"/>
            <a:gd name="connsiteX7" fmla="*/ 2842301 w 2842301"/>
            <a:gd name="connsiteY7" fmla="*/ 2734469 h 2734469"/>
            <a:gd name="connsiteX8" fmla="*/ 0 w 2842301"/>
            <a:gd name="connsiteY8" fmla="*/ 2718594 h 2734469"/>
            <a:gd name="connsiteX0" fmla="*/ 0 w 2850214"/>
            <a:gd name="connsiteY0" fmla="*/ 2718594 h 2721710"/>
            <a:gd name="connsiteX1" fmla="*/ 3969 w 2850214"/>
            <a:gd name="connsiteY1" fmla="*/ 2182813 h 2721710"/>
            <a:gd name="connsiteX2" fmla="*/ 900906 w 2850214"/>
            <a:gd name="connsiteY2" fmla="*/ 2182813 h 2721710"/>
            <a:gd name="connsiteX3" fmla="*/ 1230313 w 2850214"/>
            <a:gd name="connsiteY3" fmla="*/ 0 h 2721710"/>
            <a:gd name="connsiteX4" fmla="*/ 1531938 w 2850214"/>
            <a:gd name="connsiteY4" fmla="*/ 3969 h 2721710"/>
            <a:gd name="connsiteX5" fmla="*/ 1535906 w 2850214"/>
            <a:gd name="connsiteY5" fmla="*/ 2190750 h 2721710"/>
            <a:gd name="connsiteX6" fmla="*/ 2838344 w 2850214"/>
            <a:gd name="connsiteY6" fmla="*/ 2187066 h 2721710"/>
            <a:gd name="connsiteX7" fmla="*/ 2850214 w 2850214"/>
            <a:gd name="connsiteY7" fmla="*/ 2721710 h 2721710"/>
            <a:gd name="connsiteX8" fmla="*/ 0 w 2850214"/>
            <a:gd name="connsiteY8" fmla="*/ 2718594 h 2721710"/>
            <a:gd name="connsiteX0" fmla="*/ 0 w 2838344"/>
            <a:gd name="connsiteY0" fmla="*/ 2718594 h 2721710"/>
            <a:gd name="connsiteX1" fmla="*/ 3969 w 2838344"/>
            <a:gd name="connsiteY1" fmla="*/ 2182813 h 2721710"/>
            <a:gd name="connsiteX2" fmla="*/ 900906 w 2838344"/>
            <a:gd name="connsiteY2" fmla="*/ 2182813 h 2721710"/>
            <a:gd name="connsiteX3" fmla="*/ 1230313 w 2838344"/>
            <a:gd name="connsiteY3" fmla="*/ 0 h 2721710"/>
            <a:gd name="connsiteX4" fmla="*/ 1531938 w 2838344"/>
            <a:gd name="connsiteY4" fmla="*/ 3969 h 2721710"/>
            <a:gd name="connsiteX5" fmla="*/ 1535906 w 2838344"/>
            <a:gd name="connsiteY5" fmla="*/ 2190750 h 2721710"/>
            <a:gd name="connsiteX6" fmla="*/ 2838344 w 2838344"/>
            <a:gd name="connsiteY6" fmla="*/ 2187066 h 2721710"/>
            <a:gd name="connsiteX7" fmla="*/ 2838344 w 2838344"/>
            <a:gd name="connsiteY7" fmla="*/ 2721710 h 2721710"/>
            <a:gd name="connsiteX8" fmla="*/ 0 w 2838344"/>
            <a:gd name="connsiteY8" fmla="*/ 2718594 h 2721710"/>
            <a:gd name="connsiteX0" fmla="*/ 0 w 2838344"/>
            <a:gd name="connsiteY0" fmla="*/ 2718594 h 2721710"/>
            <a:gd name="connsiteX1" fmla="*/ 3969 w 2838344"/>
            <a:gd name="connsiteY1" fmla="*/ 2182813 h 2721710"/>
            <a:gd name="connsiteX2" fmla="*/ 900906 w 2838344"/>
            <a:gd name="connsiteY2" fmla="*/ 2182813 h 2721710"/>
            <a:gd name="connsiteX3" fmla="*/ 1230313 w 2838344"/>
            <a:gd name="connsiteY3" fmla="*/ 0 h 2721710"/>
            <a:gd name="connsiteX4" fmla="*/ 1531938 w 2838344"/>
            <a:gd name="connsiteY4" fmla="*/ 3969 h 2721710"/>
            <a:gd name="connsiteX5" fmla="*/ 1618968 w 2838344"/>
            <a:gd name="connsiteY5" fmla="*/ 2184797 h 2721710"/>
            <a:gd name="connsiteX6" fmla="*/ 2838344 w 2838344"/>
            <a:gd name="connsiteY6" fmla="*/ 2187066 h 2721710"/>
            <a:gd name="connsiteX7" fmla="*/ 2838344 w 2838344"/>
            <a:gd name="connsiteY7" fmla="*/ 2721710 h 2721710"/>
            <a:gd name="connsiteX8" fmla="*/ 0 w 2838344"/>
            <a:gd name="connsiteY8" fmla="*/ 2718594 h 2721710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09463 w 2838344"/>
            <a:gd name="connsiteY4" fmla="*/ 0 h 2723695"/>
            <a:gd name="connsiteX5" fmla="*/ 1618968 w 2838344"/>
            <a:gd name="connsiteY5" fmla="*/ 2186782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18968 w 2838344"/>
            <a:gd name="connsiteY5" fmla="*/ 2186782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32651 w 2838344"/>
            <a:gd name="connsiteY5" fmla="*/ 2180926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32651 w 2838344"/>
            <a:gd name="connsiteY5" fmla="*/ 2180926 h 2723695"/>
            <a:gd name="connsiteX6" fmla="*/ 2838344 w 2838344"/>
            <a:gd name="connsiteY6" fmla="*/ 2180266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46068"/>
            <a:gd name="connsiteY0" fmla="*/ 2720579 h 2810185"/>
            <a:gd name="connsiteX1" fmla="*/ 3969 w 2846068"/>
            <a:gd name="connsiteY1" fmla="*/ 2184798 h 2810185"/>
            <a:gd name="connsiteX2" fmla="*/ 900906 w 2846068"/>
            <a:gd name="connsiteY2" fmla="*/ 2184798 h 2810185"/>
            <a:gd name="connsiteX3" fmla="*/ 1230313 w 2846068"/>
            <a:gd name="connsiteY3" fmla="*/ 1985 h 2810185"/>
            <a:gd name="connsiteX4" fmla="*/ 1631356 w 2846068"/>
            <a:gd name="connsiteY4" fmla="*/ 0 h 2810185"/>
            <a:gd name="connsiteX5" fmla="*/ 1632651 w 2846068"/>
            <a:gd name="connsiteY5" fmla="*/ 2180926 h 2810185"/>
            <a:gd name="connsiteX6" fmla="*/ 2838344 w 2846068"/>
            <a:gd name="connsiteY6" fmla="*/ 2180266 h 2810185"/>
            <a:gd name="connsiteX7" fmla="*/ 2846068 w 2846068"/>
            <a:gd name="connsiteY7" fmla="*/ 2810185 h 2810185"/>
            <a:gd name="connsiteX8" fmla="*/ 0 w 2846068"/>
            <a:gd name="connsiteY8" fmla="*/ 2720579 h 2810185"/>
            <a:gd name="connsiteX0" fmla="*/ 0 w 2853791"/>
            <a:gd name="connsiteY0" fmla="*/ 2801488 h 2810185"/>
            <a:gd name="connsiteX1" fmla="*/ 11692 w 2853791"/>
            <a:gd name="connsiteY1" fmla="*/ 2184798 h 2810185"/>
            <a:gd name="connsiteX2" fmla="*/ 908629 w 2853791"/>
            <a:gd name="connsiteY2" fmla="*/ 2184798 h 2810185"/>
            <a:gd name="connsiteX3" fmla="*/ 1238036 w 2853791"/>
            <a:gd name="connsiteY3" fmla="*/ 1985 h 2810185"/>
            <a:gd name="connsiteX4" fmla="*/ 1639079 w 2853791"/>
            <a:gd name="connsiteY4" fmla="*/ 0 h 2810185"/>
            <a:gd name="connsiteX5" fmla="*/ 1640374 w 2853791"/>
            <a:gd name="connsiteY5" fmla="*/ 2180926 h 2810185"/>
            <a:gd name="connsiteX6" fmla="*/ 2846067 w 2853791"/>
            <a:gd name="connsiteY6" fmla="*/ 2180266 h 2810185"/>
            <a:gd name="connsiteX7" fmla="*/ 2853791 w 2853791"/>
            <a:gd name="connsiteY7" fmla="*/ 2810185 h 2810185"/>
            <a:gd name="connsiteX8" fmla="*/ 0 w 2853791"/>
            <a:gd name="connsiteY8" fmla="*/ 2801488 h 2810185"/>
            <a:gd name="connsiteX0" fmla="*/ 11477 w 2842099"/>
            <a:gd name="connsiteY0" fmla="*/ 2821018 h 2821018"/>
            <a:gd name="connsiteX1" fmla="*/ 0 w 2842099"/>
            <a:gd name="connsiteY1" fmla="*/ 2184798 h 2821018"/>
            <a:gd name="connsiteX2" fmla="*/ 896937 w 2842099"/>
            <a:gd name="connsiteY2" fmla="*/ 2184798 h 2821018"/>
            <a:gd name="connsiteX3" fmla="*/ 1226344 w 2842099"/>
            <a:gd name="connsiteY3" fmla="*/ 1985 h 2821018"/>
            <a:gd name="connsiteX4" fmla="*/ 1627387 w 2842099"/>
            <a:gd name="connsiteY4" fmla="*/ 0 h 2821018"/>
            <a:gd name="connsiteX5" fmla="*/ 1628682 w 2842099"/>
            <a:gd name="connsiteY5" fmla="*/ 2180926 h 2821018"/>
            <a:gd name="connsiteX6" fmla="*/ 2834375 w 2842099"/>
            <a:gd name="connsiteY6" fmla="*/ 2180266 h 2821018"/>
            <a:gd name="connsiteX7" fmla="*/ 2842099 w 2842099"/>
            <a:gd name="connsiteY7" fmla="*/ 2810185 h 2821018"/>
            <a:gd name="connsiteX8" fmla="*/ 11477 w 2842099"/>
            <a:gd name="connsiteY8" fmla="*/ 2821018 h 2821018"/>
            <a:gd name="connsiteX0" fmla="*/ 11477 w 2835118"/>
            <a:gd name="connsiteY0" fmla="*/ 2821018 h 2821018"/>
            <a:gd name="connsiteX1" fmla="*/ 0 w 2835118"/>
            <a:gd name="connsiteY1" fmla="*/ 2184798 h 2821018"/>
            <a:gd name="connsiteX2" fmla="*/ 896937 w 2835118"/>
            <a:gd name="connsiteY2" fmla="*/ 2184798 h 2821018"/>
            <a:gd name="connsiteX3" fmla="*/ 1226344 w 2835118"/>
            <a:gd name="connsiteY3" fmla="*/ 1985 h 2821018"/>
            <a:gd name="connsiteX4" fmla="*/ 1627387 w 2835118"/>
            <a:gd name="connsiteY4" fmla="*/ 0 h 2821018"/>
            <a:gd name="connsiteX5" fmla="*/ 1628682 w 2835118"/>
            <a:gd name="connsiteY5" fmla="*/ 2180926 h 2821018"/>
            <a:gd name="connsiteX6" fmla="*/ 2834375 w 2835118"/>
            <a:gd name="connsiteY6" fmla="*/ 2180266 h 2821018"/>
            <a:gd name="connsiteX7" fmla="*/ 2834376 w 2835118"/>
            <a:gd name="connsiteY7" fmla="*/ 2801814 h 2821018"/>
            <a:gd name="connsiteX8" fmla="*/ 11477 w 2835118"/>
            <a:gd name="connsiteY8" fmla="*/ 2821018 h 2821018"/>
            <a:gd name="connsiteX0" fmla="*/ 11477 w 2835118"/>
            <a:gd name="connsiteY0" fmla="*/ 2821018 h 2821018"/>
            <a:gd name="connsiteX1" fmla="*/ 0 w 2835118"/>
            <a:gd name="connsiteY1" fmla="*/ 2184798 h 2821018"/>
            <a:gd name="connsiteX2" fmla="*/ 896937 w 2835118"/>
            <a:gd name="connsiteY2" fmla="*/ 2184798 h 2821018"/>
            <a:gd name="connsiteX3" fmla="*/ 1226344 w 2835118"/>
            <a:gd name="connsiteY3" fmla="*/ 1985 h 2821018"/>
            <a:gd name="connsiteX4" fmla="*/ 1627387 w 2835118"/>
            <a:gd name="connsiteY4" fmla="*/ 0 h 2821018"/>
            <a:gd name="connsiteX5" fmla="*/ 1628682 w 2835118"/>
            <a:gd name="connsiteY5" fmla="*/ 2180926 h 2821018"/>
            <a:gd name="connsiteX6" fmla="*/ 2834375 w 2835118"/>
            <a:gd name="connsiteY6" fmla="*/ 2180266 h 2821018"/>
            <a:gd name="connsiteX7" fmla="*/ 2834377 w 2835118"/>
            <a:gd name="connsiteY7" fmla="*/ 2810184 h 2821018"/>
            <a:gd name="connsiteX8" fmla="*/ 11477 w 2835118"/>
            <a:gd name="connsiteY8" fmla="*/ 2821018 h 2821018"/>
            <a:gd name="connsiteX0" fmla="*/ 11477 w 2836953"/>
            <a:gd name="connsiteY0" fmla="*/ 2821018 h 2821018"/>
            <a:gd name="connsiteX1" fmla="*/ 0 w 2836953"/>
            <a:gd name="connsiteY1" fmla="*/ 2184798 h 2821018"/>
            <a:gd name="connsiteX2" fmla="*/ 896937 w 2836953"/>
            <a:gd name="connsiteY2" fmla="*/ 2184798 h 2821018"/>
            <a:gd name="connsiteX3" fmla="*/ 1226344 w 2836953"/>
            <a:gd name="connsiteY3" fmla="*/ 1985 h 2821018"/>
            <a:gd name="connsiteX4" fmla="*/ 1627387 w 2836953"/>
            <a:gd name="connsiteY4" fmla="*/ 0 h 2821018"/>
            <a:gd name="connsiteX5" fmla="*/ 1628682 w 2836953"/>
            <a:gd name="connsiteY5" fmla="*/ 2180926 h 2821018"/>
            <a:gd name="connsiteX6" fmla="*/ 2834375 w 2836953"/>
            <a:gd name="connsiteY6" fmla="*/ 2180266 h 2821018"/>
            <a:gd name="connsiteX7" fmla="*/ 2836953 w 2836953"/>
            <a:gd name="connsiteY7" fmla="*/ 2818553 h 2821018"/>
            <a:gd name="connsiteX8" fmla="*/ 11477 w 2836953"/>
            <a:gd name="connsiteY8" fmla="*/ 2821018 h 2821018"/>
            <a:gd name="connsiteX0" fmla="*/ 11477 w 2836953"/>
            <a:gd name="connsiteY0" fmla="*/ 2821018 h 2826923"/>
            <a:gd name="connsiteX1" fmla="*/ 0 w 2836953"/>
            <a:gd name="connsiteY1" fmla="*/ 2184798 h 2826923"/>
            <a:gd name="connsiteX2" fmla="*/ 896937 w 2836953"/>
            <a:gd name="connsiteY2" fmla="*/ 2184798 h 2826923"/>
            <a:gd name="connsiteX3" fmla="*/ 1226344 w 2836953"/>
            <a:gd name="connsiteY3" fmla="*/ 1985 h 2826923"/>
            <a:gd name="connsiteX4" fmla="*/ 1627387 w 2836953"/>
            <a:gd name="connsiteY4" fmla="*/ 0 h 2826923"/>
            <a:gd name="connsiteX5" fmla="*/ 1628682 w 2836953"/>
            <a:gd name="connsiteY5" fmla="*/ 2180926 h 2826923"/>
            <a:gd name="connsiteX6" fmla="*/ 2834375 w 2836953"/>
            <a:gd name="connsiteY6" fmla="*/ 2180266 h 2826923"/>
            <a:gd name="connsiteX7" fmla="*/ 2836953 w 2836953"/>
            <a:gd name="connsiteY7" fmla="*/ 2826923 h 2826923"/>
            <a:gd name="connsiteX8" fmla="*/ 11477 w 2836953"/>
            <a:gd name="connsiteY8" fmla="*/ 2821018 h 2826923"/>
            <a:gd name="connsiteX0" fmla="*/ 11477 w 2834908"/>
            <a:gd name="connsiteY0" fmla="*/ 2821018 h 2821018"/>
            <a:gd name="connsiteX1" fmla="*/ 0 w 2834908"/>
            <a:gd name="connsiteY1" fmla="*/ 2184798 h 2821018"/>
            <a:gd name="connsiteX2" fmla="*/ 896937 w 2834908"/>
            <a:gd name="connsiteY2" fmla="*/ 2184798 h 2821018"/>
            <a:gd name="connsiteX3" fmla="*/ 1226344 w 2834908"/>
            <a:gd name="connsiteY3" fmla="*/ 1985 h 2821018"/>
            <a:gd name="connsiteX4" fmla="*/ 1627387 w 2834908"/>
            <a:gd name="connsiteY4" fmla="*/ 0 h 2821018"/>
            <a:gd name="connsiteX5" fmla="*/ 1628682 w 2834908"/>
            <a:gd name="connsiteY5" fmla="*/ 2180926 h 2821018"/>
            <a:gd name="connsiteX6" fmla="*/ 2834375 w 2834908"/>
            <a:gd name="connsiteY6" fmla="*/ 2180266 h 2821018"/>
            <a:gd name="connsiteX7" fmla="*/ 2831804 w 2834908"/>
            <a:gd name="connsiteY7" fmla="*/ 2812973 h 2821018"/>
            <a:gd name="connsiteX8" fmla="*/ 11477 w 2834908"/>
            <a:gd name="connsiteY8" fmla="*/ 2821018 h 2821018"/>
            <a:gd name="connsiteX0" fmla="*/ 11477 w 2835073"/>
            <a:gd name="connsiteY0" fmla="*/ 2821018 h 2829204"/>
            <a:gd name="connsiteX1" fmla="*/ 0 w 2835073"/>
            <a:gd name="connsiteY1" fmla="*/ 2184798 h 2829204"/>
            <a:gd name="connsiteX2" fmla="*/ 896937 w 2835073"/>
            <a:gd name="connsiteY2" fmla="*/ 2184798 h 2829204"/>
            <a:gd name="connsiteX3" fmla="*/ 1226344 w 2835073"/>
            <a:gd name="connsiteY3" fmla="*/ 1985 h 2829204"/>
            <a:gd name="connsiteX4" fmla="*/ 1627387 w 2835073"/>
            <a:gd name="connsiteY4" fmla="*/ 0 h 2829204"/>
            <a:gd name="connsiteX5" fmla="*/ 1628682 w 2835073"/>
            <a:gd name="connsiteY5" fmla="*/ 2180926 h 2829204"/>
            <a:gd name="connsiteX6" fmla="*/ 2834375 w 2835073"/>
            <a:gd name="connsiteY6" fmla="*/ 2180266 h 2829204"/>
            <a:gd name="connsiteX7" fmla="*/ 2833959 w 2835073"/>
            <a:gd name="connsiteY7" fmla="*/ 2829204 h 2829204"/>
            <a:gd name="connsiteX8" fmla="*/ 11477 w 2835073"/>
            <a:gd name="connsiteY8" fmla="*/ 2821018 h 2829204"/>
            <a:gd name="connsiteX0" fmla="*/ 2858 w 2835073"/>
            <a:gd name="connsiteY0" fmla="*/ 2830293 h 2830293"/>
            <a:gd name="connsiteX1" fmla="*/ 0 w 2835073"/>
            <a:gd name="connsiteY1" fmla="*/ 2184798 h 2830293"/>
            <a:gd name="connsiteX2" fmla="*/ 896937 w 2835073"/>
            <a:gd name="connsiteY2" fmla="*/ 2184798 h 2830293"/>
            <a:gd name="connsiteX3" fmla="*/ 1226344 w 2835073"/>
            <a:gd name="connsiteY3" fmla="*/ 1985 h 2830293"/>
            <a:gd name="connsiteX4" fmla="*/ 1627387 w 2835073"/>
            <a:gd name="connsiteY4" fmla="*/ 0 h 2830293"/>
            <a:gd name="connsiteX5" fmla="*/ 1628682 w 2835073"/>
            <a:gd name="connsiteY5" fmla="*/ 2180926 h 2830293"/>
            <a:gd name="connsiteX6" fmla="*/ 2834375 w 2835073"/>
            <a:gd name="connsiteY6" fmla="*/ 2180266 h 2830293"/>
            <a:gd name="connsiteX7" fmla="*/ 2833959 w 2835073"/>
            <a:gd name="connsiteY7" fmla="*/ 2829204 h 2830293"/>
            <a:gd name="connsiteX8" fmla="*/ 2858 w 2835073"/>
            <a:gd name="connsiteY8" fmla="*/ 2830293 h 2830293"/>
            <a:gd name="connsiteX0" fmla="*/ 2858 w 2835073"/>
            <a:gd name="connsiteY0" fmla="*/ 2828308 h 2828308"/>
            <a:gd name="connsiteX1" fmla="*/ 0 w 2835073"/>
            <a:gd name="connsiteY1" fmla="*/ 2182813 h 2828308"/>
            <a:gd name="connsiteX2" fmla="*/ 896937 w 2835073"/>
            <a:gd name="connsiteY2" fmla="*/ 2182813 h 2828308"/>
            <a:gd name="connsiteX3" fmla="*/ 1226344 w 2835073"/>
            <a:gd name="connsiteY3" fmla="*/ 0 h 2828308"/>
            <a:gd name="connsiteX4" fmla="*/ 1624000 w 2835073"/>
            <a:gd name="connsiteY4" fmla="*/ 993319 h 2828308"/>
            <a:gd name="connsiteX5" fmla="*/ 1628682 w 2835073"/>
            <a:gd name="connsiteY5" fmla="*/ 2178941 h 2828308"/>
            <a:gd name="connsiteX6" fmla="*/ 2834375 w 2835073"/>
            <a:gd name="connsiteY6" fmla="*/ 2178281 h 2828308"/>
            <a:gd name="connsiteX7" fmla="*/ 2833959 w 2835073"/>
            <a:gd name="connsiteY7" fmla="*/ 2827219 h 2828308"/>
            <a:gd name="connsiteX8" fmla="*/ 2858 w 2835073"/>
            <a:gd name="connsiteY8" fmla="*/ 2828308 h 2828308"/>
            <a:gd name="connsiteX0" fmla="*/ 2858 w 2835073"/>
            <a:gd name="connsiteY0" fmla="*/ 1840431 h 1840431"/>
            <a:gd name="connsiteX1" fmla="*/ 0 w 2835073"/>
            <a:gd name="connsiteY1" fmla="*/ 1194936 h 1840431"/>
            <a:gd name="connsiteX2" fmla="*/ 896937 w 2835073"/>
            <a:gd name="connsiteY2" fmla="*/ 1194936 h 1840431"/>
            <a:gd name="connsiteX3" fmla="*/ 1080718 w 2835073"/>
            <a:gd name="connsiteY3" fmla="*/ 0 h 1840431"/>
            <a:gd name="connsiteX4" fmla="*/ 1624000 w 2835073"/>
            <a:gd name="connsiteY4" fmla="*/ 5442 h 1840431"/>
            <a:gd name="connsiteX5" fmla="*/ 1628682 w 2835073"/>
            <a:gd name="connsiteY5" fmla="*/ 1191064 h 1840431"/>
            <a:gd name="connsiteX6" fmla="*/ 2834375 w 2835073"/>
            <a:gd name="connsiteY6" fmla="*/ 1190404 h 1840431"/>
            <a:gd name="connsiteX7" fmla="*/ 2833959 w 2835073"/>
            <a:gd name="connsiteY7" fmla="*/ 1839342 h 1840431"/>
            <a:gd name="connsiteX8" fmla="*/ 2858 w 2835073"/>
            <a:gd name="connsiteY8" fmla="*/ 1840431 h 1840431"/>
            <a:gd name="connsiteX0" fmla="*/ 2858 w 2835073"/>
            <a:gd name="connsiteY0" fmla="*/ 1840431 h 1840431"/>
            <a:gd name="connsiteX1" fmla="*/ 0 w 2835073"/>
            <a:gd name="connsiteY1" fmla="*/ 1194936 h 1840431"/>
            <a:gd name="connsiteX2" fmla="*/ 896937 w 2835073"/>
            <a:gd name="connsiteY2" fmla="*/ 1194936 h 1840431"/>
            <a:gd name="connsiteX3" fmla="*/ 1080718 w 2835073"/>
            <a:gd name="connsiteY3" fmla="*/ 0 h 1840431"/>
            <a:gd name="connsiteX4" fmla="*/ 1637547 w 2835073"/>
            <a:gd name="connsiteY4" fmla="*/ 5442 h 1840431"/>
            <a:gd name="connsiteX5" fmla="*/ 1628682 w 2835073"/>
            <a:gd name="connsiteY5" fmla="*/ 1191064 h 1840431"/>
            <a:gd name="connsiteX6" fmla="*/ 2834375 w 2835073"/>
            <a:gd name="connsiteY6" fmla="*/ 1190404 h 1840431"/>
            <a:gd name="connsiteX7" fmla="*/ 2833959 w 2835073"/>
            <a:gd name="connsiteY7" fmla="*/ 1839342 h 1840431"/>
            <a:gd name="connsiteX8" fmla="*/ 2858 w 2835073"/>
            <a:gd name="connsiteY8" fmla="*/ 1840431 h 18404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35073" h="1840431">
              <a:moveTo>
                <a:pt x="2858" y="1840431"/>
              </a:moveTo>
              <a:cubicBezTo>
                <a:pt x="1905" y="1625266"/>
                <a:pt x="953" y="1410101"/>
                <a:pt x="0" y="1194936"/>
              </a:cubicBezTo>
              <a:lnTo>
                <a:pt x="896937" y="1194936"/>
              </a:lnTo>
              <a:lnTo>
                <a:pt x="1080718" y="0"/>
              </a:lnTo>
              <a:lnTo>
                <a:pt x="1637547" y="5442"/>
              </a:lnTo>
              <a:cubicBezTo>
                <a:pt x="1638870" y="734369"/>
                <a:pt x="1627359" y="462137"/>
                <a:pt x="1628682" y="1191064"/>
              </a:cubicBezTo>
              <a:lnTo>
                <a:pt x="2834375" y="1190404"/>
              </a:lnTo>
              <a:cubicBezTo>
                <a:pt x="2836950" y="1400377"/>
                <a:pt x="2831384" y="1629369"/>
                <a:pt x="2833959" y="1839342"/>
              </a:cubicBezTo>
              <a:lnTo>
                <a:pt x="2858" y="1840431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537882</xdr:colOff>
      <xdr:row>408</xdr:row>
      <xdr:rowOff>170492</xdr:rowOff>
    </xdr:from>
    <xdr:to>
      <xdr:col>12</xdr:col>
      <xdr:colOff>257735</xdr:colOff>
      <xdr:row>410</xdr:row>
      <xdr:rowOff>159286</xdr:rowOff>
    </xdr:to>
    <xdr:sp macro="" textlink="">
      <xdr:nvSpPr>
        <xdr:cNvPr id="312" name="Rectángulo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>
          <a:off x="7695239" y="75744563"/>
          <a:ext cx="1339103" cy="3697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522862</xdr:colOff>
      <xdr:row>405</xdr:row>
      <xdr:rowOff>172058</xdr:rowOff>
    </xdr:from>
    <xdr:to>
      <xdr:col>12</xdr:col>
      <xdr:colOff>263273</xdr:colOff>
      <xdr:row>407</xdr:row>
      <xdr:rowOff>160852</xdr:rowOff>
    </xdr:to>
    <xdr:sp macro="" textlink="">
      <xdr:nvSpPr>
        <xdr:cNvPr id="420" name="Rectángulo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7664585" y="75176367"/>
          <a:ext cx="1361688" cy="3697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167629</xdr:colOff>
      <xdr:row>411</xdr:row>
      <xdr:rowOff>135512</xdr:rowOff>
    </xdr:from>
    <xdr:to>
      <xdr:col>12</xdr:col>
      <xdr:colOff>246529</xdr:colOff>
      <xdr:row>414</xdr:row>
      <xdr:rowOff>182737</xdr:rowOff>
    </xdr:to>
    <xdr:sp macro="" textlink="">
      <xdr:nvSpPr>
        <xdr:cNvPr id="314" name="Forma libre: forma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5830077" y="76282960"/>
          <a:ext cx="3179452" cy="618725"/>
        </a:xfrm>
        <a:custGeom>
          <a:avLst/>
          <a:gdLst>
            <a:gd name="connsiteX0" fmla="*/ 67236 w 3238500"/>
            <a:gd name="connsiteY0" fmla="*/ 0 h 593912"/>
            <a:gd name="connsiteX1" fmla="*/ 3238500 w 3238500"/>
            <a:gd name="connsiteY1" fmla="*/ 11206 h 593912"/>
            <a:gd name="connsiteX2" fmla="*/ 3227294 w 3238500"/>
            <a:gd name="connsiteY2" fmla="*/ 313765 h 593912"/>
            <a:gd name="connsiteX3" fmla="*/ 0 w 3238500"/>
            <a:gd name="connsiteY3" fmla="*/ 593912 h 593912"/>
            <a:gd name="connsiteX4" fmla="*/ 67236 w 3238500"/>
            <a:gd name="connsiteY4" fmla="*/ 0 h 593912"/>
            <a:gd name="connsiteX0" fmla="*/ 0 w 3171264"/>
            <a:gd name="connsiteY0" fmla="*/ 0 h 605118"/>
            <a:gd name="connsiteX1" fmla="*/ 3171264 w 3171264"/>
            <a:gd name="connsiteY1" fmla="*/ 11206 h 605118"/>
            <a:gd name="connsiteX2" fmla="*/ 3160058 w 3171264"/>
            <a:gd name="connsiteY2" fmla="*/ 313765 h 605118"/>
            <a:gd name="connsiteX3" fmla="*/ 22411 w 3171264"/>
            <a:gd name="connsiteY3" fmla="*/ 605118 h 605118"/>
            <a:gd name="connsiteX4" fmla="*/ 0 w 3171264"/>
            <a:gd name="connsiteY4" fmla="*/ 0 h 605118"/>
            <a:gd name="connsiteX0" fmla="*/ 11697 w 3182961"/>
            <a:gd name="connsiteY0" fmla="*/ 0 h 618725"/>
            <a:gd name="connsiteX1" fmla="*/ 3182961 w 3182961"/>
            <a:gd name="connsiteY1" fmla="*/ 11206 h 618725"/>
            <a:gd name="connsiteX2" fmla="*/ 3171755 w 3182961"/>
            <a:gd name="connsiteY2" fmla="*/ 313765 h 618725"/>
            <a:gd name="connsiteX3" fmla="*/ 0 w 3182961"/>
            <a:gd name="connsiteY3" fmla="*/ 618725 h 618725"/>
            <a:gd name="connsiteX4" fmla="*/ 11697 w 3182961"/>
            <a:gd name="connsiteY4" fmla="*/ 0 h 618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182961" h="618725">
              <a:moveTo>
                <a:pt x="11697" y="0"/>
              </a:moveTo>
              <a:lnTo>
                <a:pt x="3182961" y="11206"/>
              </a:lnTo>
              <a:lnTo>
                <a:pt x="3171755" y="313765"/>
              </a:lnTo>
              <a:lnTo>
                <a:pt x="0" y="618725"/>
              </a:lnTo>
              <a:lnTo>
                <a:pt x="11697" y="0"/>
              </a:lnTo>
              <a:close/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636351</xdr:colOff>
      <xdr:row>405</xdr:row>
      <xdr:rowOff>170233</xdr:rowOff>
    </xdr:from>
    <xdr:to>
      <xdr:col>10</xdr:col>
      <xdr:colOff>640405</xdr:colOff>
      <xdr:row>407</xdr:row>
      <xdr:rowOff>154020</xdr:rowOff>
    </xdr:to>
    <xdr:cxnSp macro="">
      <xdr:nvCxnSpPr>
        <xdr:cNvPr id="316" name="Conector recto de flecha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/>
      </xdr:nvCxnSpPr>
      <xdr:spPr>
        <a:xfrm flipH="1">
          <a:off x="7778074" y="75174542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30804</xdr:colOff>
      <xdr:row>405</xdr:row>
      <xdr:rowOff>168613</xdr:rowOff>
    </xdr:from>
    <xdr:to>
      <xdr:col>11</xdr:col>
      <xdr:colOff>34858</xdr:colOff>
      <xdr:row>407</xdr:row>
      <xdr:rowOff>152400</xdr:rowOff>
    </xdr:to>
    <xdr:cxnSp macro="">
      <xdr:nvCxnSpPr>
        <xdr:cNvPr id="425" name="Conector recto de flecha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/>
      </xdr:nvCxnSpPr>
      <xdr:spPr>
        <a:xfrm flipH="1">
          <a:off x="7934527" y="75172922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183204</xdr:colOff>
      <xdr:row>405</xdr:row>
      <xdr:rowOff>166993</xdr:rowOff>
    </xdr:from>
    <xdr:to>
      <xdr:col>11</xdr:col>
      <xdr:colOff>187258</xdr:colOff>
      <xdr:row>407</xdr:row>
      <xdr:rowOff>150780</xdr:rowOff>
    </xdr:to>
    <xdr:cxnSp macro="">
      <xdr:nvCxnSpPr>
        <xdr:cNvPr id="426" name="Conector recto de flecha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/>
      </xdr:nvCxnSpPr>
      <xdr:spPr>
        <a:xfrm flipH="1">
          <a:off x="8086927" y="75171302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335604</xdr:colOff>
      <xdr:row>405</xdr:row>
      <xdr:rowOff>165373</xdr:rowOff>
    </xdr:from>
    <xdr:to>
      <xdr:col>11</xdr:col>
      <xdr:colOff>339658</xdr:colOff>
      <xdr:row>407</xdr:row>
      <xdr:rowOff>149160</xdr:rowOff>
    </xdr:to>
    <xdr:cxnSp macro="">
      <xdr:nvCxnSpPr>
        <xdr:cNvPr id="427" name="Conector recto de flecha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/>
      </xdr:nvCxnSpPr>
      <xdr:spPr>
        <a:xfrm flipH="1">
          <a:off x="8239327" y="75169682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488004</xdr:colOff>
      <xdr:row>405</xdr:row>
      <xdr:rowOff>167807</xdr:rowOff>
    </xdr:from>
    <xdr:to>
      <xdr:col>11</xdr:col>
      <xdr:colOff>492058</xdr:colOff>
      <xdr:row>407</xdr:row>
      <xdr:rowOff>151594</xdr:rowOff>
    </xdr:to>
    <xdr:cxnSp macro="">
      <xdr:nvCxnSpPr>
        <xdr:cNvPr id="428" name="Conector recto de flecha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/>
      </xdr:nvCxnSpPr>
      <xdr:spPr>
        <a:xfrm flipH="1">
          <a:off x="8391727" y="75172116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640404</xdr:colOff>
      <xdr:row>405</xdr:row>
      <xdr:rowOff>162133</xdr:rowOff>
    </xdr:from>
    <xdr:to>
      <xdr:col>11</xdr:col>
      <xdr:colOff>644458</xdr:colOff>
      <xdr:row>407</xdr:row>
      <xdr:rowOff>145920</xdr:rowOff>
    </xdr:to>
    <xdr:cxnSp macro="">
      <xdr:nvCxnSpPr>
        <xdr:cNvPr id="429" name="Conector recto de flecha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/>
      </xdr:nvCxnSpPr>
      <xdr:spPr>
        <a:xfrm flipH="1">
          <a:off x="8544127" y="75166442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792804</xdr:colOff>
      <xdr:row>405</xdr:row>
      <xdr:rowOff>164566</xdr:rowOff>
    </xdr:from>
    <xdr:to>
      <xdr:col>11</xdr:col>
      <xdr:colOff>796858</xdr:colOff>
      <xdr:row>407</xdr:row>
      <xdr:rowOff>148353</xdr:rowOff>
    </xdr:to>
    <xdr:cxnSp macro="">
      <xdr:nvCxnSpPr>
        <xdr:cNvPr id="430" name="Conector recto de flecha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/>
      </xdr:nvCxnSpPr>
      <xdr:spPr>
        <a:xfrm flipH="1">
          <a:off x="8696527" y="75168875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85927</xdr:colOff>
      <xdr:row>405</xdr:row>
      <xdr:rowOff>171051</xdr:rowOff>
    </xdr:from>
    <xdr:to>
      <xdr:col>12</xdr:col>
      <xdr:colOff>89981</xdr:colOff>
      <xdr:row>407</xdr:row>
      <xdr:rowOff>154838</xdr:rowOff>
    </xdr:to>
    <xdr:cxnSp macro="">
      <xdr:nvCxnSpPr>
        <xdr:cNvPr id="431" name="Conector recto de flecha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/>
      </xdr:nvCxnSpPr>
      <xdr:spPr>
        <a:xfrm flipH="1">
          <a:off x="8848927" y="75175360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258592</xdr:colOff>
      <xdr:row>405</xdr:row>
      <xdr:rowOff>169433</xdr:rowOff>
    </xdr:from>
    <xdr:to>
      <xdr:col>12</xdr:col>
      <xdr:colOff>262646</xdr:colOff>
      <xdr:row>407</xdr:row>
      <xdr:rowOff>153220</xdr:rowOff>
    </xdr:to>
    <xdr:cxnSp macro="">
      <xdr:nvCxnSpPr>
        <xdr:cNvPr id="432" name="Conector recto de flecha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/>
      </xdr:nvCxnSpPr>
      <xdr:spPr>
        <a:xfrm flipH="1">
          <a:off x="9021592" y="75173742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26751</xdr:colOff>
      <xdr:row>408</xdr:row>
      <xdr:rowOff>168609</xdr:rowOff>
    </xdr:from>
    <xdr:to>
      <xdr:col>11</xdr:col>
      <xdr:colOff>30805</xdr:colOff>
      <xdr:row>410</xdr:row>
      <xdr:rowOff>152396</xdr:rowOff>
    </xdr:to>
    <xdr:cxnSp macro="">
      <xdr:nvCxnSpPr>
        <xdr:cNvPr id="433" name="Conector recto de flecha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/>
      </xdr:nvCxnSpPr>
      <xdr:spPr>
        <a:xfrm flipH="1">
          <a:off x="7930474" y="75744418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183204</xdr:colOff>
      <xdr:row>408</xdr:row>
      <xdr:rowOff>175095</xdr:rowOff>
    </xdr:from>
    <xdr:to>
      <xdr:col>11</xdr:col>
      <xdr:colOff>187258</xdr:colOff>
      <xdr:row>410</xdr:row>
      <xdr:rowOff>158882</xdr:rowOff>
    </xdr:to>
    <xdr:cxnSp macro="">
      <xdr:nvCxnSpPr>
        <xdr:cNvPr id="434" name="Conector recto de flecha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/>
      </xdr:nvCxnSpPr>
      <xdr:spPr>
        <a:xfrm flipH="1">
          <a:off x="8086927" y="75750904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339657</xdr:colOff>
      <xdr:row>408</xdr:row>
      <xdr:rowOff>173473</xdr:rowOff>
    </xdr:from>
    <xdr:to>
      <xdr:col>11</xdr:col>
      <xdr:colOff>343711</xdr:colOff>
      <xdr:row>410</xdr:row>
      <xdr:rowOff>157260</xdr:rowOff>
    </xdr:to>
    <xdr:cxnSp macro="">
      <xdr:nvCxnSpPr>
        <xdr:cNvPr id="435" name="Conector recto de flecha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/>
      </xdr:nvCxnSpPr>
      <xdr:spPr>
        <a:xfrm flipH="1">
          <a:off x="8243380" y="75749282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496110</xdr:colOff>
      <xdr:row>408</xdr:row>
      <xdr:rowOff>175905</xdr:rowOff>
    </xdr:from>
    <xdr:to>
      <xdr:col>11</xdr:col>
      <xdr:colOff>500164</xdr:colOff>
      <xdr:row>410</xdr:row>
      <xdr:rowOff>159692</xdr:rowOff>
    </xdr:to>
    <xdr:cxnSp macro="">
      <xdr:nvCxnSpPr>
        <xdr:cNvPr id="436" name="Conector recto de flecha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/>
      </xdr:nvCxnSpPr>
      <xdr:spPr>
        <a:xfrm flipH="1">
          <a:off x="8399833" y="75751714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648510</xdr:colOff>
      <xdr:row>408</xdr:row>
      <xdr:rowOff>174285</xdr:rowOff>
    </xdr:from>
    <xdr:to>
      <xdr:col>11</xdr:col>
      <xdr:colOff>652564</xdr:colOff>
      <xdr:row>410</xdr:row>
      <xdr:rowOff>158072</xdr:rowOff>
    </xdr:to>
    <xdr:cxnSp macro="">
      <xdr:nvCxnSpPr>
        <xdr:cNvPr id="437" name="Conector recto de flecha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/>
      </xdr:nvCxnSpPr>
      <xdr:spPr>
        <a:xfrm flipH="1">
          <a:off x="8552233" y="75750094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804963</xdr:colOff>
      <xdr:row>408</xdr:row>
      <xdr:rowOff>172664</xdr:rowOff>
    </xdr:from>
    <xdr:to>
      <xdr:col>11</xdr:col>
      <xdr:colOff>809017</xdr:colOff>
      <xdr:row>410</xdr:row>
      <xdr:rowOff>156451</xdr:rowOff>
    </xdr:to>
    <xdr:cxnSp macro="">
      <xdr:nvCxnSpPr>
        <xdr:cNvPr id="438" name="Conector recto de flecha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/>
      </xdr:nvCxnSpPr>
      <xdr:spPr>
        <a:xfrm flipH="1">
          <a:off x="8708686" y="75748473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98086</xdr:colOff>
      <xdr:row>408</xdr:row>
      <xdr:rowOff>171045</xdr:rowOff>
    </xdr:from>
    <xdr:to>
      <xdr:col>12</xdr:col>
      <xdr:colOff>102140</xdr:colOff>
      <xdr:row>410</xdr:row>
      <xdr:rowOff>154832</xdr:rowOff>
    </xdr:to>
    <xdr:cxnSp macro="">
      <xdr:nvCxnSpPr>
        <xdr:cNvPr id="439" name="Conector recto de flecha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/>
      </xdr:nvCxnSpPr>
      <xdr:spPr>
        <a:xfrm flipH="1">
          <a:off x="8861086" y="75746854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258592</xdr:colOff>
      <xdr:row>408</xdr:row>
      <xdr:rowOff>165371</xdr:rowOff>
    </xdr:from>
    <xdr:to>
      <xdr:col>12</xdr:col>
      <xdr:colOff>262646</xdr:colOff>
      <xdr:row>410</xdr:row>
      <xdr:rowOff>149158</xdr:rowOff>
    </xdr:to>
    <xdr:cxnSp macro="">
      <xdr:nvCxnSpPr>
        <xdr:cNvPr id="440" name="Conector recto de flecha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/>
      </xdr:nvCxnSpPr>
      <xdr:spPr>
        <a:xfrm flipH="1">
          <a:off x="9021592" y="75741180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645269</xdr:colOff>
      <xdr:row>408</xdr:row>
      <xdr:rowOff>166991</xdr:rowOff>
    </xdr:from>
    <xdr:to>
      <xdr:col>10</xdr:col>
      <xdr:colOff>649323</xdr:colOff>
      <xdr:row>410</xdr:row>
      <xdr:rowOff>150778</xdr:rowOff>
    </xdr:to>
    <xdr:cxnSp macro="">
      <xdr:nvCxnSpPr>
        <xdr:cNvPr id="441" name="Conector recto de flecha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/>
      </xdr:nvCxnSpPr>
      <xdr:spPr>
        <a:xfrm flipH="1">
          <a:off x="7786992" y="75742800"/>
          <a:ext cx="4054" cy="3647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541735</xdr:colOff>
      <xdr:row>411</xdr:row>
      <xdr:rowOff>166688</xdr:rowOff>
    </xdr:from>
    <xdr:to>
      <xdr:col>10</xdr:col>
      <xdr:colOff>551793</xdr:colOff>
      <xdr:row>418</xdr:row>
      <xdr:rowOff>19707</xdr:rowOff>
    </xdr:to>
    <xdr:cxnSp macro="">
      <xdr:nvCxnSpPr>
        <xdr:cNvPr id="320" name="Conector recto de flecha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/>
      </xdr:nvCxnSpPr>
      <xdr:spPr>
        <a:xfrm flipH="1" flipV="1">
          <a:off x="7682201" y="76314136"/>
          <a:ext cx="10058" cy="1186519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229792</xdr:colOff>
      <xdr:row>413</xdr:row>
      <xdr:rowOff>80964</xdr:rowOff>
    </xdr:from>
    <xdr:to>
      <xdr:col>11</xdr:col>
      <xdr:colOff>229913</xdr:colOff>
      <xdr:row>416</xdr:row>
      <xdr:rowOff>45983</xdr:rowOff>
    </xdr:to>
    <xdr:cxnSp macro="">
      <xdr:nvCxnSpPr>
        <xdr:cNvPr id="447" name="Conector recto de flecha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/>
      </xdr:nvCxnSpPr>
      <xdr:spPr>
        <a:xfrm flipH="1" flipV="1">
          <a:off x="8211742" y="78852714"/>
          <a:ext cx="121" cy="536519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672703</xdr:colOff>
      <xdr:row>413</xdr:row>
      <xdr:rowOff>49802</xdr:rowOff>
    </xdr:from>
    <xdr:to>
      <xdr:col>12</xdr:col>
      <xdr:colOff>235353</xdr:colOff>
      <xdr:row>413</xdr:row>
      <xdr:rowOff>82112</xdr:rowOff>
    </xdr:to>
    <xdr:cxnSp macro="">
      <xdr:nvCxnSpPr>
        <xdr:cNvPr id="324" name="Conector recto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/>
      </xdr:nvCxnSpPr>
      <xdr:spPr>
        <a:xfrm flipH="1">
          <a:off x="7813169" y="76578250"/>
          <a:ext cx="1185184" cy="3231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342899</xdr:colOff>
      <xdr:row>548</xdr:row>
      <xdr:rowOff>133351</xdr:rowOff>
    </xdr:from>
    <xdr:to>
      <xdr:col>8</xdr:col>
      <xdr:colOff>285750</xdr:colOff>
      <xdr:row>571</xdr:row>
      <xdr:rowOff>123825</xdr:rowOff>
    </xdr:to>
    <xdr:sp macro="" textlink="">
      <xdr:nvSpPr>
        <xdr:cNvPr id="458" name="Forma libre: forma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1495424" y="102374701"/>
          <a:ext cx="4457701" cy="4371974"/>
        </a:xfrm>
        <a:custGeom>
          <a:avLst/>
          <a:gdLst>
            <a:gd name="connsiteX0" fmla="*/ 0 w 3059906"/>
            <a:gd name="connsiteY0" fmla="*/ 2718594 h 2734469"/>
            <a:gd name="connsiteX1" fmla="*/ 3969 w 3059906"/>
            <a:gd name="connsiteY1" fmla="*/ 2182813 h 2734469"/>
            <a:gd name="connsiteX2" fmla="*/ 900906 w 3059906"/>
            <a:gd name="connsiteY2" fmla="*/ 2182813 h 2734469"/>
            <a:gd name="connsiteX3" fmla="*/ 1230313 w 3059906"/>
            <a:gd name="connsiteY3" fmla="*/ 0 h 2734469"/>
            <a:gd name="connsiteX4" fmla="*/ 1531938 w 3059906"/>
            <a:gd name="connsiteY4" fmla="*/ 3969 h 2734469"/>
            <a:gd name="connsiteX5" fmla="*/ 1535906 w 3059906"/>
            <a:gd name="connsiteY5" fmla="*/ 2190750 h 2734469"/>
            <a:gd name="connsiteX6" fmla="*/ 3059906 w 3059906"/>
            <a:gd name="connsiteY6" fmla="*/ 2182813 h 2734469"/>
            <a:gd name="connsiteX7" fmla="*/ 3059906 w 3059906"/>
            <a:gd name="connsiteY7" fmla="*/ 2734469 h 2734469"/>
            <a:gd name="connsiteX8" fmla="*/ 0 w 3059906"/>
            <a:gd name="connsiteY8" fmla="*/ 2718594 h 2734469"/>
            <a:gd name="connsiteX0" fmla="*/ 0 w 3059906"/>
            <a:gd name="connsiteY0" fmla="*/ 2718594 h 2734469"/>
            <a:gd name="connsiteX1" fmla="*/ 3969 w 3059906"/>
            <a:gd name="connsiteY1" fmla="*/ 2182813 h 2734469"/>
            <a:gd name="connsiteX2" fmla="*/ 900906 w 3059906"/>
            <a:gd name="connsiteY2" fmla="*/ 2182813 h 2734469"/>
            <a:gd name="connsiteX3" fmla="*/ 1230313 w 3059906"/>
            <a:gd name="connsiteY3" fmla="*/ 0 h 2734469"/>
            <a:gd name="connsiteX4" fmla="*/ 1531938 w 3059906"/>
            <a:gd name="connsiteY4" fmla="*/ 3969 h 2734469"/>
            <a:gd name="connsiteX5" fmla="*/ 1535906 w 3059906"/>
            <a:gd name="connsiteY5" fmla="*/ 2190750 h 2734469"/>
            <a:gd name="connsiteX6" fmla="*/ 3059906 w 3059906"/>
            <a:gd name="connsiteY6" fmla="*/ 2182813 h 2734469"/>
            <a:gd name="connsiteX7" fmla="*/ 2842301 w 3059906"/>
            <a:gd name="connsiteY7" fmla="*/ 2734469 h 2734469"/>
            <a:gd name="connsiteX8" fmla="*/ 0 w 3059906"/>
            <a:gd name="connsiteY8" fmla="*/ 2718594 h 2734469"/>
            <a:gd name="connsiteX0" fmla="*/ 0 w 2842301"/>
            <a:gd name="connsiteY0" fmla="*/ 2718594 h 2734469"/>
            <a:gd name="connsiteX1" fmla="*/ 3969 w 2842301"/>
            <a:gd name="connsiteY1" fmla="*/ 2182813 h 2734469"/>
            <a:gd name="connsiteX2" fmla="*/ 900906 w 2842301"/>
            <a:gd name="connsiteY2" fmla="*/ 2182813 h 2734469"/>
            <a:gd name="connsiteX3" fmla="*/ 1230313 w 2842301"/>
            <a:gd name="connsiteY3" fmla="*/ 0 h 2734469"/>
            <a:gd name="connsiteX4" fmla="*/ 1531938 w 2842301"/>
            <a:gd name="connsiteY4" fmla="*/ 3969 h 2734469"/>
            <a:gd name="connsiteX5" fmla="*/ 1535906 w 2842301"/>
            <a:gd name="connsiteY5" fmla="*/ 2190750 h 2734469"/>
            <a:gd name="connsiteX6" fmla="*/ 2838344 w 2842301"/>
            <a:gd name="connsiteY6" fmla="*/ 2187066 h 2734469"/>
            <a:gd name="connsiteX7" fmla="*/ 2842301 w 2842301"/>
            <a:gd name="connsiteY7" fmla="*/ 2734469 h 2734469"/>
            <a:gd name="connsiteX8" fmla="*/ 0 w 2842301"/>
            <a:gd name="connsiteY8" fmla="*/ 2718594 h 2734469"/>
            <a:gd name="connsiteX0" fmla="*/ 0 w 2850214"/>
            <a:gd name="connsiteY0" fmla="*/ 2718594 h 2721710"/>
            <a:gd name="connsiteX1" fmla="*/ 3969 w 2850214"/>
            <a:gd name="connsiteY1" fmla="*/ 2182813 h 2721710"/>
            <a:gd name="connsiteX2" fmla="*/ 900906 w 2850214"/>
            <a:gd name="connsiteY2" fmla="*/ 2182813 h 2721710"/>
            <a:gd name="connsiteX3" fmla="*/ 1230313 w 2850214"/>
            <a:gd name="connsiteY3" fmla="*/ 0 h 2721710"/>
            <a:gd name="connsiteX4" fmla="*/ 1531938 w 2850214"/>
            <a:gd name="connsiteY4" fmla="*/ 3969 h 2721710"/>
            <a:gd name="connsiteX5" fmla="*/ 1535906 w 2850214"/>
            <a:gd name="connsiteY5" fmla="*/ 2190750 h 2721710"/>
            <a:gd name="connsiteX6" fmla="*/ 2838344 w 2850214"/>
            <a:gd name="connsiteY6" fmla="*/ 2187066 h 2721710"/>
            <a:gd name="connsiteX7" fmla="*/ 2850214 w 2850214"/>
            <a:gd name="connsiteY7" fmla="*/ 2721710 h 2721710"/>
            <a:gd name="connsiteX8" fmla="*/ 0 w 2850214"/>
            <a:gd name="connsiteY8" fmla="*/ 2718594 h 2721710"/>
            <a:gd name="connsiteX0" fmla="*/ 0 w 2838344"/>
            <a:gd name="connsiteY0" fmla="*/ 2718594 h 2721710"/>
            <a:gd name="connsiteX1" fmla="*/ 3969 w 2838344"/>
            <a:gd name="connsiteY1" fmla="*/ 2182813 h 2721710"/>
            <a:gd name="connsiteX2" fmla="*/ 900906 w 2838344"/>
            <a:gd name="connsiteY2" fmla="*/ 2182813 h 2721710"/>
            <a:gd name="connsiteX3" fmla="*/ 1230313 w 2838344"/>
            <a:gd name="connsiteY3" fmla="*/ 0 h 2721710"/>
            <a:gd name="connsiteX4" fmla="*/ 1531938 w 2838344"/>
            <a:gd name="connsiteY4" fmla="*/ 3969 h 2721710"/>
            <a:gd name="connsiteX5" fmla="*/ 1535906 w 2838344"/>
            <a:gd name="connsiteY5" fmla="*/ 2190750 h 2721710"/>
            <a:gd name="connsiteX6" fmla="*/ 2838344 w 2838344"/>
            <a:gd name="connsiteY6" fmla="*/ 2187066 h 2721710"/>
            <a:gd name="connsiteX7" fmla="*/ 2838344 w 2838344"/>
            <a:gd name="connsiteY7" fmla="*/ 2721710 h 2721710"/>
            <a:gd name="connsiteX8" fmla="*/ 0 w 2838344"/>
            <a:gd name="connsiteY8" fmla="*/ 2718594 h 2721710"/>
            <a:gd name="connsiteX0" fmla="*/ 0 w 2838344"/>
            <a:gd name="connsiteY0" fmla="*/ 2718594 h 2721710"/>
            <a:gd name="connsiteX1" fmla="*/ 3969 w 2838344"/>
            <a:gd name="connsiteY1" fmla="*/ 2182813 h 2721710"/>
            <a:gd name="connsiteX2" fmla="*/ 900906 w 2838344"/>
            <a:gd name="connsiteY2" fmla="*/ 2182813 h 2721710"/>
            <a:gd name="connsiteX3" fmla="*/ 1230313 w 2838344"/>
            <a:gd name="connsiteY3" fmla="*/ 0 h 2721710"/>
            <a:gd name="connsiteX4" fmla="*/ 1531938 w 2838344"/>
            <a:gd name="connsiteY4" fmla="*/ 3969 h 2721710"/>
            <a:gd name="connsiteX5" fmla="*/ 1618968 w 2838344"/>
            <a:gd name="connsiteY5" fmla="*/ 2184797 h 2721710"/>
            <a:gd name="connsiteX6" fmla="*/ 2838344 w 2838344"/>
            <a:gd name="connsiteY6" fmla="*/ 2187066 h 2721710"/>
            <a:gd name="connsiteX7" fmla="*/ 2838344 w 2838344"/>
            <a:gd name="connsiteY7" fmla="*/ 2721710 h 2721710"/>
            <a:gd name="connsiteX8" fmla="*/ 0 w 2838344"/>
            <a:gd name="connsiteY8" fmla="*/ 2718594 h 2721710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09463 w 2838344"/>
            <a:gd name="connsiteY4" fmla="*/ 0 h 2723695"/>
            <a:gd name="connsiteX5" fmla="*/ 1618968 w 2838344"/>
            <a:gd name="connsiteY5" fmla="*/ 2186782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18968 w 2838344"/>
            <a:gd name="connsiteY5" fmla="*/ 2186782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32651 w 2838344"/>
            <a:gd name="connsiteY5" fmla="*/ 2180926 h 2723695"/>
            <a:gd name="connsiteX6" fmla="*/ 2838344 w 2838344"/>
            <a:gd name="connsiteY6" fmla="*/ 2189051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38344"/>
            <a:gd name="connsiteY0" fmla="*/ 2720579 h 2723695"/>
            <a:gd name="connsiteX1" fmla="*/ 3969 w 2838344"/>
            <a:gd name="connsiteY1" fmla="*/ 2184798 h 2723695"/>
            <a:gd name="connsiteX2" fmla="*/ 900906 w 2838344"/>
            <a:gd name="connsiteY2" fmla="*/ 2184798 h 2723695"/>
            <a:gd name="connsiteX3" fmla="*/ 1230313 w 2838344"/>
            <a:gd name="connsiteY3" fmla="*/ 1985 h 2723695"/>
            <a:gd name="connsiteX4" fmla="*/ 1631356 w 2838344"/>
            <a:gd name="connsiteY4" fmla="*/ 0 h 2723695"/>
            <a:gd name="connsiteX5" fmla="*/ 1632651 w 2838344"/>
            <a:gd name="connsiteY5" fmla="*/ 2180926 h 2723695"/>
            <a:gd name="connsiteX6" fmla="*/ 2838344 w 2838344"/>
            <a:gd name="connsiteY6" fmla="*/ 2180266 h 2723695"/>
            <a:gd name="connsiteX7" fmla="*/ 2838344 w 2838344"/>
            <a:gd name="connsiteY7" fmla="*/ 2723695 h 2723695"/>
            <a:gd name="connsiteX8" fmla="*/ 0 w 2838344"/>
            <a:gd name="connsiteY8" fmla="*/ 2720579 h 2723695"/>
            <a:gd name="connsiteX0" fmla="*/ 0 w 2846068"/>
            <a:gd name="connsiteY0" fmla="*/ 2720579 h 2810185"/>
            <a:gd name="connsiteX1" fmla="*/ 3969 w 2846068"/>
            <a:gd name="connsiteY1" fmla="*/ 2184798 h 2810185"/>
            <a:gd name="connsiteX2" fmla="*/ 900906 w 2846068"/>
            <a:gd name="connsiteY2" fmla="*/ 2184798 h 2810185"/>
            <a:gd name="connsiteX3" fmla="*/ 1230313 w 2846068"/>
            <a:gd name="connsiteY3" fmla="*/ 1985 h 2810185"/>
            <a:gd name="connsiteX4" fmla="*/ 1631356 w 2846068"/>
            <a:gd name="connsiteY4" fmla="*/ 0 h 2810185"/>
            <a:gd name="connsiteX5" fmla="*/ 1632651 w 2846068"/>
            <a:gd name="connsiteY5" fmla="*/ 2180926 h 2810185"/>
            <a:gd name="connsiteX6" fmla="*/ 2838344 w 2846068"/>
            <a:gd name="connsiteY6" fmla="*/ 2180266 h 2810185"/>
            <a:gd name="connsiteX7" fmla="*/ 2846068 w 2846068"/>
            <a:gd name="connsiteY7" fmla="*/ 2810185 h 2810185"/>
            <a:gd name="connsiteX8" fmla="*/ 0 w 2846068"/>
            <a:gd name="connsiteY8" fmla="*/ 2720579 h 2810185"/>
            <a:gd name="connsiteX0" fmla="*/ 0 w 2853791"/>
            <a:gd name="connsiteY0" fmla="*/ 2801488 h 2810185"/>
            <a:gd name="connsiteX1" fmla="*/ 11692 w 2853791"/>
            <a:gd name="connsiteY1" fmla="*/ 2184798 h 2810185"/>
            <a:gd name="connsiteX2" fmla="*/ 908629 w 2853791"/>
            <a:gd name="connsiteY2" fmla="*/ 2184798 h 2810185"/>
            <a:gd name="connsiteX3" fmla="*/ 1238036 w 2853791"/>
            <a:gd name="connsiteY3" fmla="*/ 1985 h 2810185"/>
            <a:gd name="connsiteX4" fmla="*/ 1639079 w 2853791"/>
            <a:gd name="connsiteY4" fmla="*/ 0 h 2810185"/>
            <a:gd name="connsiteX5" fmla="*/ 1640374 w 2853791"/>
            <a:gd name="connsiteY5" fmla="*/ 2180926 h 2810185"/>
            <a:gd name="connsiteX6" fmla="*/ 2846067 w 2853791"/>
            <a:gd name="connsiteY6" fmla="*/ 2180266 h 2810185"/>
            <a:gd name="connsiteX7" fmla="*/ 2853791 w 2853791"/>
            <a:gd name="connsiteY7" fmla="*/ 2810185 h 2810185"/>
            <a:gd name="connsiteX8" fmla="*/ 0 w 2853791"/>
            <a:gd name="connsiteY8" fmla="*/ 2801488 h 2810185"/>
            <a:gd name="connsiteX0" fmla="*/ 11477 w 2842099"/>
            <a:gd name="connsiteY0" fmla="*/ 2821018 h 2821018"/>
            <a:gd name="connsiteX1" fmla="*/ 0 w 2842099"/>
            <a:gd name="connsiteY1" fmla="*/ 2184798 h 2821018"/>
            <a:gd name="connsiteX2" fmla="*/ 896937 w 2842099"/>
            <a:gd name="connsiteY2" fmla="*/ 2184798 h 2821018"/>
            <a:gd name="connsiteX3" fmla="*/ 1226344 w 2842099"/>
            <a:gd name="connsiteY3" fmla="*/ 1985 h 2821018"/>
            <a:gd name="connsiteX4" fmla="*/ 1627387 w 2842099"/>
            <a:gd name="connsiteY4" fmla="*/ 0 h 2821018"/>
            <a:gd name="connsiteX5" fmla="*/ 1628682 w 2842099"/>
            <a:gd name="connsiteY5" fmla="*/ 2180926 h 2821018"/>
            <a:gd name="connsiteX6" fmla="*/ 2834375 w 2842099"/>
            <a:gd name="connsiteY6" fmla="*/ 2180266 h 2821018"/>
            <a:gd name="connsiteX7" fmla="*/ 2842099 w 2842099"/>
            <a:gd name="connsiteY7" fmla="*/ 2810185 h 2821018"/>
            <a:gd name="connsiteX8" fmla="*/ 11477 w 2842099"/>
            <a:gd name="connsiteY8" fmla="*/ 2821018 h 2821018"/>
            <a:gd name="connsiteX0" fmla="*/ 11477 w 2835118"/>
            <a:gd name="connsiteY0" fmla="*/ 2821018 h 2821018"/>
            <a:gd name="connsiteX1" fmla="*/ 0 w 2835118"/>
            <a:gd name="connsiteY1" fmla="*/ 2184798 h 2821018"/>
            <a:gd name="connsiteX2" fmla="*/ 896937 w 2835118"/>
            <a:gd name="connsiteY2" fmla="*/ 2184798 h 2821018"/>
            <a:gd name="connsiteX3" fmla="*/ 1226344 w 2835118"/>
            <a:gd name="connsiteY3" fmla="*/ 1985 h 2821018"/>
            <a:gd name="connsiteX4" fmla="*/ 1627387 w 2835118"/>
            <a:gd name="connsiteY4" fmla="*/ 0 h 2821018"/>
            <a:gd name="connsiteX5" fmla="*/ 1628682 w 2835118"/>
            <a:gd name="connsiteY5" fmla="*/ 2180926 h 2821018"/>
            <a:gd name="connsiteX6" fmla="*/ 2834375 w 2835118"/>
            <a:gd name="connsiteY6" fmla="*/ 2180266 h 2821018"/>
            <a:gd name="connsiteX7" fmla="*/ 2834376 w 2835118"/>
            <a:gd name="connsiteY7" fmla="*/ 2801814 h 2821018"/>
            <a:gd name="connsiteX8" fmla="*/ 11477 w 2835118"/>
            <a:gd name="connsiteY8" fmla="*/ 2821018 h 2821018"/>
            <a:gd name="connsiteX0" fmla="*/ 11477 w 2835118"/>
            <a:gd name="connsiteY0" fmla="*/ 2821018 h 2821018"/>
            <a:gd name="connsiteX1" fmla="*/ 0 w 2835118"/>
            <a:gd name="connsiteY1" fmla="*/ 2184798 h 2821018"/>
            <a:gd name="connsiteX2" fmla="*/ 896937 w 2835118"/>
            <a:gd name="connsiteY2" fmla="*/ 2184798 h 2821018"/>
            <a:gd name="connsiteX3" fmla="*/ 1226344 w 2835118"/>
            <a:gd name="connsiteY3" fmla="*/ 1985 h 2821018"/>
            <a:gd name="connsiteX4" fmla="*/ 1627387 w 2835118"/>
            <a:gd name="connsiteY4" fmla="*/ 0 h 2821018"/>
            <a:gd name="connsiteX5" fmla="*/ 1628682 w 2835118"/>
            <a:gd name="connsiteY5" fmla="*/ 2180926 h 2821018"/>
            <a:gd name="connsiteX6" fmla="*/ 2834375 w 2835118"/>
            <a:gd name="connsiteY6" fmla="*/ 2180266 h 2821018"/>
            <a:gd name="connsiteX7" fmla="*/ 2834377 w 2835118"/>
            <a:gd name="connsiteY7" fmla="*/ 2810184 h 2821018"/>
            <a:gd name="connsiteX8" fmla="*/ 11477 w 2835118"/>
            <a:gd name="connsiteY8" fmla="*/ 2821018 h 2821018"/>
            <a:gd name="connsiteX0" fmla="*/ 11477 w 2836953"/>
            <a:gd name="connsiteY0" fmla="*/ 2821018 h 2821018"/>
            <a:gd name="connsiteX1" fmla="*/ 0 w 2836953"/>
            <a:gd name="connsiteY1" fmla="*/ 2184798 h 2821018"/>
            <a:gd name="connsiteX2" fmla="*/ 896937 w 2836953"/>
            <a:gd name="connsiteY2" fmla="*/ 2184798 h 2821018"/>
            <a:gd name="connsiteX3" fmla="*/ 1226344 w 2836953"/>
            <a:gd name="connsiteY3" fmla="*/ 1985 h 2821018"/>
            <a:gd name="connsiteX4" fmla="*/ 1627387 w 2836953"/>
            <a:gd name="connsiteY4" fmla="*/ 0 h 2821018"/>
            <a:gd name="connsiteX5" fmla="*/ 1628682 w 2836953"/>
            <a:gd name="connsiteY5" fmla="*/ 2180926 h 2821018"/>
            <a:gd name="connsiteX6" fmla="*/ 2834375 w 2836953"/>
            <a:gd name="connsiteY6" fmla="*/ 2180266 h 2821018"/>
            <a:gd name="connsiteX7" fmla="*/ 2836953 w 2836953"/>
            <a:gd name="connsiteY7" fmla="*/ 2818553 h 2821018"/>
            <a:gd name="connsiteX8" fmla="*/ 11477 w 2836953"/>
            <a:gd name="connsiteY8" fmla="*/ 2821018 h 2821018"/>
            <a:gd name="connsiteX0" fmla="*/ 11477 w 2836953"/>
            <a:gd name="connsiteY0" fmla="*/ 2821018 h 2826923"/>
            <a:gd name="connsiteX1" fmla="*/ 0 w 2836953"/>
            <a:gd name="connsiteY1" fmla="*/ 2184798 h 2826923"/>
            <a:gd name="connsiteX2" fmla="*/ 896937 w 2836953"/>
            <a:gd name="connsiteY2" fmla="*/ 2184798 h 2826923"/>
            <a:gd name="connsiteX3" fmla="*/ 1226344 w 2836953"/>
            <a:gd name="connsiteY3" fmla="*/ 1985 h 2826923"/>
            <a:gd name="connsiteX4" fmla="*/ 1627387 w 2836953"/>
            <a:gd name="connsiteY4" fmla="*/ 0 h 2826923"/>
            <a:gd name="connsiteX5" fmla="*/ 1628682 w 2836953"/>
            <a:gd name="connsiteY5" fmla="*/ 2180926 h 2826923"/>
            <a:gd name="connsiteX6" fmla="*/ 2834375 w 2836953"/>
            <a:gd name="connsiteY6" fmla="*/ 2180266 h 2826923"/>
            <a:gd name="connsiteX7" fmla="*/ 2836953 w 2836953"/>
            <a:gd name="connsiteY7" fmla="*/ 2826923 h 2826923"/>
            <a:gd name="connsiteX8" fmla="*/ 11477 w 2836953"/>
            <a:gd name="connsiteY8" fmla="*/ 2821018 h 2826923"/>
            <a:gd name="connsiteX0" fmla="*/ 11477 w 2834908"/>
            <a:gd name="connsiteY0" fmla="*/ 2821018 h 2821018"/>
            <a:gd name="connsiteX1" fmla="*/ 0 w 2834908"/>
            <a:gd name="connsiteY1" fmla="*/ 2184798 h 2821018"/>
            <a:gd name="connsiteX2" fmla="*/ 896937 w 2834908"/>
            <a:gd name="connsiteY2" fmla="*/ 2184798 h 2821018"/>
            <a:gd name="connsiteX3" fmla="*/ 1226344 w 2834908"/>
            <a:gd name="connsiteY3" fmla="*/ 1985 h 2821018"/>
            <a:gd name="connsiteX4" fmla="*/ 1627387 w 2834908"/>
            <a:gd name="connsiteY4" fmla="*/ 0 h 2821018"/>
            <a:gd name="connsiteX5" fmla="*/ 1628682 w 2834908"/>
            <a:gd name="connsiteY5" fmla="*/ 2180926 h 2821018"/>
            <a:gd name="connsiteX6" fmla="*/ 2834375 w 2834908"/>
            <a:gd name="connsiteY6" fmla="*/ 2180266 h 2821018"/>
            <a:gd name="connsiteX7" fmla="*/ 2831804 w 2834908"/>
            <a:gd name="connsiteY7" fmla="*/ 2812973 h 2821018"/>
            <a:gd name="connsiteX8" fmla="*/ 11477 w 2834908"/>
            <a:gd name="connsiteY8" fmla="*/ 2821018 h 2821018"/>
            <a:gd name="connsiteX0" fmla="*/ 11477 w 2835073"/>
            <a:gd name="connsiteY0" fmla="*/ 2821018 h 2829204"/>
            <a:gd name="connsiteX1" fmla="*/ 0 w 2835073"/>
            <a:gd name="connsiteY1" fmla="*/ 2184798 h 2829204"/>
            <a:gd name="connsiteX2" fmla="*/ 896937 w 2835073"/>
            <a:gd name="connsiteY2" fmla="*/ 2184798 h 2829204"/>
            <a:gd name="connsiteX3" fmla="*/ 1226344 w 2835073"/>
            <a:gd name="connsiteY3" fmla="*/ 1985 h 2829204"/>
            <a:gd name="connsiteX4" fmla="*/ 1627387 w 2835073"/>
            <a:gd name="connsiteY4" fmla="*/ 0 h 2829204"/>
            <a:gd name="connsiteX5" fmla="*/ 1628682 w 2835073"/>
            <a:gd name="connsiteY5" fmla="*/ 2180926 h 2829204"/>
            <a:gd name="connsiteX6" fmla="*/ 2834375 w 2835073"/>
            <a:gd name="connsiteY6" fmla="*/ 2180266 h 2829204"/>
            <a:gd name="connsiteX7" fmla="*/ 2833959 w 2835073"/>
            <a:gd name="connsiteY7" fmla="*/ 2829204 h 2829204"/>
            <a:gd name="connsiteX8" fmla="*/ 11477 w 2835073"/>
            <a:gd name="connsiteY8" fmla="*/ 2821018 h 2829204"/>
            <a:gd name="connsiteX0" fmla="*/ 2858 w 2835073"/>
            <a:gd name="connsiteY0" fmla="*/ 2830293 h 2830293"/>
            <a:gd name="connsiteX1" fmla="*/ 0 w 2835073"/>
            <a:gd name="connsiteY1" fmla="*/ 2184798 h 2830293"/>
            <a:gd name="connsiteX2" fmla="*/ 896937 w 2835073"/>
            <a:gd name="connsiteY2" fmla="*/ 2184798 h 2830293"/>
            <a:gd name="connsiteX3" fmla="*/ 1226344 w 2835073"/>
            <a:gd name="connsiteY3" fmla="*/ 1985 h 2830293"/>
            <a:gd name="connsiteX4" fmla="*/ 1627387 w 2835073"/>
            <a:gd name="connsiteY4" fmla="*/ 0 h 2830293"/>
            <a:gd name="connsiteX5" fmla="*/ 1628682 w 2835073"/>
            <a:gd name="connsiteY5" fmla="*/ 2180926 h 2830293"/>
            <a:gd name="connsiteX6" fmla="*/ 2834375 w 2835073"/>
            <a:gd name="connsiteY6" fmla="*/ 2180266 h 2830293"/>
            <a:gd name="connsiteX7" fmla="*/ 2833959 w 2835073"/>
            <a:gd name="connsiteY7" fmla="*/ 2829204 h 2830293"/>
            <a:gd name="connsiteX8" fmla="*/ 2858 w 2835073"/>
            <a:gd name="connsiteY8" fmla="*/ 2830293 h 28302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35073" h="2830293">
              <a:moveTo>
                <a:pt x="2858" y="2830293"/>
              </a:moveTo>
              <a:cubicBezTo>
                <a:pt x="1905" y="2615128"/>
                <a:pt x="953" y="2399963"/>
                <a:pt x="0" y="2184798"/>
              </a:cubicBezTo>
              <a:lnTo>
                <a:pt x="896937" y="2184798"/>
              </a:lnTo>
              <a:lnTo>
                <a:pt x="1226344" y="1985"/>
              </a:lnTo>
              <a:lnTo>
                <a:pt x="1627387" y="0"/>
              </a:lnTo>
              <a:cubicBezTo>
                <a:pt x="1628710" y="728927"/>
                <a:pt x="1627359" y="1451999"/>
                <a:pt x="1628682" y="2180926"/>
              </a:cubicBezTo>
              <a:lnTo>
                <a:pt x="2834375" y="2180266"/>
              </a:lnTo>
              <a:cubicBezTo>
                <a:pt x="2836950" y="2390239"/>
                <a:pt x="2831384" y="2619231"/>
                <a:pt x="2833959" y="2829204"/>
              </a:cubicBezTo>
              <a:lnTo>
                <a:pt x="2858" y="2830293"/>
              </a:lnTo>
              <a:close/>
            </a:path>
          </a:pathLst>
        </a:cu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133516</xdr:colOff>
      <xdr:row>549</xdr:row>
      <xdr:rowOff>39220</xdr:rowOff>
    </xdr:from>
    <xdr:to>
      <xdr:col>6</xdr:col>
      <xdr:colOff>475296</xdr:colOff>
      <xdr:row>570</xdr:row>
      <xdr:rowOff>135610</xdr:rowOff>
    </xdr:to>
    <xdr:sp macro="" textlink="">
      <xdr:nvSpPr>
        <xdr:cNvPr id="338" name="Forma libre: forma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/>
      </xdr:nvSpPr>
      <xdr:spPr>
        <a:xfrm>
          <a:off x="3485505" y="102475529"/>
          <a:ext cx="1103780" cy="4096890"/>
        </a:xfrm>
        <a:custGeom>
          <a:avLst/>
          <a:gdLst>
            <a:gd name="connsiteX0" fmla="*/ 0 w 1103780"/>
            <a:gd name="connsiteY0" fmla="*/ 0 h 4084544"/>
            <a:gd name="connsiteX1" fmla="*/ 487456 w 1103780"/>
            <a:gd name="connsiteY1" fmla="*/ 0 h 4084544"/>
            <a:gd name="connsiteX2" fmla="*/ 476250 w 1103780"/>
            <a:gd name="connsiteY2" fmla="*/ 4084544 h 4084544"/>
            <a:gd name="connsiteX3" fmla="*/ 1103780 w 1103780"/>
            <a:gd name="connsiteY3" fmla="*/ 4084544 h 40845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03780" h="4084544">
              <a:moveTo>
                <a:pt x="0" y="0"/>
              </a:moveTo>
              <a:lnTo>
                <a:pt x="487456" y="0"/>
              </a:lnTo>
              <a:cubicBezTo>
                <a:pt x="483721" y="1361515"/>
                <a:pt x="479985" y="2723029"/>
                <a:pt x="476250" y="4084544"/>
              </a:cubicBezTo>
              <a:lnTo>
                <a:pt x="1103780" y="4084544"/>
              </a:lnTo>
            </a:path>
          </a:pathLst>
        </a:cu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539261</xdr:colOff>
      <xdr:row>549</xdr:row>
      <xdr:rowOff>112058</xdr:rowOff>
    </xdr:from>
    <xdr:to>
      <xdr:col>5</xdr:col>
      <xdr:colOff>565897</xdr:colOff>
      <xdr:row>570</xdr:row>
      <xdr:rowOff>113489</xdr:rowOff>
    </xdr:to>
    <xdr:sp macro="" textlink="">
      <xdr:nvSpPr>
        <xdr:cNvPr id="339" name="Forma libre: forma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2367250" y="102548367"/>
          <a:ext cx="1550636" cy="4001931"/>
        </a:xfrm>
        <a:custGeom>
          <a:avLst/>
          <a:gdLst>
            <a:gd name="connsiteX0" fmla="*/ 1568824 w 1568824"/>
            <a:gd name="connsiteY0" fmla="*/ 0 h 4050927"/>
            <a:gd name="connsiteX1" fmla="*/ 1143000 w 1568824"/>
            <a:gd name="connsiteY1" fmla="*/ 5603 h 4050927"/>
            <a:gd name="connsiteX2" fmla="*/ 515471 w 1568824"/>
            <a:gd name="connsiteY2" fmla="*/ 4050927 h 4050927"/>
            <a:gd name="connsiteX3" fmla="*/ 0 w 1568824"/>
            <a:gd name="connsiteY3" fmla="*/ 4050927 h 4050927"/>
            <a:gd name="connsiteX0" fmla="*/ 1568824 w 1568824"/>
            <a:gd name="connsiteY0" fmla="*/ 0 h 4050927"/>
            <a:gd name="connsiteX1" fmla="*/ 1126191 w 1568824"/>
            <a:gd name="connsiteY1" fmla="*/ 5603 h 4050927"/>
            <a:gd name="connsiteX2" fmla="*/ 515471 w 1568824"/>
            <a:gd name="connsiteY2" fmla="*/ 4050927 h 4050927"/>
            <a:gd name="connsiteX3" fmla="*/ 0 w 1568824"/>
            <a:gd name="connsiteY3" fmla="*/ 4050927 h 40509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68824" h="4050927">
              <a:moveTo>
                <a:pt x="1568824" y="0"/>
              </a:moveTo>
              <a:lnTo>
                <a:pt x="1126191" y="5603"/>
              </a:lnTo>
              <a:lnTo>
                <a:pt x="515471" y="4050927"/>
              </a:lnTo>
              <a:lnTo>
                <a:pt x="0" y="4050927"/>
              </a:lnTo>
            </a:path>
          </a:pathLst>
        </a:cu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422975</xdr:colOff>
      <xdr:row>567</xdr:row>
      <xdr:rowOff>44822</xdr:rowOff>
    </xdr:from>
    <xdr:to>
      <xdr:col>6</xdr:col>
      <xdr:colOff>597330</xdr:colOff>
      <xdr:row>571</xdr:row>
      <xdr:rowOff>54889</xdr:rowOff>
    </xdr:to>
    <xdr:sp macro="" textlink="">
      <xdr:nvSpPr>
        <xdr:cNvPr id="340" name="Forma libre: forma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1575661" y="105907932"/>
          <a:ext cx="3135177" cy="772067"/>
        </a:xfrm>
        <a:custGeom>
          <a:avLst/>
          <a:gdLst>
            <a:gd name="connsiteX0" fmla="*/ 5603 w 3031191"/>
            <a:gd name="connsiteY0" fmla="*/ 0 h 739588"/>
            <a:gd name="connsiteX1" fmla="*/ 0 w 3031191"/>
            <a:gd name="connsiteY1" fmla="*/ 733985 h 739588"/>
            <a:gd name="connsiteX2" fmla="*/ 3031191 w 3031191"/>
            <a:gd name="connsiteY2" fmla="*/ 739588 h 7395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031191" h="739588">
              <a:moveTo>
                <a:pt x="5603" y="0"/>
              </a:moveTo>
              <a:cubicBezTo>
                <a:pt x="3735" y="244662"/>
                <a:pt x="1868" y="489323"/>
                <a:pt x="0" y="733985"/>
              </a:cubicBezTo>
              <a:lnTo>
                <a:pt x="3031191" y="739588"/>
              </a:lnTo>
            </a:path>
          </a:pathLst>
        </a:cu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369794</xdr:colOff>
      <xdr:row>566</xdr:row>
      <xdr:rowOff>184896</xdr:rowOff>
    </xdr:from>
    <xdr:to>
      <xdr:col>8</xdr:col>
      <xdr:colOff>201706</xdr:colOff>
      <xdr:row>570</xdr:row>
      <xdr:rowOff>151537</xdr:rowOff>
    </xdr:to>
    <xdr:sp macro="" textlink="">
      <xdr:nvSpPr>
        <xdr:cNvPr id="341" name="Forma libre: forma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2201525" y="105856711"/>
          <a:ext cx="3671219" cy="728641"/>
        </a:xfrm>
        <a:custGeom>
          <a:avLst/>
          <a:gdLst>
            <a:gd name="connsiteX0" fmla="*/ 0 w 3272118"/>
            <a:gd name="connsiteY0" fmla="*/ 0 h 745191"/>
            <a:gd name="connsiteX1" fmla="*/ 3272118 w 3272118"/>
            <a:gd name="connsiteY1" fmla="*/ 0 h 745191"/>
            <a:gd name="connsiteX2" fmla="*/ 3260912 w 3272118"/>
            <a:gd name="connsiteY2" fmla="*/ 745191 h 745191"/>
            <a:gd name="connsiteX0" fmla="*/ 0 w 3285891"/>
            <a:gd name="connsiteY0" fmla="*/ 0 h 739588"/>
            <a:gd name="connsiteX1" fmla="*/ 3272118 w 3285891"/>
            <a:gd name="connsiteY1" fmla="*/ 0 h 739588"/>
            <a:gd name="connsiteX2" fmla="*/ 3285891 w 3285891"/>
            <a:gd name="connsiteY2" fmla="*/ 739588 h 739588"/>
            <a:gd name="connsiteX0" fmla="*/ 0 w 3272118"/>
            <a:gd name="connsiteY0" fmla="*/ 0 h 739588"/>
            <a:gd name="connsiteX1" fmla="*/ 3272118 w 3272118"/>
            <a:gd name="connsiteY1" fmla="*/ 0 h 739588"/>
            <a:gd name="connsiteX2" fmla="*/ 3270904 w 3272118"/>
            <a:gd name="connsiteY2" fmla="*/ 739588 h 739588"/>
            <a:gd name="connsiteX0" fmla="*/ 0 w 3272118"/>
            <a:gd name="connsiteY0" fmla="*/ 0 h 739588"/>
            <a:gd name="connsiteX1" fmla="*/ 3272118 w 3272118"/>
            <a:gd name="connsiteY1" fmla="*/ 0 h 739588"/>
            <a:gd name="connsiteX2" fmla="*/ 3260913 w 3272118"/>
            <a:gd name="connsiteY2" fmla="*/ 739588 h 739588"/>
            <a:gd name="connsiteX0" fmla="*/ 0 w 3272118"/>
            <a:gd name="connsiteY0" fmla="*/ 0 h 722779"/>
            <a:gd name="connsiteX1" fmla="*/ 3272118 w 3272118"/>
            <a:gd name="connsiteY1" fmla="*/ 0 h 722779"/>
            <a:gd name="connsiteX2" fmla="*/ 3255918 w 3272118"/>
            <a:gd name="connsiteY2" fmla="*/ 722779 h 722779"/>
            <a:gd name="connsiteX0" fmla="*/ 0 w 3272118"/>
            <a:gd name="connsiteY0" fmla="*/ 0 h 728641"/>
            <a:gd name="connsiteX1" fmla="*/ 3272118 w 3272118"/>
            <a:gd name="connsiteY1" fmla="*/ 0 h 728641"/>
            <a:gd name="connsiteX2" fmla="*/ 3263754 w 3272118"/>
            <a:gd name="connsiteY2" fmla="*/ 728641 h 7286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272118" h="728641">
              <a:moveTo>
                <a:pt x="0" y="0"/>
              </a:moveTo>
              <a:lnTo>
                <a:pt x="3272118" y="0"/>
              </a:lnTo>
              <a:cubicBezTo>
                <a:pt x="3271713" y="246529"/>
                <a:pt x="3264159" y="482112"/>
                <a:pt x="3263754" y="728641"/>
              </a:cubicBezTo>
            </a:path>
          </a:pathLst>
        </a:cu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461720</xdr:colOff>
      <xdr:row>570</xdr:row>
      <xdr:rowOff>151755</xdr:rowOff>
    </xdr:from>
    <xdr:to>
      <xdr:col>2</xdr:col>
      <xdr:colOff>519838</xdr:colOff>
      <xdr:row>571</xdr:row>
      <xdr:rowOff>22602</xdr:rowOff>
    </xdr:to>
    <xdr:sp macro="" textlink="">
      <xdr:nvSpPr>
        <xdr:cNvPr id="343" name="Elips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/>
      </xdr:nvSpPr>
      <xdr:spPr>
        <a:xfrm>
          <a:off x="1614406" y="106586365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29704</xdr:colOff>
      <xdr:row>570</xdr:row>
      <xdr:rowOff>152399</xdr:rowOff>
    </xdr:from>
    <xdr:to>
      <xdr:col>3</xdr:col>
      <xdr:colOff>87822</xdr:colOff>
      <xdr:row>571</xdr:row>
      <xdr:rowOff>23246</xdr:rowOff>
    </xdr:to>
    <xdr:sp macro="" textlink="">
      <xdr:nvSpPr>
        <xdr:cNvPr id="466" name="Elipse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1857212" y="106587009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259600</xdr:colOff>
      <xdr:row>570</xdr:row>
      <xdr:rowOff>153045</xdr:rowOff>
    </xdr:from>
    <xdr:to>
      <xdr:col>3</xdr:col>
      <xdr:colOff>317718</xdr:colOff>
      <xdr:row>571</xdr:row>
      <xdr:rowOff>23892</xdr:rowOff>
    </xdr:to>
    <xdr:sp macro="" textlink="">
      <xdr:nvSpPr>
        <xdr:cNvPr id="467" name="Elipse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/>
      </xdr:nvSpPr>
      <xdr:spPr>
        <a:xfrm>
          <a:off x="2087108" y="106587655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489492</xdr:colOff>
      <xdr:row>570</xdr:row>
      <xdr:rowOff>156920</xdr:rowOff>
    </xdr:from>
    <xdr:to>
      <xdr:col>3</xdr:col>
      <xdr:colOff>547610</xdr:colOff>
      <xdr:row>571</xdr:row>
      <xdr:rowOff>27767</xdr:rowOff>
    </xdr:to>
    <xdr:sp macro="" textlink="">
      <xdr:nvSpPr>
        <xdr:cNvPr id="468" name="Elipse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/>
      </xdr:nvSpPr>
      <xdr:spPr>
        <a:xfrm>
          <a:off x="2317000" y="106591530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724949</xdr:colOff>
      <xdr:row>570</xdr:row>
      <xdr:rowOff>157564</xdr:rowOff>
    </xdr:from>
    <xdr:to>
      <xdr:col>4</xdr:col>
      <xdr:colOff>21067</xdr:colOff>
      <xdr:row>571</xdr:row>
      <xdr:rowOff>28411</xdr:rowOff>
    </xdr:to>
    <xdr:sp macro="" textlink="">
      <xdr:nvSpPr>
        <xdr:cNvPr id="469" name="Elipse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/>
      </xdr:nvSpPr>
      <xdr:spPr>
        <a:xfrm>
          <a:off x="2552938" y="106594373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229113</xdr:colOff>
      <xdr:row>570</xdr:row>
      <xdr:rowOff>158209</xdr:rowOff>
    </xdr:from>
    <xdr:to>
      <xdr:col>4</xdr:col>
      <xdr:colOff>287231</xdr:colOff>
      <xdr:row>571</xdr:row>
      <xdr:rowOff>29056</xdr:rowOff>
    </xdr:to>
    <xdr:sp macro="" textlink="">
      <xdr:nvSpPr>
        <xdr:cNvPr id="470" name="Elipse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>
          <a:off x="2819102" y="106595018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1333</xdr:colOff>
      <xdr:row>570</xdr:row>
      <xdr:rowOff>152399</xdr:rowOff>
    </xdr:from>
    <xdr:to>
      <xdr:col>5</xdr:col>
      <xdr:colOff>59451</xdr:colOff>
      <xdr:row>571</xdr:row>
      <xdr:rowOff>23246</xdr:rowOff>
    </xdr:to>
    <xdr:sp macro="" textlink="">
      <xdr:nvSpPr>
        <xdr:cNvPr id="471" name="Elipse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/>
      </xdr:nvSpPr>
      <xdr:spPr>
        <a:xfrm>
          <a:off x="3353322" y="106589208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239335</xdr:colOff>
      <xdr:row>570</xdr:row>
      <xdr:rowOff>156274</xdr:rowOff>
    </xdr:from>
    <xdr:to>
      <xdr:col>5</xdr:col>
      <xdr:colOff>297453</xdr:colOff>
      <xdr:row>571</xdr:row>
      <xdr:rowOff>27121</xdr:rowOff>
    </xdr:to>
    <xdr:sp macro="" textlink="">
      <xdr:nvSpPr>
        <xdr:cNvPr id="472" name="Elipse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/>
      </xdr:nvSpPr>
      <xdr:spPr>
        <a:xfrm>
          <a:off x="3591324" y="106593083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473280</xdr:colOff>
      <xdr:row>570</xdr:row>
      <xdr:rowOff>156920</xdr:rowOff>
    </xdr:from>
    <xdr:to>
      <xdr:col>5</xdr:col>
      <xdr:colOff>531398</xdr:colOff>
      <xdr:row>571</xdr:row>
      <xdr:rowOff>27767</xdr:rowOff>
    </xdr:to>
    <xdr:sp macro="" textlink="">
      <xdr:nvSpPr>
        <xdr:cNvPr id="473" name="Elipse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/>
      </xdr:nvSpPr>
      <xdr:spPr>
        <a:xfrm>
          <a:off x="3825269" y="106593729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737108</xdr:colOff>
      <xdr:row>570</xdr:row>
      <xdr:rowOff>157564</xdr:rowOff>
    </xdr:from>
    <xdr:to>
      <xdr:col>6</xdr:col>
      <xdr:colOff>33226</xdr:colOff>
      <xdr:row>571</xdr:row>
      <xdr:rowOff>28411</xdr:rowOff>
    </xdr:to>
    <xdr:sp macro="" textlink="">
      <xdr:nvSpPr>
        <xdr:cNvPr id="474" name="Elipse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>
          <a:off x="4089097" y="106594373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245325</xdr:colOff>
      <xdr:row>570</xdr:row>
      <xdr:rowOff>158209</xdr:rowOff>
    </xdr:from>
    <xdr:to>
      <xdr:col>6</xdr:col>
      <xdr:colOff>303443</xdr:colOff>
      <xdr:row>571</xdr:row>
      <xdr:rowOff>29056</xdr:rowOff>
    </xdr:to>
    <xdr:sp macro="" textlink="">
      <xdr:nvSpPr>
        <xdr:cNvPr id="475" name="Elipse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>
          <a:off x="4359314" y="106595018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504383</xdr:colOff>
      <xdr:row>570</xdr:row>
      <xdr:rowOff>154982</xdr:rowOff>
    </xdr:from>
    <xdr:to>
      <xdr:col>4</xdr:col>
      <xdr:colOff>562501</xdr:colOff>
      <xdr:row>571</xdr:row>
      <xdr:rowOff>25829</xdr:rowOff>
    </xdr:to>
    <xdr:sp macro="" textlink="">
      <xdr:nvSpPr>
        <xdr:cNvPr id="477" name="Elipse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>
          <a:off x="3094372" y="106591791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516612</xdr:colOff>
      <xdr:row>570</xdr:row>
      <xdr:rowOff>158212</xdr:rowOff>
    </xdr:from>
    <xdr:to>
      <xdr:col>6</xdr:col>
      <xdr:colOff>574730</xdr:colOff>
      <xdr:row>571</xdr:row>
      <xdr:rowOff>29059</xdr:rowOff>
    </xdr:to>
    <xdr:sp macro="" textlink="">
      <xdr:nvSpPr>
        <xdr:cNvPr id="479" name="Elipse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>
          <a:off x="4630120" y="106592822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718750</xdr:colOff>
      <xdr:row>567</xdr:row>
      <xdr:rowOff>22695</xdr:rowOff>
    </xdr:from>
    <xdr:to>
      <xdr:col>4</xdr:col>
      <xdr:colOff>14868</xdr:colOff>
      <xdr:row>567</xdr:row>
      <xdr:rowOff>84042</xdr:rowOff>
    </xdr:to>
    <xdr:sp macro="" textlink="">
      <xdr:nvSpPr>
        <xdr:cNvPr id="482" name="Elipse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/>
      </xdr:nvSpPr>
      <xdr:spPr>
        <a:xfrm>
          <a:off x="2546739" y="105888004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219070</xdr:colOff>
      <xdr:row>567</xdr:row>
      <xdr:rowOff>22521</xdr:rowOff>
    </xdr:from>
    <xdr:to>
      <xdr:col>4</xdr:col>
      <xdr:colOff>277188</xdr:colOff>
      <xdr:row>567</xdr:row>
      <xdr:rowOff>83868</xdr:rowOff>
    </xdr:to>
    <xdr:sp macro="" textlink="">
      <xdr:nvSpPr>
        <xdr:cNvPr id="483" name="Elipse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/>
      </xdr:nvSpPr>
      <xdr:spPr>
        <a:xfrm>
          <a:off x="2809059" y="105887830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465174</xdr:colOff>
      <xdr:row>567</xdr:row>
      <xdr:rowOff>23163</xdr:rowOff>
    </xdr:from>
    <xdr:to>
      <xdr:col>4</xdr:col>
      <xdr:colOff>523292</xdr:colOff>
      <xdr:row>567</xdr:row>
      <xdr:rowOff>84510</xdr:rowOff>
    </xdr:to>
    <xdr:sp macro="" textlink="">
      <xdr:nvSpPr>
        <xdr:cNvPr id="484" name="Elipse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/>
      </xdr:nvSpPr>
      <xdr:spPr>
        <a:xfrm>
          <a:off x="3055163" y="105888472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741161</xdr:colOff>
      <xdr:row>567</xdr:row>
      <xdr:rowOff>23810</xdr:rowOff>
    </xdr:from>
    <xdr:to>
      <xdr:col>5</xdr:col>
      <xdr:colOff>37279</xdr:colOff>
      <xdr:row>567</xdr:row>
      <xdr:rowOff>85157</xdr:rowOff>
    </xdr:to>
    <xdr:sp macro="" textlink="">
      <xdr:nvSpPr>
        <xdr:cNvPr id="485" name="Elipse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/>
      </xdr:nvSpPr>
      <xdr:spPr>
        <a:xfrm>
          <a:off x="3331150" y="105889119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476012</xdr:colOff>
      <xdr:row>567</xdr:row>
      <xdr:rowOff>25281</xdr:rowOff>
    </xdr:from>
    <xdr:to>
      <xdr:col>3</xdr:col>
      <xdr:colOff>534130</xdr:colOff>
      <xdr:row>567</xdr:row>
      <xdr:rowOff>86628</xdr:rowOff>
    </xdr:to>
    <xdr:sp macro="" textlink="">
      <xdr:nvSpPr>
        <xdr:cNvPr id="486" name="Elipse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/>
      </xdr:nvSpPr>
      <xdr:spPr>
        <a:xfrm>
          <a:off x="2304001" y="105890590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228840</xdr:colOff>
      <xdr:row>567</xdr:row>
      <xdr:rowOff>26242</xdr:rowOff>
    </xdr:from>
    <xdr:to>
      <xdr:col>5</xdr:col>
      <xdr:colOff>286958</xdr:colOff>
      <xdr:row>567</xdr:row>
      <xdr:rowOff>87589</xdr:rowOff>
    </xdr:to>
    <xdr:sp macro="" textlink="">
      <xdr:nvSpPr>
        <xdr:cNvPr id="487" name="Elipse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/>
      </xdr:nvSpPr>
      <xdr:spPr>
        <a:xfrm>
          <a:off x="3580829" y="105891551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502836</xdr:colOff>
      <xdr:row>567</xdr:row>
      <xdr:rowOff>28674</xdr:rowOff>
    </xdr:from>
    <xdr:to>
      <xdr:col>5</xdr:col>
      <xdr:colOff>560954</xdr:colOff>
      <xdr:row>567</xdr:row>
      <xdr:rowOff>90021</xdr:rowOff>
    </xdr:to>
    <xdr:sp macro="" textlink="">
      <xdr:nvSpPr>
        <xdr:cNvPr id="488" name="Elipse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/>
      </xdr:nvSpPr>
      <xdr:spPr>
        <a:xfrm>
          <a:off x="3854825" y="105893983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740351</xdr:colOff>
      <xdr:row>567</xdr:row>
      <xdr:rowOff>27053</xdr:rowOff>
    </xdr:from>
    <xdr:to>
      <xdr:col>6</xdr:col>
      <xdr:colOff>36469</xdr:colOff>
      <xdr:row>567</xdr:row>
      <xdr:rowOff>88400</xdr:rowOff>
    </xdr:to>
    <xdr:sp macro="" textlink="">
      <xdr:nvSpPr>
        <xdr:cNvPr id="489" name="Elipse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>
          <a:off x="4092340" y="105892362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240188</xdr:colOff>
      <xdr:row>567</xdr:row>
      <xdr:rowOff>29487</xdr:rowOff>
    </xdr:from>
    <xdr:to>
      <xdr:col>6</xdr:col>
      <xdr:colOff>298306</xdr:colOff>
      <xdr:row>567</xdr:row>
      <xdr:rowOff>90834</xdr:rowOff>
    </xdr:to>
    <xdr:sp macro="" textlink="">
      <xdr:nvSpPr>
        <xdr:cNvPr id="490" name="Elipse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/>
      </xdr:nvSpPr>
      <xdr:spPr>
        <a:xfrm>
          <a:off x="4354177" y="105894796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526344</xdr:colOff>
      <xdr:row>567</xdr:row>
      <xdr:rowOff>27866</xdr:rowOff>
    </xdr:from>
    <xdr:to>
      <xdr:col>6</xdr:col>
      <xdr:colOff>584462</xdr:colOff>
      <xdr:row>567</xdr:row>
      <xdr:rowOff>89213</xdr:rowOff>
    </xdr:to>
    <xdr:sp macro="" textlink="">
      <xdr:nvSpPr>
        <xdr:cNvPr id="491" name="Elipse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>
          <a:off x="4640333" y="105893175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30229</xdr:colOff>
      <xdr:row>567</xdr:row>
      <xdr:rowOff>30299</xdr:rowOff>
    </xdr:from>
    <xdr:to>
      <xdr:col>7</xdr:col>
      <xdr:colOff>88347</xdr:colOff>
      <xdr:row>567</xdr:row>
      <xdr:rowOff>91646</xdr:rowOff>
    </xdr:to>
    <xdr:sp macro="" textlink="">
      <xdr:nvSpPr>
        <xdr:cNvPr id="492" name="Elipse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/>
      </xdr:nvSpPr>
      <xdr:spPr>
        <a:xfrm>
          <a:off x="4934591" y="105895608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328541</xdr:colOff>
      <xdr:row>567</xdr:row>
      <xdr:rowOff>28677</xdr:rowOff>
    </xdr:from>
    <xdr:to>
      <xdr:col>7</xdr:col>
      <xdr:colOff>386659</xdr:colOff>
      <xdr:row>567</xdr:row>
      <xdr:rowOff>90024</xdr:rowOff>
    </xdr:to>
    <xdr:sp macro="" textlink="">
      <xdr:nvSpPr>
        <xdr:cNvPr id="493" name="Elipse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/>
      </xdr:nvSpPr>
      <xdr:spPr>
        <a:xfrm>
          <a:off x="5232903" y="105893986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586322</xdr:colOff>
      <xdr:row>567</xdr:row>
      <xdr:rowOff>27057</xdr:rowOff>
    </xdr:from>
    <xdr:to>
      <xdr:col>7</xdr:col>
      <xdr:colOff>644440</xdr:colOff>
      <xdr:row>567</xdr:row>
      <xdr:rowOff>88404</xdr:rowOff>
    </xdr:to>
    <xdr:sp macro="" textlink="">
      <xdr:nvSpPr>
        <xdr:cNvPr id="494" name="Elipse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/>
      </xdr:nvSpPr>
      <xdr:spPr>
        <a:xfrm>
          <a:off x="5490684" y="105892366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102372</xdr:colOff>
      <xdr:row>567</xdr:row>
      <xdr:rowOff>29489</xdr:rowOff>
    </xdr:from>
    <xdr:to>
      <xdr:col>8</xdr:col>
      <xdr:colOff>160490</xdr:colOff>
      <xdr:row>567</xdr:row>
      <xdr:rowOff>90836</xdr:rowOff>
    </xdr:to>
    <xdr:sp macro="" textlink="">
      <xdr:nvSpPr>
        <xdr:cNvPr id="495" name="Elipse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/>
      </xdr:nvSpPr>
      <xdr:spPr>
        <a:xfrm>
          <a:off x="5768734" y="105894798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456587</xdr:colOff>
      <xdr:row>565</xdr:row>
      <xdr:rowOff>150602</xdr:rowOff>
    </xdr:from>
    <xdr:to>
      <xdr:col>4</xdr:col>
      <xdr:colOff>514705</xdr:colOff>
      <xdr:row>566</xdr:row>
      <xdr:rowOff>21449</xdr:rowOff>
    </xdr:to>
    <xdr:sp macro="" textlink="">
      <xdr:nvSpPr>
        <xdr:cNvPr id="496" name="Elipse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/>
      </xdr:nvSpPr>
      <xdr:spPr>
        <a:xfrm>
          <a:off x="3046576" y="105634911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493282</xdr:colOff>
      <xdr:row>564</xdr:row>
      <xdr:rowOff>120835</xdr:rowOff>
    </xdr:from>
    <xdr:to>
      <xdr:col>4</xdr:col>
      <xdr:colOff>551400</xdr:colOff>
      <xdr:row>564</xdr:row>
      <xdr:rowOff>182182</xdr:rowOff>
    </xdr:to>
    <xdr:sp macro="" textlink="">
      <xdr:nvSpPr>
        <xdr:cNvPr id="497" name="Elipse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/>
      </xdr:nvSpPr>
      <xdr:spPr>
        <a:xfrm>
          <a:off x="3084801" y="105409826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554675</xdr:colOff>
      <xdr:row>562</xdr:row>
      <xdr:rowOff>98720</xdr:rowOff>
    </xdr:from>
    <xdr:to>
      <xdr:col>4</xdr:col>
      <xdr:colOff>612793</xdr:colOff>
      <xdr:row>562</xdr:row>
      <xdr:rowOff>160067</xdr:rowOff>
    </xdr:to>
    <xdr:sp macro="" textlink="">
      <xdr:nvSpPr>
        <xdr:cNvPr id="498" name="Elipse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/>
      </xdr:nvSpPr>
      <xdr:spPr>
        <a:xfrm>
          <a:off x="3144664" y="105011529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634688</xdr:colOff>
      <xdr:row>559</xdr:row>
      <xdr:rowOff>153267</xdr:rowOff>
    </xdr:from>
    <xdr:to>
      <xdr:col>4</xdr:col>
      <xdr:colOff>692806</xdr:colOff>
      <xdr:row>560</xdr:row>
      <xdr:rowOff>24114</xdr:rowOff>
    </xdr:to>
    <xdr:sp macro="" textlink="">
      <xdr:nvSpPr>
        <xdr:cNvPr id="500" name="Elipse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/>
      </xdr:nvSpPr>
      <xdr:spPr>
        <a:xfrm>
          <a:off x="3226207" y="104489758"/>
          <a:ext cx="58118" cy="61347"/>
        </a:xfrm>
        <a:prstGeom prst="ellipse">
          <a:avLst/>
        </a:prstGeom>
        <a:solidFill>
          <a:srgbClr val="FFC000"/>
        </a:solidFill>
        <a:ln w="31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701421</xdr:colOff>
      <xdr:row>557</xdr:row>
      <xdr:rowOff>88140</xdr:rowOff>
    </xdr:from>
    <xdr:to>
      <xdr:col>4</xdr:col>
      <xdr:colOff>759539</xdr:colOff>
      <xdr:row>557</xdr:row>
      <xdr:rowOff>149487</xdr:rowOff>
    </xdr:to>
    <xdr:sp macro="" textlink="">
      <xdr:nvSpPr>
        <xdr:cNvPr id="501" name="Elipse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/>
      </xdr:nvSpPr>
      <xdr:spPr>
        <a:xfrm>
          <a:off x="3292940" y="104043631"/>
          <a:ext cx="58118" cy="61347"/>
        </a:xfrm>
        <a:prstGeom prst="ellipse">
          <a:avLst/>
        </a:prstGeom>
        <a:solidFill>
          <a:srgbClr val="FFC000"/>
        </a:solidFill>
        <a:ln w="31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736370</xdr:colOff>
      <xdr:row>556</xdr:row>
      <xdr:rowOff>40705</xdr:rowOff>
    </xdr:from>
    <xdr:to>
      <xdr:col>5</xdr:col>
      <xdr:colOff>32488</xdr:colOff>
      <xdr:row>556</xdr:row>
      <xdr:rowOff>102052</xdr:rowOff>
    </xdr:to>
    <xdr:sp macro="" textlink="">
      <xdr:nvSpPr>
        <xdr:cNvPr id="502" name="Elipse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/>
      </xdr:nvSpPr>
      <xdr:spPr>
        <a:xfrm>
          <a:off x="3327889" y="103805696"/>
          <a:ext cx="58118" cy="61347"/>
        </a:xfrm>
        <a:prstGeom prst="ellipse">
          <a:avLst/>
        </a:prstGeom>
        <a:solidFill>
          <a:srgbClr val="FFC000"/>
        </a:solidFill>
        <a:ln w="31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43973</xdr:colOff>
      <xdr:row>553</xdr:row>
      <xdr:rowOff>114934</xdr:rowOff>
    </xdr:from>
    <xdr:to>
      <xdr:col>5</xdr:col>
      <xdr:colOff>102091</xdr:colOff>
      <xdr:row>553</xdr:row>
      <xdr:rowOff>176281</xdr:rowOff>
    </xdr:to>
    <xdr:sp macro="" textlink="">
      <xdr:nvSpPr>
        <xdr:cNvPr id="503" name="Elipse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/>
      </xdr:nvSpPr>
      <xdr:spPr>
        <a:xfrm>
          <a:off x="3395962" y="103313243"/>
          <a:ext cx="58118" cy="61347"/>
        </a:xfrm>
        <a:prstGeom prst="ellipse">
          <a:avLst/>
        </a:prstGeom>
        <a:solidFill>
          <a:srgbClr val="00B050"/>
        </a:solidFill>
        <a:ln w="31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117065</xdr:colOff>
      <xdr:row>551</xdr:row>
      <xdr:rowOff>14508</xdr:rowOff>
    </xdr:from>
    <xdr:to>
      <xdr:col>5</xdr:col>
      <xdr:colOff>175183</xdr:colOff>
      <xdr:row>551</xdr:row>
      <xdr:rowOff>75855</xdr:rowOff>
    </xdr:to>
    <xdr:sp macro="" textlink="">
      <xdr:nvSpPr>
        <xdr:cNvPr id="504" name="Elipse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/>
      </xdr:nvSpPr>
      <xdr:spPr>
        <a:xfrm>
          <a:off x="3470584" y="102826999"/>
          <a:ext cx="58118" cy="61347"/>
        </a:xfrm>
        <a:prstGeom prst="ellipse">
          <a:avLst/>
        </a:prstGeom>
        <a:solidFill>
          <a:srgbClr val="00B050"/>
        </a:solidFill>
        <a:ln w="31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150166</xdr:colOff>
      <xdr:row>549</xdr:row>
      <xdr:rowOff>152222</xdr:rowOff>
    </xdr:from>
    <xdr:to>
      <xdr:col>5</xdr:col>
      <xdr:colOff>208284</xdr:colOff>
      <xdr:row>550</xdr:row>
      <xdr:rowOff>23069</xdr:rowOff>
    </xdr:to>
    <xdr:sp macro="" textlink="">
      <xdr:nvSpPr>
        <xdr:cNvPr id="505" name="Elipse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/>
      </xdr:nvSpPr>
      <xdr:spPr>
        <a:xfrm>
          <a:off x="3502155" y="102588531"/>
          <a:ext cx="58118" cy="61347"/>
        </a:xfrm>
        <a:prstGeom prst="ellipse">
          <a:avLst/>
        </a:prstGeom>
        <a:solidFill>
          <a:srgbClr val="00B050"/>
        </a:solidFill>
        <a:ln w="31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531976</xdr:colOff>
      <xdr:row>565</xdr:row>
      <xdr:rowOff>153034</xdr:rowOff>
    </xdr:from>
    <xdr:to>
      <xdr:col>5</xdr:col>
      <xdr:colOff>590094</xdr:colOff>
      <xdr:row>566</xdr:row>
      <xdr:rowOff>23881</xdr:rowOff>
    </xdr:to>
    <xdr:sp macro="" textlink="">
      <xdr:nvSpPr>
        <xdr:cNvPr id="506" name="Elipse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/>
      </xdr:nvSpPr>
      <xdr:spPr>
        <a:xfrm>
          <a:off x="3883965" y="105637343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526302</xdr:colOff>
      <xdr:row>563</xdr:row>
      <xdr:rowOff>117458</xdr:rowOff>
    </xdr:from>
    <xdr:to>
      <xdr:col>5</xdr:col>
      <xdr:colOff>584420</xdr:colOff>
      <xdr:row>563</xdr:row>
      <xdr:rowOff>178805</xdr:rowOff>
    </xdr:to>
    <xdr:sp macro="" textlink="">
      <xdr:nvSpPr>
        <xdr:cNvPr id="507" name="Elipse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/>
      </xdr:nvSpPr>
      <xdr:spPr>
        <a:xfrm>
          <a:off x="3879821" y="105215949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520628</xdr:colOff>
      <xdr:row>562</xdr:row>
      <xdr:rowOff>88993</xdr:rowOff>
    </xdr:from>
    <xdr:to>
      <xdr:col>5</xdr:col>
      <xdr:colOff>578746</xdr:colOff>
      <xdr:row>562</xdr:row>
      <xdr:rowOff>150340</xdr:rowOff>
    </xdr:to>
    <xdr:sp macro="" textlink="">
      <xdr:nvSpPr>
        <xdr:cNvPr id="508" name="Elipse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/>
      </xdr:nvSpPr>
      <xdr:spPr>
        <a:xfrm>
          <a:off x="3872617" y="105001802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517385</xdr:colOff>
      <xdr:row>559</xdr:row>
      <xdr:rowOff>149222</xdr:rowOff>
    </xdr:from>
    <xdr:to>
      <xdr:col>5</xdr:col>
      <xdr:colOff>575503</xdr:colOff>
      <xdr:row>560</xdr:row>
      <xdr:rowOff>20069</xdr:rowOff>
    </xdr:to>
    <xdr:sp macro="" textlink="">
      <xdr:nvSpPr>
        <xdr:cNvPr id="510" name="Elipse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/>
      </xdr:nvSpPr>
      <xdr:spPr>
        <a:xfrm>
          <a:off x="3870904" y="104485713"/>
          <a:ext cx="58118" cy="61347"/>
        </a:xfrm>
        <a:prstGeom prst="ellipse">
          <a:avLst/>
        </a:prstGeom>
        <a:solidFill>
          <a:srgbClr val="FFC000"/>
        </a:solidFill>
        <a:ln w="31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515762</xdr:colOff>
      <xdr:row>557</xdr:row>
      <xdr:rowOff>118292</xdr:rowOff>
    </xdr:from>
    <xdr:to>
      <xdr:col>5</xdr:col>
      <xdr:colOff>573880</xdr:colOff>
      <xdr:row>557</xdr:row>
      <xdr:rowOff>179639</xdr:rowOff>
    </xdr:to>
    <xdr:sp macro="" textlink="">
      <xdr:nvSpPr>
        <xdr:cNvPr id="511" name="Elipse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/>
      </xdr:nvSpPr>
      <xdr:spPr>
        <a:xfrm>
          <a:off x="3869281" y="104073783"/>
          <a:ext cx="58118" cy="61347"/>
        </a:xfrm>
        <a:prstGeom prst="ellipse">
          <a:avLst/>
        </a:prstGeom>
        <a:solidFill>
          <a:srgbClr val="FFC000"/>
        </a:solidFill>
        <a:ln w="31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518194</xdr:colOff>
      <xdr:row>556</xdr:row>
      <xdr:rowOff>60993</xdr:rowOff>
    </xdr:from>
    <xdr:to>
      <xdr:col>5</xdr:col>
      <xdr:colOff>576312</xdr:colOff>
      <xdr:row>556</xdr:row>
      <xdr:rowOff>122340</xdr:rowOff>
    </xdr:to>
    <xdr:sp macro="" textlink="">
      <xdr:nvSpPr>
        <xdr:cNvPr id="512" name="Elipse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/>
      </xdr:nvSpPr>
      <xdr:spPr>
        <a:xfrm>
          <a:off x="3871713" y="103825984"/>
          <a:ext cx="58118" cy="61347"/>
        </a:xfrm>
        <a:prstGeom prst="ellipse">
          <a:avLst/>
        </a:prstGeom>
        <a:solidFill>
          <a:srgbClr val="FFC000"/>
        </a:solidFill>
        <a:ln w="31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524676</xdr:colOff>
      <xdr:row>553</xdr:row>
      <xdr:rowOff>125472</xdr:rowOff>
    </xdr:from>
    <xdr:to>
      <xdr:col>5</xdr:col>
      <xdr:colOff>582794</xdr:colOff>
      <xdr:row>553</xdr:row>
      <xdr:rowOff>186819</xdr:rowOff>
    </xdr:to>
    <xdr:sp macro="" textlink="">
      <xdr:nvSpPr>
        <xdr:cNvPr id="513" name="Elipse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/>
      </xdr:nvSpPr>
      <xdr:spPr>
        <a:xfrm>
          <a:off x="3876665" y="103323781"/>
          <a:ext cx="58118" cy="61347"/>
        </a:xfrm>
        <a:prstGeom prst="ellipse">
          <a:avLst/>
        </a:prstGeom>
        <a:solidFill>
          <a:srgbClr val="00B050"/>
        </a:solidFill>
        <a:ln w="31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523054</xdr:colOff>
      <xdr:row>551</xdr:row>
      <xdr:rowOff>17860</xdr:rowOff>
    </xdr:from>
    <xdr:to>
      <xdr:col>5</xdr:col>
      <xdr:colOff>581172</xdr:colOff>
      <xdr:row>551</xdr:row>
      <xdr:rowOff>79207</xdr:rowOff>
    </xdr:to>
    <xdr:sp macro="" textlink="">
      <xdr:nvSpPr>
        <xdr:cNvPr id="514" name="Elipse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/>
      </xdr:nvSpPr>
      <xdr:spPr>
        <a:xfrm>
          <a:off x="3876573" y="102830351"/>
          <a:ext cx="58118" cy="61347"/>
        </a:xfrm>
        <a:prstGeom prst="ellipse">
          <a:avLst/>
        </a:prstGeom>
        <a:solidFill>
          <a:srgbClr val="00B050"/>
        </a:solidFill>
        <a:ln w="31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533592</xdr:colOff>
      <xdr:row>549</xdr:row>
      <xdr:rowOff>150603</xdr:rowOff>
    </xdr:from>
    <xdr:to>
      <xdr:col>5</xdr:col>
      <xdr:colOff>591710</xdr:colOff>
      <xdr:row>550</xdr:row>
      <xdr:rowOff>21450</xdr:rowOff>
    </xdr:to>
    <xdr:sp macro="" textlink="">
      <xdr:nvSpPr>
        <xdr:cNvPr id="515" name="Elipse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/>
      </xdr:nvSpPr>
      <xdr:spPr>
        <a:xfrm>
          <a:off x="3885581" y="102586912"/>
          <a:ext cx="58118" cy="61347"/>
        </a:xfrm>
        <a:prstGeom prst="ellipse">
          <a:avLst/>
        </a:prstGeom>
        <a:solidFill>
          <a:srgbClr val="00B050"/>
        </a:solidFill>
        <a:ln w="31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141862</xdr:colOff>
      <xdr:row>559</xdr:row>
      <xdr:rowOff>112058</xdr:rowOff>
    </xdr:from>
    <xdr:to>
      <xdr:col>5</xdr:col>
      <xdr:colOff>490437</xdr:colOff>
      <xdr:row>570</xdr:row>
      <xdr:rowOff>113489</xdr:rowOff>
    </xdr:to>
    <xdr:sp macro="" textlink="">
      <xdr:nvSpPr>
        <xdr:cNvPr id="344" name="Forma libre: forma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/>
      </xdr:nvSpPr>
      <xdr:spPr>
        <a:xfrm>
          <a:off x="3492421" y="104450029"/>
          <a:ext cx="348575" cy="2096931"/>
        </a:xfrm>
        <a:custGeom>
          <a:avLst/>
          <a:gdLst>
            <a:gd name="connsiteX0" fmla="*/ 0 w 340468"/>
            <a:gd name="connsiteY0" fmla="*/ 1872575 h 1872575"/>
            <a:gd name="connsiteX1" fmla="*/ 340468 w 340468"/>
            <a:gd name="connsiteY1" fmla="*/ 1872575 h 1872575"/>
            <a:gd name="connsiteX2" fmla="*/ 336415 w 340468"/>
            <a:gd name="connsiteY2" fmla="*/ 0 h 1872575"/>
            <a:gd name="connsiteX0" fmla="*/ 0 w 348575"/>
            <a:gd name="connsiteY0" fmla="*/ 1868521 h 1868521"/>
            <a:gd name="connsiteX1" fmla="*/ 340468 w 348575"/>
            <a:gd name="connsiteY1" fmla="*/ 1868521 h 1868521"/>
            <a:gd name="connsiteX2" fmla="*/ 348575 w 348575"/>
            <a:gd name="connsiteY2" fmla="*/ 0 h 18685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48575" h="1868521">
              <a:moveTo>
                <a:pt x="0" y="1868521"/>
              </a:moveTo>
              <a:lnTo>
                <a:pt x="340468" y="1868521"/>
              </a:lnTo>
              <a:cubicBezTo>
                <a:pt x="343170" y="1245681"/>
                <a:pt x="345873" y="622840"/>
                <a:pt x="348575" y="0"/>
              </a:cubicBezTo>
            </a:path>
          </a:pathLst>
        </a:cu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614632</xdr:colOff>
      <xdr:row>554</xdr:row>
      <xdr:rowOff>99390</xdr:rowOff>
    </xdr:from>
    <xdr:to>
      <xdr:col>6</xdr:col>
      <xdr:colOff>662608</xdr:colOff>
      <xdr:row>555</xdr:row>
      <xdr:rowOff>129395</xdr:rowOff>
    </xdr:to>
    <xdr:cxnSp macro="">
      <xdr:nvCxnSpPr>
        <xdr:cNvPr id="346" name="Conector: curvado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/>
      </xdr:nvCxnSpPr>
      <xdr:spPr>
        <a:xfrm rot="10800000" flipV="1">
          <a:off x="3968151" y="103483381"/>
          <a:ext cx="809976" cy="220505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166687</xdr:colOff>
      <xdr:row>554</xdr:row>
      <xdr:rowOff>113109</xdr:rowOff>
    </xdr:from>
    <xdr:to>
      <xdr:col>4</xdr:col>
      <xdr:colOff>708085</xdr:colOff>
      <xdr:row>555</xdr:row>
      <xdr:rowOff>118613</xdr:rowOff>
    </xdr:to>
    <xdr:cxnSp macro="">
      <xdr:nvCxnSpPr>
        <xdr:cNvPr id="348" name="Conector: curvado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/>
      </xdr:nvCxnSpPr>
      <xdr:spPr>
        <a:xfrm>
          <a:off x="2758206" y="103497100"/>
          <a:ext cx="541398" cy="196004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506802</xdr:colOff>
      <xdr:row>560</xdr:row>
      <xdr:rowOff>89296</xdr:rowOff>
    </xdr:from>
    <xdr:to>
      <xdr:col>6</xdr:col>
      <xdr:colOff>648892</xdr:colOff>
      <xdr:row>561</xdr:row>
      <xdr:rowOff>115018</xdr:rowOff>
    </xdr:to>
    <xdr:cxnSp macro="">
      <xdr:nvCxnSpPr>
        <xdr:cNvPr id="523" name="Conector: curvado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/>
      </xdr:nvCxnSpPr>
      <xdr:spPr>
        <a:xfrm rot="10800000" flipV="1">
          <a:off x="3860321" y="104616287"/>
          <a:ext cx="904090" cy="216222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141862</xdr:colOff>
      <xdr:row>551</xdr:row>
      <xdr:rowOff>101329</xdr:rowOff>
    </xdr:from>
    <xdr:to>
      <xdr:col>5</xdr:col>
      <xdr:colOff>83189</xdr:colOff>
      <xdr:row>552</xdr:row>
      <xdr:rowOff>100320</xdr:rowOff>
    </xdr:to>
    <xdr:cxnSp macro="">
      <xdr:nvCxnSpPr>
        <xdr:cNvPr id="363" name="Conector recto de flecha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  <a:endCxn id="405" idx="2"/>
        </xdr:cNvCxnSpPr>
      </xdr:nvCxnSpPr>
      <xdr:spPr>
        <a:xfrm>
          <a:off x="2733381" y="102913820"/>
          <a:ext cx="703327" cy="18949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141862</xdr:colOff>
      <xdr:row>551</xdr:row>
      <xdr:rowOff>45182</xdr:rowOff>
    </xdr:from>
    <xdr:to>
      <xdr:col>5</xdr:col>
      <xdr:colOff>117065</xdr:colOff>
      <xdr:row>551</xdr:row>
      <xdr:rowOff>97276</xdr:rowOff>
    </xdr:to>
    <xdr:cxnSp macro="">
      <xdr:nvCxnSpPr>
        <xdr:cNvPr id="370" name="Conector recto de flecha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  <a:endCxn id="504" idx="2"/>
        </xdr:cNvCxnSpPr>
      </xdr:nvCxnSpPr>
      <xdr:spPr>
        <a:xfrm flipV="1">
          <a:off x="2733381" y="102857673"/>
          <a:ext cx="737203" cy="5209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581172</xdr:colOff>
      <xdr:row>551</xdr:row>
      <xdr:rowOff>48534</xdr:rowOff>
    </xdr:from>
    <xdr:to>
      <xdr:col>6</xdr:col>
      <xdr:colOff>654845</xdr:colOff>
      <xdr:row>551</xdr:row>
      <xdr:rowOff>125015</xdr:rowOff>
    </xdr:to>
    <xdr:cxnSp macro="">
      <xdr:nvCxnSpPr>
        <xdr:cNvPr id="450" name="Conector recto de flecha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endCxn id="514" idx="6"/>
        </xdr:cNvCxnSpPr>
      </xdr:nvCxnSpPr>
      <xdr:spPr>
        <a:xfrm flipH="1" flipV="1">
          <a:off x="3934691" y="102861025"/>
          <a:ext cx="835673" cy="7648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586830</xdr:colOff>
      <xdr:row>551</xdr:row>
      <xdr:rowOff>130968</xdr:rowOff>
    </xdr:from>
    <xdr:to>
      <xdr:col>6</xdr:col>
      <xdr:colOff>654844</xdr:colOff>
      <xdr:row>552</xdr:row>
      <xdr:rowOff>107263</xdr:rowOff>
    </xdr:to>
    <xdr:cxnSp macro="">
      <xdr:nvCxnSpPr>
        <xdr:cNvPr id="452" name="Conector recto de flecha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endCxn id="406" idx="6"/>
        </xdr:cNvCxnSpPr>
      </xdr:nvCxnSpPr>
      <xdr:spPr>
        <a:xfrm flipH="1">
          <a:off x="3940349" y="102943459"/>
          <a:ext cx="830014" cy="16679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573880</xdr:colOff>
      <xdr:row>557</xdr:row>
      <xdr:rowOff>148828</xdr:rowOff>
    </xdr:from>
    <xdr:to>
      <xdr:col>6</xdr:col>
      <xdr:colOff>619124</xdr:colOff>
      <xdr:row>557</xdr:row>
      <xdr:rowOff>148966</xdr:rowOff>
    </xdr:to>
    <xdr:cxnSp macro="">
      <xdr:nvCxnSpPr>
        <xdr:cNvPr id="456" name="Conector recto de flecha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endCxn id="511" idx="6"/>
        </xdr:cNvCxnSpPr>
      </xdr:nvCxnSpPr>
      <xdr:spPr>
        <a:xfrm flipH="1">
          <a:off x="3927399" y="104104319"/>
          <a:ext cx="807244" cy="138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576755</xdr:colOff>
      <xdr:row>557</xdr:row>
      <xdr:rowOff>142875</xdr:rowOff>
    </xdr:from>
    <xdr:to>
      <xdr:col>6</xdr:col>
      <xdr:colOff>631031</xdr:colOff>
      <xdr:row>558</xdr:row>
      <xdr:rowOff>162824</xdr:rowOff>
    </xdr:to>
    <xdr:cxnSp macro="">
      <xdr:nvCxnSpPr>
        <xdr:cNvPr id="459" name="Conector recto de flecha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endCxn id="404" idx="6"/>
        </xdr:cNvCxnSpPr>
      </xdr:nvCxnSpPr>
      <xdr:spPr>
        <a:xfrm flipH="1">
          <a:off x="3930274" y="104098366"/>
          <a:ext cx="816276" cy="210449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130968</xdr:colOff>
      <xdr:row>557</xdr:row>
      <xdr:rowOff>118814</xdr:rowOff>
    </xdr:from>
    <xdr:to>
      <xdr:col>4</xdr:col>
      <xdr:colOff>701421</xdr:colOff>
      <xdr:row>557</xdr:row>
      <xdr:rowOff>125015</xdr:rowOff>
    </xdr:to>
    <xdr:cxnSp macro="">
      <xdr:nvCxnSpPr>
        <xdr:cNvPr id="462" name="Conector recto de flecha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endCxn id="501" idx="2"/>
        </xdr:cNvCxnSpPr>
      </xdr:nvCxnSpPr>
      <xdr:spPr>
        <a:xfrm flipV="1">
          <a:off x="2722487" y="104074305"/>
          <a:ext cx="570453" cy="6201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125015</xdr:colOff>
      <xdr:row>557</xdr:row>
      <xdr:rowOff>125015</xdr:rowOff>
    </xdr:from>
    <xdr:to>
      <xdr:col>4</xdr:col>
      <xdr:colOff>668355</xdr:colOff>
      <xdr:row>558</xdr:row>
      <xdr:rowOff>154242</xdr:rowOff>
    </xdr:to>
    <xdr:cxnSp macro="">
      <xdr:nvCxnSpPr>
        <xdr:cNvPr id="464" name="Conector recto de flecha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endCxn id="401" idx="2"/>
        </xdr:cNvCxnSpPr>
      </xdr:nvCxnSpPr>
      <xdr:spPr>
        <a:xfrm>
          <a:off x="2716534" y="104080506"/>
          <a:ext cx="543340" cy="219727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147368</xdr:colOff>
      <xdr:row>563</xdr:row>
      <xdr:rowOff>111424</xdr:rowOff>
    </xdr:from>
    <xdr:to>
      <xdr:col>4</xdr:col>
      <xdr:colOff>520796</xdr:colOff>
      <xdr:row>563</xdr:row>
      <xdr:rowOff>148589</xdr:rowOff>
    </xdr:to>
    <xdr:cxnSp macro="">
      <xdr:nvCxnSpPr>
        <xdr:cNvPr id="516" name="Conector recto de flecha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endCxn id="378" idx="2"/>
        </xdr:cNvCxnSpPr>
      </xdr:nvCxnSpPr>
      <xdr:spPr>
        <a:xfrm>
          <a:off x="2738887" y="105209915"/>
          <a:ext cx="373428" cy="371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563</xdr:row>
      <xdr:rowOff>108857</xdr:rowOff>
    </xdr:from>
    <xdr:to>
      <xdr:col>4</xdr:col>
      <xdr:colOff>493282</xdr:colOff>
      <xdr:row>564</xdr:row>
      <xdr:rowOff>151509</xdr:rowOff>
    </xdr:to>
    <xdr:cxnSp macro="">
      <xdr:nvCxnSpPr>
        <xdr:cNvPr id="518" name="Conector recto de flecha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endCxn id="497" idx="2"/>
        </xdr:cNvCxnSpPr>
      </xdr:nvCxnSpPr>
      <xdr:spPr>
        <a:xfrm>
          <a:off x="2734394" y="105207348"/>
          <a:ext cx="350407" cy="2331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584420</xdr:colOff>
      <xdr:row>563</xdr:row>
      <xdr:rowOff>125015</xdr:rowOff>
    </xdr:from>
    <xdr:to>
      <xdr:col>6</xdr:col>
      <xdr:colOff>654845</xdr:colOff>
      <xdr:row>563</xdr:row>
      <xdr:rowOff>148132</xdr:rowOff>
    </xdr:to>
    <xdr:cxnSp macro="">
      <xdr:nvCxnSpPr>
        <xdr:cNvPr id="520" name="Conector recto de flecha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endCxn id="507" idx="6"/>
        </xdr:cNvCxnSpPr>
      </xdr:nvCxnSpPr>
      <xdr:spPr>
        <a:xfrm flipH="1">
          <a:off x="3937939" y="105223506"/>
          <a:ext cx="832425" cy="23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585860</xdr:colOff>
      <xdr:row>563</xdr:row>
      <xdr:rowOff>125015</xdr:rowOff>
    </xdr:from>
    <xdr:to>
      <xdr:col>6</xdr:col>
      <xdr:colOff>660796</xdr:colOff>
      <xdr:row>564</xdr:row>
      <xdr:rowOff>181919</xdr:rowOff>
    </xdr:to>
    <xdr:cxnSp macro="">
      <xdr:nvCxnSpPr>
        <xdr:cNvPr id="522" name="Conector recto de flecha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endCxn id="379" idx="6"/>
        </xdr:cNvCxnSpPr>
      </xdr:nvCxnSpPr>
      <xdr:spPr>
        <a:xfrm flipH="1">
          <a:off x="3939379" y="105223506"/>
          <a:ext cx="836936" cy="2474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571503</xdr:colOff>
      <xdr:row>571</xdr:row>
      <xdr:rowOff>43962</xdr:rowOff>
    </xdr:from>
    <xdr:to>
      <xdr:col>4</xdr:col>
      <xdr:colOff>95255</xdr:colOff>
      <xdr:row>572</xdr:row>
      <xdr:rowOff>161192</xdr:rowOff>
    </xdr:to>
    <xdr:cxnSp macro="">
      <xdr:nvCxnSpPr>
        <xdr:cNvPr id="526" name="Conector: curvado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/>
      </xdr:nvCxnSpPr>
      <xdr:spPr>
        <a:xfrm rot="5400000" flipH="1" flipV="1">
          <a:off x="2384918" y="106683663"/>
          <a:ext cx="307730" cy="285752"/>
        </a:xfrm>
        <a:prstGeom prst="curvedConnector3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512886</xdr:colOff>
      <xdr:row>565</xdr:row>
      <xdr:rowOff>117230</xdr:rowOff>
    </xdr:from>
    <xdr:to>
      <xdr:col>6</xdr:col>
      <xdr:colOff>747346</xdr:colOff>
      <xdr:row>566</xdr:row>
      <xdr:rowOff>183176</xdr:rowOff>
    </xdr:to>
    <xdr:cxnSp macro="">
      <xdr:nvCxnSpPr>
        <xdr:cNvPr id="535" name="Conector: curvado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/>
      </xdr:nvCxnSpPr>
      <xdr:spPr>
        <a:xfrm rot="5400000">
          <a:off x="4612297" y="105613935"/>
          <a:ext cx="256446" cy="234460"/>
        </a:xfrm>
        <a:prstGeom prst="curvedConnector3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410308</xdr:colOff>
      <xdr:row>571</xdr:row>
      <xdr:rowOff>28411</xdr:rowOff>
    </xdr:from>
    <xdr:to>
      <xdr:col>6</xdr:col>
      <xdr:colOff>4167</xdr:colOff>
      <xdr:row>572</xdr:row>
      <xdr:rowOff>146539</xdr:rowOff>
    </xdr:to>
    <xdr:cxnSp macro="">
      <xdr:nvCxnSpPr>
        <xdr:cNvPr id="545" name="Conector recto de flecha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endCxn id="474" idx="4"/>
        </xdr:cNvCxnSpPr>
      </xdr:nvCxnSpPr>
      <xdr:spPr>
        <a:xfrm flipV="1">
          <a:off x="3761816" y="106653521"/>
          <a:ext cx="355859" cy="3086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413289</xdr:colOff>
      <xdr:row>571</xdr:row>
      <xdr:rowOff>27767</xdr:rowOff>
    </xdr:from>
    <xdr:to>
      <xdr:col>5</xdr:col>
      <xdr:colOff>502339</xdr:colOff>
      <xdr:row>572</xdr:row>
      <xdr:rowOff>145297</xdr:rowOff>
    </xdr:to>
    <xdr:cxnSp macro="">
      <xdr:nvCxnSpPr>
        <xdr:cNvPr id="547" name="Conector recto de flecha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endCxn id="473" idx="4"/>
        </xdr:cNvCxnSpPr>
      </xdr:nvCxnSpPr>
      <xdr:spPr>
        <a:xfrm flipV="1">
          <a:off x="3764797" y="106652877"/>
          <a:ext cx="89050" cy="3080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615381</xdr:colOff>
      <xdr:row>567</xdr:row>
      <xdr:rowOff>88404</xdr:rowOff>
    </xdr:from>
    <xdr:to>
      <xdr:col>8</xdr:col>
      <xdr:colOff>227135</xdr:colOff>
      <xdr:row>572</xdr:row>
      <xdr:rowOff>131884</xdr:rowOff>
    </xdr:to>
    <xdr:cxnSp macro="">
      <xdr:nvCxnSpPr>
        <xdr:cNvPr id="551" name="Conector recto de flecha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endCxn id="494" idx="4"/>
        </xdr:cNvCxnSpPr>
      </xdr:nvCxnSpPr>
      <xdr:spPr>
        <a:xfrm flipH="1" flipV="1">
          <a:off x="5517093" y="105955116"/>
          <a:ext cx="373754" cy="9959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378148</xdr:colOff>
      <xdr:row>567</xdr:row>
      <xdr:rowOff>81040</xdr:rowOff>
    </xdr:from>
    <xdr:to>
      <xdr:col>8</xdr:col>
      <xdr:colOff>227134</xdr:colOff>
      <xdr:row>572</xdr:row>
      <xdr:rowOff>139212</xdr:rowOff>
    </xdr:to>
    <xdr:cxnSp macro="">
      <xdr:nvCxnSpPr>
        <xdr:cNvPr id="553" name="Conector recto de flecha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CxnSpPr>
          <a:endCxn id="493" idx="5"/>
        </xdr:cNvCxnSpPr>
      </xdr:nvCxnSpPr>
      <xdr:spPr>
        <a:xfrm flipH="1" flipV="1">
          <a:off x="5279860" y="105947752"/>
          <a:ext cx="610986" cy="10106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490437</xdr:colOff>
      <xdr:row>559</xdr:row>
      <xdr:rowOff>112058</xdr:rowOff>
    </xdr:from>
    <xdr:to>
      <xdr:col>10</xdr:col>
      <xdr:colOff>285750</xdr:colOff>
      <xdr:row>559</xdr:row>
      <xdr:rowOff>114300</xdr:rowOff>
    </xdr:to>
    <xdr:cxnSp macro="">
      <xdr:nvCxnSpPr>
        <xdr:cNvPr id="566" name="Conector recto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CxnSpPr>
          <a:stCxn id="344" idx="2"/>
        </xdr:cNvCxnSpPr>
      </xdr:nvCxnSpPr>
      <xdr:spPr>
        <a:xfrm>
          <a:off x="3843237" y="104448908"/>
          <a:ext cx="3586263" cy="2242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418003</xdr:colOff>
      <xdr:row>566</xdr:row>
      <xdr:rowOff>58615</xdr:rowOff>
    </xdr:from>
    <xdr:to>
      <xdr:col>10</xdr:col>
      <xdr:colOff>271096</xdr:colOff>
      <xdr:row>566</xdr:row>
      <xdr:rowOff>72225</xdr:rowOff>
    </xdr:to>
    <xdr:cxnSp macro="">
      <xdr:nvCxnSpPr>
        <xdr:cNvPr id="607" name="Conector recto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CxnSpPr/>
      </xdr:nvCxnSpPr>
      <xdr:spPr>
        <a:xfrm flipV="1">
          <a:off x="6081715" y="105734827"/>
          <a:ext cx="1333131" cy="13610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409209</xdr:colOff>
      <xdr:row>571</xdr:row>
      <xdr:rowOff>108441</xdr:rowOff>
    </xdr:from>
    <xdr:to>
      <xdr:col>10</xdr:col>
      <xdr:colOff>262302</xdr:colOff>
      <xdr:row>571</xdr:row>
      <xdr:rowOff>122051</xdr:rowOff>
    </xdr:to>
    <xdr:cxnSp macro="">
      <xdr:nvCxnSpPr>
        <xdr:cNvPr id="612" name="Conector recto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CxnSpPr/>
      </xdr:nvCxnSpPr>
      <xdr:spPr>
        <a:xfrm flipV="1">
          <a:off x="6072921" y="106737153"/>
          <a:ext cx="1333131" cy="13610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407742</xdr:colOff>
      <xdr:row>548</xdr:row>
      <xdr:rowOff>121634</xdr:rowOff>
    </xdr:from>
    <xdr:to>
      <xdr:col>10</xdr:col>
      <xdr:colOff>260835</xdr:colOff>
      <xdr:row>548</xdr:row>
      <xdr:rowOff>135244</xdr:rowOff>
    </xdr:to>
    <xdr:cxnSp macro="">
      <xdr:nvCxnSpPr>
        <xdr:cNvPr id="613" name="Conector recto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CxnSpPr/>
      </xdr:nvCxnSpPr>
      <xdr:spPr>
        <a:xfrm flipV="1">
          <a:off x="6071454" y="102368846"/>
          <a:ext cx="1333131" cy="13610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692230</xdr:colOff>
      <xdr:row>548</xdr:row>
      <xdr:rowOff>124559</xdr:rowOff>
    </xdr:from>
    <xdr:to>
      <xdr:col>9</xdr:col>
      <xdr:colOff>705256</xdr:colOff>
      <xdr:row>566</xdr:row>
      <xdr:rowOff>60797</xdr:rowOff>
    </xdr:to>
    <xdr:cxnSp macro="">
      <xdr:nvCxnSpPr>
        <xdr:cNvPr id="572" name="Conector recto de flecha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CxnSpPr/>
      </xdr:nvCxnSpPr>
      <xdr:spPr>
        <a:xfrm flipH="1" flipV="1">
          <a:off x="7071953" y="102370368"/>
          <a:ext cx="13026" cy="336523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704850</xdr:colOff>
      <xdr:row>566</xdr:row>
      <xdr:rowOff>56744</xdr:rowOff>
    </xdr:from>
    <xdr:to>
      <xdr:col>9</xdr:col>
      <xdr:colOff>709309</xdr:colOff>
      <xdr:row>571</xdr:row>
      <xdr:rowOff>110491</xdr:rowOff>
    </xdr:to>
    <xdr:cxnSp macro="">
      <xdr:nvCxnSpPr>
        <xdr:cNvPr id="617" name="Conector recto de flecha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CxnSpPr/>
      </xdr:nvCxnSpPr>
      <xdr:spPr>
        <a:xfrm flipV="1">
          <a:off x="7084573" y="105731553"/>
          <a:ext cx="4459" cy="1006247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70855</xdr:colOff>
      <xdr:row>547</xdr:row>
      <xdr:rowOff>47626</xdr:rowOff>
    </xdr:from>
    <xdr:to>
      <xdr:col>5</xdr:col>
      <xdr:colOff>701431</xdr:colOff>
      <xdr:row>547</xdr:row>
      <xdr:rowOff>50692</xdr:rowOff>
    </xdr:to>
    <xdr:cxnSp macro="">
      <xdr:nvCxnSpPr>
        <xdr:cNvPr id="577" name="Conector recto de flecha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CxnSpPr/>
      </xdr:nvCxnSpPr>
      <xdr:spPr>
        <a:xfrm flipV="1">
          <a:off x="3423655" y="102098476"/>
          <a:ext cx="630576" cy="3066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239139</xdr:colOff>
      <xdr:row>559</xdr:row>
      <xdr:rowOff>117542</xdr:rowOff>
    </xdr:from>
    <xdr:to>
      <xdr:col>10</xdr:col>
      <xdr:colOff>255270</xdr:colOff>
      <xdr:row>566</xdr:row>
      <xdr:rowOff>57152</xdr:rowOff>
    </xdr:to>
    <xdr:cxnSp macro="">
      <xdr:nvCxnSpPr>
        <xdr:cNvPr id="623" name="Conector recto de flecha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CxnSpPr/>
      </xdr:nvCxnSpPr>
      <xdr:spPr>
        <a:xfrm flipH="1" flipV="1">
          <a:off x="7380862" y="104458851"/>
          <a:ext cx="16131" cy="1273110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300403</xdr:colOff>
      <xdr:row>574</xdr:row>
      <xdr:rowOff>122234</xdr:rowOff>
    </xdr:from>
    <xdr:to>
      <xdr:col>8</xdr:col>
      <xdr:colOff>305834</xdr:colOff>
      <xdr:row>577</xdr:row>
      <xdr:rowOff>80596</xdr:rowOff>
    </xdr:to>
    <xdr:cxnSp macro="">
      <xdr:nvCxnSpPr>
        <xdr:cNvPr id="630" name="Conector recto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CxnSpPr/>
      </xdr:nvCxnSpPr>
      <xdr:spPr>
        <a:xfrm flipV="1">
          <a:off x="5964115" y="107322446"/>
          <a:ext cx="5431" cy="529862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694592</xdr:colOff>
      <xdr:row>574</xdr:row>
      <xdr:rowOff>106116</xdr:rowOff>
    </xdr:from>
    <xdr:to>
      <xdr:col>5</xdr:col>
      <xdr:colOff>700023</xdr:colOff>
      <xdr:row>577</xdr:row>
      <xdr:rowOff>64478</xdr:rowOff>
    </xdr:to>
    <xdr:cxnSp macro="">
      <xdr:nvCxnSpPr>
        <xdr:cNvPr id="633" name="Conector recto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CxnSpPr/>
      </xdr:nvCxnSpPr>
      <xdr:spPr>
        <a:xfrm flipV="1">
          <a:off x="4042996" y="107306328"/>
          <a:ext cx="5431" cy="529862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282819</xdr:colOff>
      <xdr:row>574</xdr:row>
      <xdr:rowOff>104651</xdr:rowOff>
    </xdr:from>
    <xdr:to>
      <xdr:col>4</xdr:col>
      <xdr:colOff>288250</xdr:colOff>
      <xdr:row>577</xdr:row>
      <xdr:rowOff>63013</xdr:rowOff>
    </xdr:to>
    <xdr:cxnSp macro="">
      <xdr:nvCxnSpPr>
        <xdr:cNvPr id="634" name="Conector recto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CxnSpPr/>
      </xdr:nvCxnSpPr>
      <xdr:spPr>
        <a:xfrm flipV="1">
          <a:off x="2869223" y="107304863"/>
          <a:ext cx="5431" cy="529862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574</xdr:row>
      <xdr:rowOff>88532</xdr:rowOff>
    </xdr:from>
    <xdr:to>
      <xdr:col>2</xdr:col>
      <xdr:colOff>367381</xdr:colOff>
      <xdr:row>577</xdr:row>
      <xdr:rowOff>46894</xdr:rowOff>
    </xdr:to>
    <xdr:cxnSp macro="">
      <xdr:nvCxnSpPr>
        <xdr:cNvPr id="635" name="Conector recto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CxnSpPr/>
      </xdr:nvCxnSpPr>
      <xdr:spPr>
        <a:xfrm flipV="1">
          <a:off x="1512277" y="107288744"/>
          <a:ext cx="5431" cy="529862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359019</xdr:colOff>
      <xdr:row>575</xdr:row>
      <xdr:rowOff>117230</xdr:rowOff>
    </xdr:from>
    <xdr:to>
      <xdr:col>4</xdr:col>
      <xdr:colOff>285750</xdr:colOff>
      <xdr:row>575</xdr:row>
      <xdr:rowOff>131884</xdr:rowOff>
    </xdr:to>
    <xdr:cxnSp macro="">
      <xdr:nvCxnSpPr>
        <xdr:cNvPr id="588" name="Conector recto de flecha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CxnSpPr/>
      </xdr:nvCxnSpPr>
      <xdr:spPr>
        <a:xfrm flipV="1">
          <a:off x="1509346" y="107507942"/>
          <a:ext cx="1362808" cy="1465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279638</xdr:colOff>
      <xdr:row>575</xdr:row>
      <xdr:rowOff>111512</xdr:rowOff>
    </xdr:from>
    <xdr:to>
      <xdr:col>5</xdr:col>
      <xdr:colOff>696951</xdr:colOff>
      <xdr:row>575</xdr:row>
      <xdr:rowOff>115764</xdr:rowOff>
    </xdr:to>
    <xdr:cxnSp macro="">
      <xdr:nvCxnSpPr>
        <xdr:cNvPr id="638" name="Conector recto de flecha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CxnSpPr/>
      </xdr:nvCxnSpPr>
      <xdr:spPr>
        <a:xfrm flipV="1">
          <a:off x="2872297" y="107497756"/>
          <a:ext cx="1179313" cy="425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696879</xdr:colOff>
      <xdr:row>575</xdr:row>
      <xdr:rowOff>88280</xdr:rowOff>
    </xdr:from>
    <xdr:to>
      <xdr:col>8</xdr:col>
      <xdr:colOff>306658</xdr:colOff>
      <xdr:row>575</xdr:row>
      <xdr:rowOff>110189</xdr:rowOff>
    </xdr:to>
    <xdr:cxnSp macro="">
      <xdr:nvCxnSpPr>
        <xdr:cNvPr id="641" name="Conector recto de flecha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V="1">
          <a:off x="4051538" y="107474524"/>
          <a:ext cx="1923657" cy="2190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68291</xdr:colOff>
      <xdr:row>546</xdr:row>
      <xdr:rowOff>115021</xdr:rowOff>
    </xdr:from>
    <xdr:to>
      <xdr:col>5</xdr:col>
      <xdr:colOff>71238</xdr:colOff>
      <xdr:row>548</xdr:row>
      <xdr:rowOff>118447</xdr:rowOff>
    </xdr:to>
    <xdr:cxnSp macro="">
      <xdr:nvCxnSpPr>
        <xdr:cNvPr id="369" name="Conector recto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/>
      </xdr:nvCxnSpPr>
      <xdr:spPr>
        <a:xfrm flipH="1" flipV="1">
          <a:off x="3421810" y="101975012"/>
          <a:ext cx="2947" cy="384426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702331</xdr:colOff>
      <xdr:row>546</xdr:row>
      <xdr:rowOff>116458</xdr:rowOff>
    </xdr:from>
    <xdr:to>
      <xdr:col>5</xdr:col>
      <xdr:colOff>705278</xdr:colOff>
      <xdr:row>548</xdr:row>
      <xdr:rowOff>119884</xdr:rowOff>
    </xdr:to>
    <xdr:cxnSp macro="">
      <xdr:nvCxnSpPr>
        <xdr:cNvPr id="377" name="Conector recto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/>
      </xdr:nvCxnSpPr>
      <xdr:spPr>
        <a:xfrm flipH="1" flipV="1">
          <a:off x="4055850" y="101976449"/>
          <a:ext cx="2947" cy="384426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520796</xdr:colOff>
      <xdr:row>563</xdr:row>
      <xdr:rowOff>117915</xdr:rowOff>
    </xdr:from>
    <xdr:to>
      <xdr:col>4</xdr:col>
      <xdr:colOff>578914</xdr:colOff>
      <xdr:row>563</xdr:row>
      <xdr:rowOff>179262</xdr:rowOff>
    </xdr:to>
    <xdr:sp macro="" textlink="">
      <xdr:nvSpPr>
        <xdr:cNvPr id="378" name="Elips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/>
      </xdr:nvSpPr>
      <xdr:spPr>
        <a:xfrm>
          <a:off x="3112315" y="105216406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527742</xdr:colOff>
      <xdr:row>564</xdr:row>
      <xdr:rowOff>151245</xdr:rowOff>
    </xdr:from>
    <xdr:to>
      <xdr:col>5</xdr:col>
      <xdr:colOff>585860</xdr:colOff>
      <xdr:row>565</xdr:row>
      <xdr:rowOff>22092</xdr:rowOff>
    </xdr:to>
    <xdr:sp macro="" textlink="">
      <xdr:nvSpPr>
        <xdr:cNvPr id="379" name="Elips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/>
      </xdr:nvSpPr>
      <xdr:spPr>
        <a:xfrm>
          <a:off x="3881261" y="105440236"/>
          <a:ext cx="58118" cy="61347"/>
        </a:xfrm>
        <a:prstGeom prst="ellipse">
          <a:avLst/>
        </a:prstGeom>
        <a:solidFill>
          <a:schemeClr val="tx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668355</xdr:colOff>
      <xdr:row>558</xdr:row>
      <xdr:rowOff>123568</xdr:rowOff>
    </xdr:from>
    <xdr:to>
      <xdr:col>4</xdr:col>
      <xdr:colOff>726473</xdr:colOff>
      <xdr:row>558</xdr:row>
      <xdr:rowOff>184915</xdr:rowOff>
    </xdr:to>
    <xdr:sp macro="" textlink="">
      <xdr:nvSpPr>
        <xdr:cNvPr id="401" name="Elips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3259874" y="104269559"/>
          <a:ext cx="58118" cy="61347"/>
        </a:xfrm>
        <a:prstGeom prst="ellipse">
          <a:avLst/>
        </a:prstGeom>
        <a:solidFill>
          <a:srgbClr val="FFC000"/>
        </a:solidFill>
        <a:ln w="31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518637</xdr:colOff>
      <xdr:row>558</xdr:row>
      <xdr:rowOff>132150</xdr:rowOff>
    </xdr:from>
    <xdr:to>
      <xdr:col>5</xdr:col>
      <xdr:colOff>576755</xdr:colOff>
      <xdr:row>559</xdr:row>
      <xdr:rowOff>2997</xdr:rowOff>
    </xdr:to>
    <xdr:sp macro="" textlink="">
      <xdr:nvSpPr>
        <xdr:cNvPr id="404" name="Elips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/>
      </xdr:nvSpPr>
      <xdr:spPr>
        <a:xfrm>
          <a:off x="3872156" y="104278141"/>
          <a:ext cx="58118" cy="61347"/>
        </a:xfrm>
        <a:prstGeom prst="ellipse">
          <a:avLst/>
        </a:prstGeom>
        <a:solidFill>
          <a:srgbClr val="FFC000"/>
        </a:solidFill>
        <a:ln w="31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83189</xdr:colOff>
      <xdr:row>552</xdr:row>
      <xdr:rowOff>69646</xdr:rowOff>
    </xdr:from>
    <xdr:to>
      <xdr:col>5</xdr:col>
      <xdr:colOff>141307</xdr:colOff>
      <xdr:row>552</xdr:row>
      <xdr:rowOff>130993</xdr:rowOff>
    </xdr:to>
    <xdr:sp macro="" textlink="">
      <xdr:nvSpPr>
        <xdr:cNvPr id="405" name="Elips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/>
      </xdr:nvSpPr>
      <xdr:spPr>
        <a:xfrm>
          <a:off x="3436708" y="103072637"/>
          <a:ext cx="58118" cy="61347"/>
        </a:xfrm>
        <a:prstGeom prst="ellipse">
          <a:avLst/>
        </a:prstGeom>
        <a:solidFill>
          <a:srgbClr val="00B050"/>
        </a:solidFill>
        <a:ln w="31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528712</xdr:colOff>
      <xdr:row>552</xdr:row>
      <xdr:rowOff>76589</xdr:rowOff>
    </xdr:from>
    <xdr:to>
      <xdr:col>5</xdr:col>
      <xdr:colOff>586830</xdr:colOff>
      <xdr:row>552</xdr:row>
      <xdr:rowOff>137936</xdr:rowOff>
    </xdr:to>
    <xdr:sp macro="" textlink="">
      <xdr:nvSpPr>
        <xdr:cNvPr id="406" name="Elips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/>
      </xdr:nvSpPr>
      <xdr:spPr>
        <a:xfrm>
          <a:off x="3882231" y="103079580"/>
          <a:ext cx="58118" cy="61347"/>
        </a:xfrm>
        <a:prstGeom prst="ellipse">
          <a:avLst/>
        </a:prstGeom>
        <a:solidFill>
          <a:srgbClr val="00B050"/>
        </a:solidFill>
        <a:ln w="31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</xdr:col>
      <xdr:colOff>395296</xdr:colOff>
      <xdr:row>168</xdr:row>
      <xdr:rowOff>23813</xdr:rowOff>
    </xdr:from>
    <xdr:ext cx="1230313" cy="3492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8" name="CuadroTexto 407">
              <a:extLs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 txBox="1"/>
          </xdr:nvSpPr>
          <xdr:spPr>
            <a:xfrm>
              <a:off x="2300296" y="32265938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</m:num>
                      <m:den>
                        <m:r>
                          <a:rPr lang="es-E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es-E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e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8" name="CuadroTexto 407">
              <a:extLst>
                <a:ext uri="{FF2B5EF4-FFF2-40B4-BE49-F238E27FC236}">
                  <a16:creationId xmlns:a16="http://schemas.microsoft.com/office/drawing/2014/main" id="{88707BF4-BC4F-4551-AD9F-E7699AFFB6FF}"/>
                </a:ext>
              </a:extLst>
            </xdr:cNvPr>
            <xdr:cNvSpPr txBox="1"/>
          </xdr:nvSpPr>
          <xdr:spPr>
            <a:xfrm>
              <a:off x="2300296" y="32265938"/>
              <a:ext cx="1230313" cy="349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marL="0" indent="0"/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B/6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e</a:t>
              </a:r>
              <a:endParaRPr lang="es-PE" sz="105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133350</xdr:colOff>
      <xdr:row>234</xdr:row>
      <xdr:rowOff>152400</xdr:rowOff>
    </xdr:from>
    <xdr:ext cx="2190750" cy="2154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9" name="152 CuadroTexto">
              <a:extLs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 txBox="1"/>
          </xdr:nvSpPr>
          <xdr:spPr>
            <a:xfrm>
              <a:off x="571500" y="44967525"/>
              <a:ext cx="2190750" cy="215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min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0.0018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9" name="152 CuadroTexto">
              <a:extLst>
                <a:ext uri="{FF2B5EF4-FFF2-40B4-BE49-F238E27FC236}">
                  <a16:creationId xmlns:a16="http://schemas.microsoft.com/office/drawing/2014/main" id="{2300D462-2C46-48AF-8A29-698D6B1AF57B}"/>
                </a:ext>
              </a:extLst>
            </xdr:cNvPr>
            <xdr:cNvSpPr txBox="1"/>
          </xdr:nvSpPr>
          <xdr:spPr>
            <a:xfrm>
              <a:off x="571500" y="44967525"/>
              <a:ext cx="2190750" cy="215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"As min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l-GR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ρ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"b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"d = 0.0018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"b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"d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xdr:oneCellAnchor>
    <xdr:from>
      <xdr:col>1</xdr:col>
      <xdr:colOff>133350</xdr:colOff>
      <xdr:row>238</xdr:row>
      <xdr:rowOff>180975</xdr:rowOff>
    </xdr:from>
    <xdr:ext cx="2190750" cy="2154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0" name="152 CuadroTexto">
              <a:extLs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 txBox="1"/>
          </xdr:nvSpPr>
          <xdr:spPr>
            <a:xfrm>
              <a:off x="571500" y="45758100"/>
              <a:ext cx="2190750" cy="215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min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0.0018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0" name="152 CuadroTexto">
              <a:extLst>
                <a:ext uri="{FF2B5EF4-FFF2-40B4-BE49-F238E27FC236}">
                  <a16:creationId xmlns:a16="http://schemas.microsoft.com/office/drawing/2014/main" id="{5338D436-B6C1-4FFF-B8FB-C4F851B5BF5B}"/>
                </a:ext>
              </a:extLst>
            </xdr:cNvPr>
            <xdr:cNvSpPr txBox="1"/>
          </xdr:nvSpPr>
          <xdr:spPr>
            <a:xfrm>
              <a:off x="571500" y="45758100"/>
              <a:ext cx="2190750" cy="215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"As min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l-GR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ρ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"b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"d = 0.0018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"b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"d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xdr:twoCellAnchor>
    <xdr:from>
      <xdr:col>10</xdr:col>
      <xdr:colOff>352425</xdr:colOff>
      <xdr:row>301</xdr:row>
      <xdr:rowOff>114300</xdr:rowOff>
    </xdr:from>
    <xdr:to>
      <xdr:col>11</xdr:col>
      <xdr:colOff>71538</xdr:colOff>
      <xdr:row>302</xdr:row>
      <xdr:rowOff>117949</xdr:rowOff>
    </xdr:to>
    <xdr:cxnSp macro="">
      <xdr:nvCxnSpPr>
        <xdr:cNvPr id="411" name="Conector: curvado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/>
      </xdr:nvCxnSpPr>
      <xdr:spPr>
        <a:xfrm>
          <a:off x="7572375" y="57550050"/>
          <a:ext cx="481113" cy="194149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435</xdr:row>
      <xdr:rowOff>152400</xdr:rowOff>
    </xdr:from>
    <xdr:ext cx="2190750" cy="2154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2" name="152 CuadroTexto">
              <a:extLst>
                <a:ext uri="{FF2B5EF4-FFF2-40B4-BE49-F238E27FC236}">
                  <a16:creationId xmlns:a16="http://schemas.microsoft.com/office/drawing/2014/main" id="{00000000-0008-0000-0000-00009C010000}"/>
                </a:ext>
              </a:extLst>
            </xdr:cNvPr>
            <xdr:cNvSpPr txBox="1"/>
          </xdr:nvSpPr>
          <xdr:spPr>
            <a:xfrm>
              <a:off x="552450" y="83115150"/>
              <a:ext cx="2190750" cy="215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As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min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l-GR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ρ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0.0018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2" name="152 CuadroTexto">
              <a:extLst>
                <a:ext uri="{FF2B5EF4-FFF2-40B4-BE49-F238E27FC236}">
                  <a16:creationId xmlns:a16="http://schemas.microsoft.com/office/drawing/2014/main" id="{86AE43B5-559B-4F62-B8F9-7709E615FD01}"/>
                </a:ext>
              </a:extLst>
            </xdr:cNvPr>
            <xdr:cNvSpPr txBox="1"/>
          </xdr:nvSpPr>
          <xdr:spPr>
            <a:xfrm>
              <a:off x="552450" y="83115150"/>
              <a:ext cx="2190750" cy="215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"As min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l-GR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ρ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"b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"d = 0.0018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"b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"d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</a:p>
          </xdr:txBody>
        </xdr:sp>
      </mc:Fallback>
    </mc:AlternateContent>
    <xdr:clientData/>
  </xdr:oneCellAnchor>
  <xdr:twoCellAnchor editAs="oneCell">
    <xdr:from>
      <xdr:col>14</xdr:col>
      <xdr:colOff>276225</xdr:colOff>
      <xdr:row>495</xdr:row>
      <xdr:rowOff>719</xdr:rowOff>
    </xdr:from>
    <xdr:to>
      <xdr:col>20</xdr:col>
      <xdr:colOff>106679</xdr:colOff>
      <xdr:row>502</xdr:row>
      <xdr:rowOff>104775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675" t="22463" r="7402" b="34886"/>
        <a:stretch/>
      </xdr:blipFill>
      <xdr:spPr>
        <a:xfrm>
          <a:off x="10639425" y="94498244"/>
          <a:ext cx="4010024" cy="1437556"/>
        </a:xfrm>
        <a:prstGeom prst="rect">
          <a:avLst/>
        </a:prstGeom>
      </xdr:spPr>
    </xdr:pic>
    <xdr:clientData/>
  </xdr:twoCellAnchor>
  <xdr:twoCellAnchor editAs="oneCell">
    <xdr:from>
      <xdr:col>3</xdr:col>
      <xdr:colOff>83178</xdr:colOff>
      <xdr:row>580</xdr:row>
      <xdr:rowOff>38099</xdr:rowOff>
    </xdr:from>
    <xdr:to>
      <xdr:col>10</xdr:col>
      <xdr:colOff>236220</xdr:colOff>
      <xdr:row>609</xdr:row>
      <xdr:rowOff>71502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C5D87E-840E-3A78-558B-9E7F89F60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518" y="110543339"/>
          <a:ext cx="5624202" cy="5336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76199</xdr:colOff>
      <xdr:row>0</xdr:row>
      <xdr:rowOff>144780</xdr:rowOff>
    </xdr:from>
    <xdr:to>
      <xdr:col>13</xdr:col>
      <xdr:colOff>715488</xdr:colOff>
      <xdr:row>7</xdr:row>
      <xdr:rowOff>152399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C45BBC-0AC3-446C-AD1C-AFDD6B20B0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4" r="10483" b="34964"/>
        <a:stretch/>
      </xdr:blipFill>
      <xdr:spPr bwMode="auto">
        <a:xfrm>
          <a:off x="8290559" y="144780"/>
          <a:ext cx="2308069" cy="175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9.bin"/><Relationship Id="rId26" Type="http://schemas.openxmlformats.org/officeDocument/2006/relationships/image" Target="../media/image7.emf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2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6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11.bin"/><Relationship Id="rId29" Type="http://schemas.openxmlformats.org/officeDocument/2006/relationships/oleObject" Target="../embeddings/oleObject18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5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oleObject" Target="../embeddings/oleObject14.bin"/><Relationship Id="rId28" Type="http://schemas.openxmlformats.org/officeDocument/2006/relationships/image" Target="../media/image8.e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0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3.bin"/><Relationship Id="rId27" Type="http://schemas.openxmlformats.org/officeDocument/2006/relationships/oleObject" Target="../embeddings/oleObject17.bin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7"/>
  <sheetViews>
    <sheetView tabSelected="1" topLeftCell="A576" zoomScaleNormal="100" zoomScaleSheetLayoutView="100" workbookViewId="0">
      <selection sqref="A1:M1"/>
    </sheetView>
  </sheetViews>
  <sheetFormatPr defaultColWidth="11.44140625" defaultRowHeight="14.4" x14ac:dyDescent="0.3"/>
  <cols>
    <col min="1" max="1" width="6.5546875" style="4" customWidth="1"/>
    <col min="2" max="2" width="11.88671875" style="4" bestFit="1" customWidth="1"/>
    <col min="3" max="3" width="10.109375" style="4" customWidth="1"/>
    <col min="4" max="5" width="11.44140625" style="4" customWidth="1"/>
    <col min="6" max="6" width="11.44140625" style="4"/>
    <col min="7" max="7" width="11.88671875" style="4" bestFit="1" customWidth="1"/>
    <col min="8" max="8" width="11.44140625" style="4"/>
    <col min="9" max="9" width="10.6640625" style="4" customWidth="1"/>
    <col min="10" max="11" width="11.44140625" style="4" customWidth="1"/>
    <col min="12" max="12" width="12.88671875" style="4" customWidth="1"/>
    <col min="13" max="14" width="11.44140625" style="4"/>
    <col min="15" max="15" width="1.88671875" style="151" customWidth="1"/>
    <col min="16" max="16" width="12.88671875" style="4" customWidth="1"/>
    <col min="17" max="16384" width="11.44140625" style="4"/>
  </cols>
  <sheetData>
    <row r="1" spans="1:14" ht="33.6" x14ac:dyDescent="0.3">
      <c r="A1" s="154" t="s">
        <v>98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3"/>
    </row>
    <row r="2" spans="1:14" ht="28.8" x14ac:dyDescent="0.3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3"/>
      <c r="M2" s="3"/>
      <c r="N2" s="3"/>
    </row>
    <row r="3" spans="1:14" ht="15" customHeight="1" x14ac:dyDescent="0.3">
      <c r="C3" s="5"/>
      <c r="D3" s="5"/>
      <c r="J3" s="150" t="s">
        <v>171</v>
      </c>
      <c r="K3" s="150"/>
    </row>
    <row r="4" spans="1:14" ht="15" customHeight="1" x14ac:dyDescent="0.3">
      <c r="B4" s="6" t="s">
        <v>91</v>
      </c>
      <c r="C4" s="5"/>
      <c r="D4" s="5"/>
    </row>
    <row r="5" spans="1:14" ht="15" customHeight="1" x14ac:dyDescent="0.3">
      <c r="B5" s="5"/>
      <c r="C5" s="5"/>
      <c r="D5" s="5"/>
    </row>
    <row r="6" spans="1:14" ht="15" customHeight="1" x14ac:dyDescent="0.3">
      <c r="B6" s="49" t="s">
        <v>15</v>
      </c>
      <c r="C6" s="13">
        <v>5</v>
      </c>
      <c r="D6" s="7" t="s">
        <v>0</v>
      </c>
      <c r="E6" s="4" t="s">
        <v>222</v>
      </c>
    </row>
    <row r="7" spans="1:14" ht="15" customHeight="1" x14ac:dyDescent="0.3">
      <c r="B7" s="49" t="s">
        <v>16</v>
      </c>
      <c r="C7" s="13">
        <v>1.9</v>
      </c>
      <c r="D7" s="7" t="s">
        <v>1</v>
      </c>
      <c r="E7" s="4" t="s">
        <v>221</v>
      </c>
    </row>
    <row r="8" spans="1:14" ht="15" customHeight="1" x14ac:dyDescent="0.3">
      <c r="B8" s="49" t="s">
        <v>130</v>
      </c>
      <c r="C8" s="13">
        <v>2.4</v>
      </c>
      <c r="D8" s="7" t="s">
        <v>1</v>
      </c>
      <c r="E8" s="4" t="s">
        <v>131</v>
      </c>
    </row>
    <row r="9" spans="1:14" ht="15" customHeight="1" x14ac:dyDescent="0.3">
      <c r="B9" s="49" t="s">
        <v>92</v>
      </c>
      <c r="C9" s="13">
        <v>32</v>
      </c>
      <c r="D9" s="7" t="s">
        <v>19</v>
      </c>
      <c r="E9" s="4" t="s">
        <v>218</v>
      </c>
      <c r="K9" s="139" t="s">
        <v>175</v>
      </c>
    </row>
    <row r="10" spans="1:14" ht="15" customHeight="1" x14ac:dyDescent="0.3">
      <c r="B10" s="8" t="s">
        <v>18</v>
      </c>
      <c r="C10" s="13">
        <v>3</v>
      </c>
      <c r="D10" s="7" t="s">
        <v>2</v>
      </c>
      <c r="E10" s="4" t="s">
        <v>89</v>
      </c>
      <c r="K10" s="139"/>
    </row>
    <row r="11" spans="1:14" ht="15" customHeight="1" x14ac:dyDescent="0.3">
      <c r="B11" s="49" t="s">
        <v>23</v>
      </c>
      <c r="C11" s="13">
        <v>175</v>
      </c>
      <c r="D11" s="7" t="s">
        <v>2</v>
      </c>
      <c r="E11" s="4" t="s">
        <v>219</v>
      </c>
    </row>
    <row r="12" spans="1:14" ht="15" customHeight="1" x14ac:dyDescent="0.3">
      <c r="B12" s="49" t="s">
        <v>24</v>
      </c>
      <c r="C12" s="13">
        <v>4200</v>
      </c>
      <c r="D12" s="7" t="s">
        <v>2</v>
      </c>
      <c r="E12" s="4" t="s">
        <v>220</v>
      </c>
    </row>
    <row r="13" spans="1:14" ht="15" customHeight="1" x14ac:dyDescent="0.3">
      <c r="B13" s="49" t="s">
        <v>8</v>
      </c>
      <c r="C13" s="13">
        <v>1.5</v>
      </c>
      <c r="D13" s="7"/>
      <c r="E13" s="4" t="s">
        <v>237</v>
      </c>
    </row>
    <row r="14" spans="1:14" ht="15" customHeight="1" x14ac:dyDescent="0.3">
      <c r="B14" s="49" t="s">
        <v>10</v>
      </c>
      <c r="C14" s="13">
        <v>1.75</v>
      </c>
      <c r="D14" s="7"/>
      <c r="E14" s="4" t="s">
        <v>236</v>
      </c>
    </row>
    <row r="15" spans="1:14" ht="15" customHeight="1" x14ac:dyDescent="0.3">
      <c r="F15" s="9"/>
      <c r="G15" s="10"/>
      <c r="H15" s="11"/>
    </row>
    <row r="16" spans="1:14" ht="15" customHeight="1" x14ac:dyDescent="0.3">
      <c r="B16" s="9"/>
      <c r="C16" s="1"/>
      <c r="D16" s="7"/>
      <c r="F16" s="9"/>
      <c r="G16" s="10"/>
      <c r="H16" s="11"/>
    </row>
    <row r="17" spans="2:13" ht="15" customHeight="1" x14ac:dyDescent="0.3">
      <c r="B17" s="6" t="s">
        <v>90</v>
      </c>
      <c r="C17" s="1"/>
      <c r="D17" s="7"/>
      <c r="F17" s="9"/>
      <c r="G17" s="10"/>
      <c r="H17" s="11"/>
      <c r="J17" s="95" t="s">
        <v>172</v>
      </c>
      <c r="M17" s="134" t="s">
        <v>225</v>
      </c>
    </row>
    <row r="18" spans="2:13" ht="15" customHeight="1" x14ac:dyDescent="0.3">
      <c r="B18" s="6"/>
      <c r="C18" s="1"/>
      <c r="D18" s="7"/>
      <c r="F18" s="9"/>
      <c r="G18" s="10"/>
      <c r="H18" s="11"/>
      <c r="M18" s="134"/>
    </row>
    <row r="19" spans="2:13" ht="15" customHeight="1" x14ac:dyDescent="0.3">
      <c r="B19" s="8" t="s">
        <v>93</v>
      </c>
      <c r="C19" s="9" t="str">
        <f>CONCATENATE(C9,"°")</f>
        <v>32°</v>
      </c>
      <c r="D19" s="7" t="s">
        <v>79</v>
      </c>
      <c r="F19" s="9"/>
      <c r="G19" s="10"/>
      <c r="H19" s="11"/>
    </row>
    <row r="20" spans="2:13" ht="15" customHeight="1" x14ac:dyDescent="0.3">
      <c r="B20" s="8"/>
      <c r="C20" s="9"/>
      <c r="D20" s="7"/>
      <c r="F20" s="9"/>
      <c r="G20" s="10"/>
      <c r="H20" s="11"/>
      <c r="I20" s="138" t="s">
        <v>173</v>
      </c>
      <c r="K20" s="138" t="s">
        <v>174</v>
      </c>
    </row>
    <row r="21" spans="2:13" ht="15" customHeight="1" x14ac:dyDescent="0.3">
      <c r="B21" s="8"/>
      <c r="C21" s="9"/>
      <c r="D21" s="7" t="s">
        <v>223</v>
      </c>
      <c r="F21" s="9"/>
      <c r="G21" s="10"/>
      <c r="H21" s="11"/>
      <c r="I21" s="138"/>
      <c r="K21" s="138"/>
    </row>
    <row r="22" spans="2:13" ht="15" customHeight="1" x14ac:dyDescent="0.3">
      <c r="B22" s="8" t="s">
        <v>86</v>
      </c>
      <c r="C22" s="12">
        <f>TAN(C9*PI()/180)</f>
        <v>0.62486935190932746</v>
      </c>
      <c r="D22" s="9" t="str">
        <f>IF(C22&lt;E22,"&lt;","&gt;")</f>
        <v>&gt;</v>
      </c>
      <c r="E22" s="13">
        <v>0.6</v>
      </c>
      <c r="F22" s="14" t="s">
        <v>217</v>
      </c>
      <c r="G22" s="10"/>
      <c r="H22" s="11"/>
    </row>
    <row r="23" spans="2:13" ht="15" customHeight="1" x14ac:dyDescent="0.3">
      <c r="B23" s="49"/>
      <c r="C23" s="15"/>
    </row>
    <row r="24" spans="2:13" ht="15" customHeight="1" x14ac:dyDescent="0.3">
      <c r="B24" s="49" t="s">
        <v>80</v>
      </c>
      <c r="C24" s="9">
        <f>IF(C22&lt;=E22,C22,E22)</f>
        <v>0.6</v>
      </c>
      <c r="D24" s="4" t="s">
        <v>81</v>
      </c>
    </row>
    <row r="25" spans="2:13" ht="15" customHeight="1" x14ac:dyDescent="0.3">
      <c r="C25" s="16"/>
    </row>
    <row r="26" spans="2:13" ht="15" customHeight="1" x14ac:dyDescent="0.3">
      <c r="C26" s="16"/>
    </row>
    <row r="27" spans="2:13" ht="15" customHeight="1" x14ac:dyDescent="0.3">
      <c r="C27" s="16"/>
    </row>
    <row r="28" spans="2:13" ht="15" customHeight="1" x14ac:dyDescent="0.3">
      <c r="B28" s="49" t="s">
        <v>87</v>
      </c>
      <c r="C28" s="12">
        <f>TAN((45-C9/2)*PI()/180)^2</f>
        <v>0.30725852452246849</v>
      </c>
      <c r="D28" s="5"/>
    </row>
    <row r="29" spans="2:13" ht="15" customHeight="1" x14ac:dyDescent="0.3">
      <c r="B29" s="49" t="s">
        <v>88</v>
      </c>
      <c r="C29" s="12">
        <f>+C28*C7</f>
        <v>0.58379119659269008</v>
      </c>
      <c r="D29" s="5" t="s">
        <v>1</v>
      </c>
    </row>
    <row r="30" spans="2:13" ht="15" customHeight="1" x14ac:dyDescent="0.3">
      <c r="B30" s="5"/>
      <c r="C30" s="5"/>
      <c r="D30" s="5"/>
    </row>
    <row r="31" spans="2:13" ht="15" customHeight="1" x14ac:dyDescent="0.3">
      <c r="B31" s="6" t="s">
        <v>20</v>
      </c>
      <c r="C31" s="5"/>
      <c r="D31" s="5"/>
    </row>
    <row r="32" spans="2:13" ht="15" customHeight="1" x14ac:dyDescent="0.3">
      <c r="B32" s="6"/>
      <c r="C32" s="5"/>
      <c r="D32" s="5"/>
    </row>
    <row r="33" spans="2:19" ht="15" customHeight="1" x14ac:dyDescent="0.3">
      <c r="B33" s="49" t="s">
        <v>21</v>
      </c>
      <c r="C33" s="13">
        <v>0.2</v>
      </c>
      <c r="D33" s="7" t="s">
        <v>0</v>
      </c>
    </row>
    <row r="34" spans="2:19" ht="15" customHeight="1" x14ac:dyDescent="0.3">
      <c r="B34" s="49"/>
      <c r="C34" s="9"/>
      <c r="D34" s="7"/>
      <c r="J34" s="93" t="s">
        <v>171</v>
      </c>
    </row>
    <row r="35" spans="2:19" ht="15" customHeight="1" x14ac:dyDescent="0.3">
      <c r="B35" s="49"/>
      <c r="C35" s="9"/>
      <c r="D35" s="7"/>
    </row>
    <row r="36" spans="2:19" ht="15" customHeight="1" x14ac:dyDescent="0.3">
      <c r="B36" s="49" t="s">
        <v>25</v>
      </c>
      <c r="C36" s="17">
        <f>1.7*C29*C6^3/6</f>
        <v>20.675938212657773</v>
      </c>
      <c r="D36" s="5" t="s">
        <v>11</v>
      </c>
    </row>
    <row r="37" spans="2:19" ht="15" customHeight="1" x14ac:dyDescent="0.3">
      <c r="B37" s="49"/>
      <c r="C37" s="9"/>
      <c r="D37" s="7"/>
    </row>
    <row r="38" spans="2:19" ht="15" customHeight="1" x14ac:dyDescent="0.3">
      <c r="B38" s="49" t="s">
        <v>94</v>
      </c>
      <c r="C38" s="9"/>
      <c r="D38" s="7"/>
    </row>
    <row r="39" spans="2:19" ht="15" customHeight="1" x14ac:dyDescent="0.3">
      <c r="B39" s="49"/>
      <c r="C39" s="9"/>
      <c r="D39" s="7"/>
    </row>
    <row r="40" spans="2:19" ht="15" customHeight="1" x14ac:dyDescent="0.3">
      <c r="B40" s="49"/>
      <c r="C40" s="9"/>
      <c r="D40" s="7"/>
    </row>
    <row r="41" spans="2:19" ht="15" customHeight="1" x14ac:dyDescent="0.3">
      <c r="B41" s="7" t="s">
        <v>95</v>
      </c>
      <c r="C41" s="9"/>
      <c r="D41" s="7"/>
    </row>
    <row r="42" spans="2:19" ht="15" customHeight="1" x14ac:dyDescent="0.3">
      <c r="B42" s="49"/>
      <c r="C42" s="9"/>
      <c r="D42" s="7"/>
    </row>
    <row r="43" spans="2:19" ht="15" customHeight="1" x14ac:dyDescent="0.3">
      <c r="B43" s="49" t="s">
        <v>97</v>
      </c>
      <c r="C43" s="13">
        <v>0.9</v>
      </c>
      <c r="D43" s="7" t="s">
        <v>216</v>
      </c>
      <c r="H43" s="40" t="s">
        <v>175</v>
      </c>
      <c r="O43" s="152"/>
    </row>
    <row r="44" spans="2:19" ht="15" customHeight="1" x14ac:dyDescent="0.3">
      <c r="B44" s="49" t="s">
        <v>22</v>
      </c>
      <c r="C44" s="13">
        <v>100</v>
      </c>
      <c r="D44" s="7" t="s">
        <v>9</v>
      </c>
    </row>
    <row r="45" spans="2:19" ht="15" customHeight="1" x14ac:dyDescent="0.3">
      <c r="B45" s="49" t="s">
        <v>96</v>
      </c>
      <c r="C45" s="13">
        <v>4.0000000000000001E-3</v>
      </c>
      <c r="D45" s="7"/>
    </row>
    <row r="46" spans="2:19" ht="15" customHeight="1" x14ac:dyDescent="0.3">
      <c r="B46" s="49" t="s">
        <v>23</v>
      </c>
      <c r="C46" s="9">
        <f>C11</f>
        <v>175</v>
      </c>
      <c r="D46" s="7" t="s">
        <v>2</v>
      </c>
    </row>
    <row r="47" spans="2:19" ht="15" customHeight="1" x14ac:dyDescent="0.3">
      <c r="B47" s="49" t="s">
        <v>24</v>
      </c>
      <c r="C47" s="9">
        <f>C12</f>
        <v>4200</v>
      </c>
      <c r="D47" s="7" t="s">
        <v>2</v>
      </c>
      <c r="P47" s="141" t="s">
        <v>193</v>
      </c>
      <c r="Q47" s="141"/>
      <c r="R47" s="141"/>
      <c r="S47" s="141"/>
    </row>
    <row r="48" spans="2:19" ht="7.5" customHeight="1" x14ac:dyDescent="0.3">
      <c r="D48" s="16"/>
      <c r="P48" s="141"/>
      <c r="Q48" s="141"/>
      <c r="R48" s="141"/>
      <c r="S48" s="141"/>
    </row>
    <row r="49" spans="1:19" ht="15" customHeight="1" x14ac:dyDescent="0.3">
      <c r="B49" s="5"/>
      <c r="C49" s="5"/>
      <c r="D49" s="5"/>
      <c r="P49" s="140" t="s">
        <v>99</v>
      </c>
      <c r="Q49" s="140"/>
      <c r="R49" s="140"/>
      <c r="S49" s="140"/>
    </row>
    <row r="50" spans="1:19" ht="15" customHeight="1" x14ac:dyDescent="0.3">
      <c r="P50" s="111" t="s">
        <v>100</v>
      </c>
      <c r="Q50" s="111" t="s">
        <v>101</v>
      </c>
      <c r="R50" s="111" t="s">
        <v>101</v>
      </c>
      <c r="S50" s="111" t="s">
        <v>102</v>
      </c>
    </row>
    <row r="51" spans="1:19" ht="15" customHeight="1" x14ac:dyDescent="0.3">
      <c r="B51" s="49" t="s">
        <v>26</v>
      </c>
      <c r="C51" s="16">
        <f>+C45*C47/C46</f>
        <v>9.6000000000000002E-2</v>
      </c>
      <c r="D51" s="5"/>
      <c r="I51" s="40" t="s">
        <v>172</v>
      </c>
      <c r="P51" s="58"/>
      <c r="Q51" s="58" t="s">
        <v>145</v>
      </c>
      <c r="R51" s="58" t="s">
        <v>9</v>
      </c>
      <c r="S51" s="58" t="s">
        <v>51</v>
      </c>
    </row>
    <row r="52" spans="1:19" ht="15" customHeight="1" x14ac:dyDescent="0.3">
      <c r="B52" s="49"/>
      <c r="C52" s="16"/>
      <c r="D52" s="5"/>
      <c r="P52" s="58">
        <v>3</v>
      </c>
      <c r="Q52" s="59" t="s">
        <v>103</v>
      </c>
      <c r="R52" s="60">
        <v>0.95250000000000001</v>
      </c>
      <c r="S52" s="61">
        <v>0.71255739248085614</v>
      </c>
    </row>
    <row r="53" spans="1:19" ht="15" customHeight="1" x14ac:dyDescent="0.3">
      <c r="B53" s="49"/>
      <c r="C53" s="16"/>
      <c r="D53" s="5"/>
      <c r="P53" s="58">
        <v>4</v>
      </c>
      <c r="Q53" s="59" t="s">
        <v>104</v>
      </c>
      <c r="R53" s="60">
        <v>1.27</v>
      </c>
      <c r="S53" s="61">
        <v>1.2667686977437445</v>
      </c>
    </row>
    <row r="54" spans="1:19" ht="15" customHeight="1" x14ac:dyDescent="0.3">
      <c r="B54" s="49"/>
      <c r="C54" s="16"/>
      <c r="D54" s="5"/>
      <c r="P54" s="58">
        <v>5</v>
      </c>
      <c r="Q54" s="59" t="s">
        <v>105</v>
      </c>
      <c r="R54" s="60">
        <v>1.5874999999999999</v>
      </c>
      <c r="S54" s="61">
        <v>1.9793260902246004</v>
      </c>
    </row>
    <row r="55" spans="1:19" ht="15" customHeight="1" x14ac:dyDescent="0.3">
      <c r="B55" s="49" t="s">
        <v>27</v>
      </c>
      <c r="C55" s="17">
        <f>SQRT(C36*100000/(C43*C44*C46*C51*(1-0.59*C51)))</f>
        <v>38.073077993925395</v>
      </c>
      <c r="D55" s="39" t="s">
        <v>9</v>
      </c>
      <c r="E55" s="5"/>
      <c r="P55" s="58">
        <v>6</v>
      </c>
      <c r="Q55" s="59" t="s">
        <v>106</v>
      </c>
      <c r="R55" s="60">
        <v>1.905</v>
      </c>
      <c r="S55" s="61">
        <v>2.8502295699234246</v>
      </c>
    </row>
    <row r="56" spans="1:19" ht="15" customHeight="1" x14ac:dyDescent="0.3">
      <c r="B56" s="49"/>
      <c r="C56" s="17"/>
      <c r="D56" s="39"/>
      <c r="E56" s="5"/>
      <c r="P56" s="58">
        <v>7</v>
      </c>
      <c r="Q56" s="59" t="s">
        <v>107</v>
      </c>
      <c r="R56" s="60">
        <v>2.2225000000000001</v>
      </c>
      <c r="S56" s="61">
        <v>3.8794791368402173</v>
      </c>
    </row>
    <row r="57" spans="1:19" ht="15" customHeight="1" x14ac:dyDescent="0.3">
      <c r="A57" s="40"/>
      <c r="B57" s="41"/>
      <c r="C57" s="42"/>
      <c r="E57" s="16" t="str">
        <f>LOOKUP(C58,$P$52:$P$60,$Q$52:$Q$60)</f>
        <v>5/8"</v>
      </c>
      <c r="P57" s="58">
        <v>8</v>
      </c>
      <c r="Q57" s="59" t="s">
        <v>108</v>
      </c>
      <c r="R57" s="60">
        <v>2.54</v>
      </c>
      <c r="S57" s="61">
        <v>5.0670747909749778</v>
      </c>
    </row>
    <row r="58" spans="1:19" ht="15" customHeight="1" x14ac:dyDescent="0.3">
      <c r="A58" s="40"/>
      <c r="B58" s="40" t="s">
        <v>112</v>
      </c>
      <c r="C58" s="43">
        <v>5</v>
      </c>
      <c r="D58" s="44" t="s">
        <v>113</v>
      </c>
      <c r="E58" s="12">
        <f>LOOKUP(C58,$P$52:$P$60,$R$52:$R$60)</f>
        <v>1.5874999999999999</v>
      </c>
      <c r="F58" s="4" t="s">
        <v>9</v>
      </c>
      <c r="G58" s="40" t="s">
        <v>114</v>
      </c>
      <c r="H58" s="12">
        <f>LOOKUP(C58,$P$52:$P$60,$S$52:$S$60)</f>
        <v>1.9793260902246004</v>
      </c>
      <c r="I58" s="4" t="s">
        <v>51</v>
      </c>
      <c r="P58" s="58">
        <v>9</v>
      </c>
      <c r="Q58" s="59" t="s">
        <v>109</v>
      </c>
      <c r="R58" s="60">
        <v>2.8574999999999999</v>
      </c>
      <c r="S58" s="61">
        <v>6.4130165323277053</v>
      </c>
    </row>
    <row r="59" spans="1:19" ht="15" customHeight="1" x14ac:dyDescent="0.3">
      <c r="A59" s="40"/>
      <c r="B59" s="8" t="s">
        <v>115</v>
      </c>
      <c r="C59" s="45">
        <v>4</v>
      </c>
      <c r="D59" s="18" t="s">
        <v>116</v>
      </c>
      <c r="E59" s="18"/>
      <c r="G59" s="40"/>
      <c r="H59" s="12"/>
      <c r="P59" s="58">
        <v>10</v>
      </c>
      <c r="Q59" s="59" t="s">
        <v>110</v>
      </c>
      <c r="R59" s="60">
        <v>3.1749999999999998</v>
      </c>
      <c r="S59" s="61">
        <v>7.9173043608984015</v>
      </c>
    </row>
    <row r="60" spans="1:19" ht="15" customHeight="1" x14ac:dyDescent="0.3">
      <c r="A60" s="40"/>
      <c r="B60" s="8"/>
      <c r="C60" s="121"/>
      <c r="D60" s="18"/>
      <c r="E60" s="18"/>
      <c r="G60" s="40"/>
      <c r="H60" s="12"/>
      <c r="P60" s="58">
        <v>11</v>
      </c>
      <c r="Q60" s="59" t="s">
        <v>111</v>
      </c>
      <c r="R60" s="60">
        <v>3.4925000000000002</v>
      </c>
      <c r="S60" s="61">
        <v>9.5799382766870682</v>
      </c>
    </row>
    <row r="61" spans="1:19" ht="15" customHeight="1" x14ac:dyDescent="0.3">
      <c r="A61" s="40"/>
      <c r="B61" s="46"/>
      <c r="C61" s="47"/>
      <c r="E61" s="18"/>
      <c r="G61" s="40"/>
      <c r="H61" s="12"/>
    </row>
    <row r="62" spans="1:19" ht="15" customHeight="1" x14ac:dyDescent="0.3">
      <c r="A62" s="40"/>
      <c r="B62" s="46"/>
      <c r="C62" s="47"/>
      <c r="E62" s="18"/>
      <c r="G62" s="40"/>
      <c r="H62" s="12"/>
      <c r="O62" s="153"/>
      <c r="P62" s="62"/>
      <c r="Q62" s="57"/>
      <c r="R62" s="63"/>
    </row>
    <row r="63" spans="1:19" ht="15" customHeight="1" x14ac:dyDescent="0.3">
      <c r="B63" s="49" t="s">
        <v>28</v>
      </c>
      <c r="C63" s="17">
        <f>C55+C59+E58/2</f>
        <v>42.866827993925398</v>
      </c>
      <c r="D63" s="5" t="s">
        <v>9</v>
      </c>
    </row>
    <row r="64" spans="1:19" ht="15" customHeight="1" x14ac:dyDescent="0.3">
      <c r="B64" s="49"/>
      <c r="C64" s="17"/>
      <c r="D64" s="5"/>
    </row>
    <row r="65" spans="2:19" ht="15" customHeight="1" x14ac:dyDescent="0.3">
      <c r="B65" s="49" t="s">
        <v>123</v>
      </c>
      <c r="C65" s="13">
        <v>45</v>
      </c>
      <c r="D65" s="5" t="s">
        <v>9</v>
      </c>
      <c r="F65" s="5"/>
      <c r="G65" s="5"/>
      <c r="H65" s="5"/>
      <c r="I65" s="5"/>
      <c r="J65" s="5"/>
      <c r="K65" s="5"/>
      <c r="L65" s="5"/>
      <c r="M65" s="5"/>
      <c r="N65" s="5"/>
    </row>
    <row r="66" spans="2:19" ht="15" customHeight="1" x14ac:dyDescent="0.3">
      <c r="B66" s="49"/>
      <c r="C66" s="5"/>
      <c r="D66" s="5"/>
      <c r="F66" s="5"/>
      <c r="G66" s="5"/>
      <c r="H66" s="5"/>
      <c r="I66" s="5"/>
      <c r="J66" s="5"/>
      <c r="K66" s="5"/>
      <c r="L66" s="5"/>
      <c r="M66" s="5"/>
      <c r="N66" s="5"/>
    </row>
    <row r="67" spans="2:19" ht="15" customHeight="1" x14ac:dyDescent="0.3">
      <c r="B67" s="49" t="s">
        <v>29</v>
      </c>
      <c r="E67" s="5"/>
      <c r="F67" s="5"/>
      <c r="G67" s="5"/>
      <c r="H67" s="5"/>
      <c r="I67" s="5"/>
      <c r="J67" s="5"/>
      <c r="K67" s="5"/>
    </row>
    <row r="68" spans="2:19" ht="15" customHeight="1" x14ac:dyDescent="0.3">
      <c r="B68" s="49" t="s">
        <v>27</v>
      </c>
      <c r="C68" s="17">
        <f>+C65-C59-E58/2</f>
        <v>40.206249999999997</v>
      </c>
      <c r="D68" s="5" t="s">
        <v>9</v>
      </c>
      <c r="E68" s="5"/>
      <c r="F68" s="5"/>
    </row>
    <row r="69" spans="2:19" ht="15" customHeight="1" x14ac:dyDescent="0.3">
      <c r="E69" s="5"/>
      <c r="F69" s="5"/>
      <c r="P69" s="140" t="s">
        <v>194</v>
      </c>
      <c r="Q69" s="140"/>
      <c r="R69" s="140"/>
      <c r="S69" s="140"/>
    </row>
    <row r="70" spans="2:19" ht="15" customHeight="1" x14ac:dyDescent="0.3">
      <c r="B70" s="6" t="s">
        <v>30</v>
      </c>
      <c r="E70" s="5"/>
      <c r="F70" s="5"/>
      <c r="P70" s="140" t="s">
        <v>196</v>
      </c>
      <c r="Q70" s="140"/>
      <c r="R70" s="140"/>
      <c r="S70" s="140"/>
    </row>
    <row r="71" spans="2:19" ht="15" customHeight="1" x14ac:dyDescent="0.3">
      <c r="B71" s="5"/>
      <c r="C71" s="5"/>
      <c r="D71" s="5"/>
      <c r="E71" s="5"/>
      <c r="F71" s="5"/>
      <c r="P71" s="140" t="s">
        <v>195</v>
      </c>
      <c r="Q71" s="140"/>
      <c r="R71" s="111" t="s">
        <v>199</v>
      </c>
      <c r="S71" s="111" t="s">
        <v>200</v>
      </c>
    </row>
    <row r="72" spans="2:19" ht="15" customHeight="1" x14ac:dyDescent="0.3">
      <c r="B72" s="5"/>
      <c r="C72" s="5"/>
      <c r="D72" s="5"/>
      <c r="E72" s="5"/>
      <c r="F72" s="5"/>
      <c r="P72" s="146" t="s">
        <v>197</v>
      </c>
      <c r="Q72" s="146"/>
      <c r="R72" s="60">
        <v>2.4</v>
      </c>
      <c r="S72" s="61" t="s">
        <v>1</v>
      </c>
    </row>
    <row r="73" spans="2:19" ht="15" customHeight="1" x14ac:dyDescent="0.3">
      <c r="B73" s="49" t="s">
        <v>31</v>
      </c>
      <c r="C73" s="17">
        <f>1.7*0.5*C29*(C6-C68/100)^2</f>
        <v>10.490654750538148</v>
      </c>
      <c r="D73" s="5" t="s">
        <v>3</v>
      </c>
      <c r="E73" s="5"/>
      <c r="F73" s="5"/>
      <c r="P73" s="146" t="s">
        <v>201</v>
      </c>
      <c r="Q73" s="146" t="s">
        <v>198</v>
      </c>
      <c r="R73" s="60">
        <v>2.35</v>
      </c>
      <c r="S73" s="61" t="s">
        <v>1</v>
      </c>
    </row>
    <row r="74" spans="2:19" ht="15" customHeight="1" x14ac:dyDescent="0.3">
      <c r="B74" s="16"/>
      <c r="C74" s="17"/>
      <c r="D74" s="5"/>
      <c r="E74" s="5"/>
      <c r="F74" s="5"/>
      <c r="P74" s="146" t="s">
        <v>202</v>
      </c>
      <c r="Q74" s="146"/>
      <c r="R74" s="60">
        <v>2</v>
      </c>
      <c r="S74" s="61" t="s">
        <v>1</v>
      </c>
    </row>
    <row r="75" spans="2:19" ht="15" customHeight="1" x14ac:dyDescent="0.3">
      <c r="B75" s="8" t="s">
        <v>17</v>
      </c>
      <c r="C75" s="13">
        <v>0.85</v>
      </c>
      <c r="D75" s="4" t="s">
        <v>215</v>
      </c>
      <c r="E75" s="5"/>
      <c r="F75" s="5"/>
      <c r="P75" s="146" t="s">
        <v>203</v>
      </c>
      <c r="Q75" s="146"/>
      <c r="R75" s="60">
        <v>1.9</v>
      </c>
      <c r="S75" s="61" t="s">
        <v>1</v>
      </c>
    </row>
    <row r="76" spans="2:19" ht="15" customHeight="1" x14ac:dyDescent="0.3">
      <c r="B76" s="9"/>
      <c r="C76" s="47"/>
      <c r="E76" s="5"/>
      <c r="F76" s="5"/>
      <c r="P76" s="146" t="s">
        <v>204</v>
      </c>
      <c r="Q76" s="146"/>
      <c r="R76" s="60">
        <v>1.8</v>
      </c>
      <c r="S76" s="61" t="s">
        <v>1</v>
      </c>
    </row>
    <row r="77" spans="2:19" ht="15" customHeight="1" x14ac:dyDescent="0.3">
      <c r="B77" s="9"/>
      <c r="E77" s="5"/>
      <c r="F77" s="5"/>
    </row>
    <row r="78" spans="2:19" ht="15" customHeight="1" x14ac:dyDescent="0.3">
      <c r="E78" s="5"/>
      <c r="F78" s="5"/>
    </row>
    <row r="79" spans="2:19" ht="15" customHeight="1" x14ac:dyDescent="0.3">
      <c r="B79" s="49" t="s">
        <v>82</v>
      </c>
      <c r="C79" s="17">
        <f>C73/C75</f>
        <v>12.341946765338998</v>
      </c>
      <c r="D79" s="5" t="s">
        <v>3</v>
      </c>
      <c r="E79" s="5"/>
      <c r="F79" s="5"/>
      <c r="P79" s="20"/>
      <c r="Q79" s="62"/>
      <c r="R79" s="57"/>
      <c r="S79" s="63"/>
    </row>
    <row r="80" spans="2:19" ht="15" customHeight="1" x14ac:dyDescent="0.3">
      <c r="F80" s="5"/>
      <c r="P80" s="20"/>
      <c r="Q80" s="62"/>
      <c r="R80" s="57"/>
      <c r="S80" s="63"/>
    </row>
    <row r="81" spans="2:19" ht="15" customHeight="1" x14ac:dyDescent="0.3">
      <c r="F81" s="5"/>
      <c r="P81" s="147" t="s">
        <v>212</v>
      </c>
      <c r="Q81" s="148"/>
      <c r="R81" s="148"/>
      <c r="S81" s="149"/>
    </row>
    <row r="82" spans="2:19" ht="15" customHeight="1" x14ac:dyDescent="0.3">
      <c r="B82" s="49" t="s">
        <v>32</v>
      </c>
      <c r="C82" s="17">
        <f>0.53*SQRT(C46)*C44/100*C55/10</f>
        <v>26.693952444953521</v>
      </c>
      <c r="D82" s="5" t="s">
        <v>3</v>
      </c>
      <c r="F82" s="5"/>
      <c r="P82" s="143" t="s">
        <v>214</v>
      </c>
      <c r="Q82" s="144"/>
      <c r="R82" s="144"/>
      <c r="S82" s="145"/>
    </row>
    <row r="83" spans="2:19" ht="15" customHeight="1" x14ac:dyDescent="0.3">
      <c r="F83" s="5"/>
      <c r="P83" s="112" t="s">
        <v>213</v>
      </c>
      <c r="Q83" s="113"/>
      <c r="R83" s="114" t="s">
        <v>205</v>
      </c>
      <c r="S83" s="114" t="s">
        <v>206</v>
      </c>
    </row>
    <row r="84" spans="2:19" ht="15" customHeight="1" x14ac:dyDescent="0.3">
      <c r="B84" s="5" t="s">
        <v>117</v>
      </c>
      <c r="F84" s="5"/>
      <c r="P84" s="112" t="s">
        <v>207</v>
      </c>
      <c r="Q84" s="113"/>
      <c r="R84" s="115">
        <v>0.9</v>
      </c>
      <c r="S84" s="116">
        <v>0.9</v>
      </c>
    </row>
    <row r="85" spans="2:19" ht="15" customHeight="1" x14ac:dyDescent="0.3">
      <c r="F85" s="5"/>
      <c r="P85" s="112" t="s">
        <v>208</v>
      </c>
      <c r="Q85" s="113"/>
      <c r="R85" s="116">
        <v>0.7</v>
      </c>
      <c r="S85" s="116">
        <v>0.65</v>
      </c>
    </row>
    <row r="86" spans="2:19" ht="15" customHeight="1" x14ac:dyDescent="0.3">
      <c r="F86" s="5"/>
      <c r="P86" s="112" t="s">
        <v>209</v>
      </c>
      <c r="Q86" s="113"/>
      <c r="R86" s="116">
        <v>0.85</v>
      </c>
      <c r="S86" s="116">
        <v>0.75</v>
      </c>
    </row>
    <row r="87" spans="2:19" ht="15" customHeight="1" x14ac:dyDescent="0.3">
      <c r="F87" s="5"/>
      <c r="P87" s="112" t="s">
        <v>210</v>
      </c>
      <c r="Q87" s="113"/>
      <c r="R87" s="116">
        <v>0.7</v>
      </c>
      <c r="S87" s="117"/>
    </row>
    <row r="88" spans="2:19" ht="15" customHeight="1" x14ac:dyDescent="0.3">
      <c r="B88" s="49" t="s">
        <v>33</v>
      </c>
      <c r="C88" s="17">
        <f>ROUND(2/3*C82,3)</f>
        <v>17.795999999999999</v>
      </c>
      <c r="D88" s="5" t="s">
        <v>3</v>
      </c>
      <c r="E88" s="5"/>
      <c r="F88" s="5"/>
      <c r="P88" s="112" t="s">
        <v>211</v>
      </c>
      <c r="Q88" s="113"/>
      <c r="R88" s="116">
        <v>0.75</v>
      </c>
      <c r="S88" s="117"/>
    </row>
    <row r="89" spans="2:19" ht="15" customHeight="1" x14ac:dyDescent="0.3">
      <c r="F89" s="5"/>
    </row>
    <row r="90" spans="2:19" ht="15" customHeight="1" x14ac:dyDescent="0.3">
      <c r="B90" s="9" t="s">
        <v>83</v>
      </c>
      <c r="C90" s="9"/>
      <c r="D90" s="9" t="s">
        <v>118</v>
      </c>
      <c r="E90" s="21"/>
      <c r="F90" s="8"/>
      <c r="G90" s="5"/>
    </row>
    <row r="91" spans="2:19" ht="15" customHeight="1" x14ac:dyDescent="0.3">
      <c r="B91" s="21">
        <f>C79</f>
        <v>12.341946765338998</v>
      </c>
      <c r="C91" s="9" t="str">
        <f>IF(B91&lt;D91,"&lt;","&gt;")</f>
        <v>&lt;</v>
      </c>
      <c r="D91" s="21">
        <f>C88</f>
        <v>17.795999999999999</v>
      </c>
      <c r="E91" s="9" t="str">
        <f>IF(B91&gt;D91,"…..VERIFICAR","…..CONFORME")</f>
        <v>…..CONFORME</v>
      </c>
      <c r="G91" s="5"/>
    </row>
    <row r="92" spans="2:19" ht="15" customHeight="1" x14ac:dyDescent="0.3">
      <c r="F92" s="5"/>
      <c r="G92" s="5"/>
    </row>
    <row r="93" spans="2:19" ht="15" customHeight="1" x14ac:dyDescent="0.3">
      <c r="B93" s="6" t="s">
        <v>34</v>
      </c>
      <c r="F93" s="5"/>
      <c r="G93" s="5"/>
      <c r="H93" s="5"/>
      <c r="I93" s="5"/>
      <c r="J93" s="5"/>
      <c r="K93" s="5"/>
    </row>
    <row r="94" spans="2:19" ht="15" customHeight="1" x14ac:dyDescent="0.3">
      <c r="B94" s="22"/>
      <c r="C94" s="5"/>
      <c r="D94" s="5"/>
      <c r="E94" s="5"/>
    </row>
    <row r="95" spans="2:19" ht="15" customHeight="1" x14ac:dyDescent="0.3">
      <c r="B95" s="7"/>
      <c r="C95" s="5"/>
      <c r="D95" s="5"/>
      <c r="E95" s="5"/>
    </row>
    <row r="96" spans="2:19" ht="15" customHeight="1" x14ac:dyDescent="0.3">
      <c r="B96" s="49" t="s">
        <v>224</v>
      </c>
      <c r="C96" s="16">
        <f>C65+5</f>
        <v>50</v>
      </c>
      <c r="D96" s="5" t="s">
        <v>9</v>
      </c>
      <c r="E96" s="5"/>
    </row>
    <row r="97" spans="2:5" ht="15" customHeight="1" x14ac:dyDescent="0.3">
      <c r="B97" s="49"/>
      <c r="C97" s="16"/>
      <c r="D97" s="5"/>
      <c r="E97" s="5"/>
    </row>
    <row r="98" spans="2:5" ht="15" customHeight="1" x14ac:dyDescent="0.3">
      <c r="B98" s="5"/>
      <c r="E98" s="5"/>
    </row>
    <row r="99" spans="2:5" ht="15" customHeight="1" x14ac:dyDescent="0.3">
      <c r="B99" s="49" t="s">
        <v>35</v>
      </c>
      <c r="C99" s="16">
        <f>+C6+C96/100</f>
        <v>5.5</v>
      </c>
      <c r="D99" s="5" t="s">
        <v>0</v>
      </c>
      <c r="E99" s="5"/>
    </row>
    <row r="100" spans="2:5" ht="15" customHeight="1" x14ac:dyDescent="0.3">
      <c r="B100" s="49"/>
      <c r="C100" s="16"/>
      <c r="D100" s="5"/>
      <c r="E100" s="5"/>
    </row>
    <row r="101" spans="2:5" ht="15" customHeight="1" x14ac:dyDescent="0.3">
      <c r="B101" s="122" t="s">
        <v>226</v>
      </c>
      <c r="D101" s="5"/>
      <c r="E101" s="5"/>
    </row>
    <row r="102" spans="2:5" ht="15" customHeight="1" x14ac:dyDescent="0.3">
      <c r="B102" s="5"/>
      <c r="C102" s="5"/>
      <c r="D102" s="5"/>
      <c r="E102" s="5"/>
    </row>
    <row r="103" spans="2:5" ht="15" customHeight="1" x14ac:dyDescent="0.3">
      <c r="B103" s="49" t="s">
        <v>120</v>
      </c>
      <c r="C103" s="48">
        <v>2</v>
      </c>
      <c r="D103" s="5" t="s">
        <v>1</v>
      </c>
      <c r="E103" s="5" t="s">
        <v>121</v>
      </c>
    </row>
    <row r="104" spans="2:5" ht="15" customHeight="1" x14ac:dyDescent="0.3">
      <c r="B104" s="5"/>
      <c r="C104" s="5"/>
      <c r="D104" s="5"/>
      <c r="E104" s="5"/>
    </row>
    <row r="105" spans="2:5" ht="15" customHeight="1" x14ac:dyDescent="0.3">
      <c r="B105" s="5"/>
      <c r="C105" s="5"/>
      <c r="E105" s="5"/>
    </row>
    <row r="106" spans="2:5" ht="15" customHeight="1" x14ac:dyDescent="0.3">
      <c r="B106" s="5"/>
      <c r="C106" s="5"/>
      <c r="E106" s="5"/>
    </row>
    <row r="107" spans="2:5" ht="15" customHeight="1" x14ac:dyDescent="0.3">
      <c r="B107" s="49" t="s">
        <v>119</v>
      </c>
      <c r="C107" s="12">
        <f>C13*C29/(2*C103*C24)</f>
        <v>0.36486949787043133</v>
      </c>
      <c r="D107" s="23"/>
      <c r="E107" s="5"/>
    </row>
    <row r="108" spans="2:5" ht="15" customHeight="1" x14ac:dyDescent="0.3">
      <c r="B108" s="49" t="s">
        <v>14</v>
      </c>
      <c r="C108" s="17">
        <f>+C107*C99</f>
        <v>2.0067822382873723</v>
      </c>
      <c r="D108" s="5" t="s">
        <v>0</v>
      </c>
      <c r="E108" s="5"/>
    </row>
    <row r="109" spans="2:5" ht="15" customHeight="1" x14ac:dyDescent="0.3">
      <c r="B109" s="16"/>
      <c r="C109" s="17"/>
      <c r="D109" s="5"/>
      <c r="E109" s="5"/>
    </row>
    <row r="110" spans="2:5" ht="15" customHeight="1" x14ac:dyDescent="0.3">
      <c r="B110" s="16"/>
      <c r="C110" s="17"/>
      <c r="D110" s="5"/>
      <c r="E110" s="5"/>
    </row>
    <row r="111" spans="2:5" ht="15" customHeight="1" x14ac:dyDescent="0.3">
      <c r="B111" s="16"/>
      <c r="C111" s="17"/>
      <c r="D111" s="5"/>
      <c r="E111" s="5"/>
    </row>
    <row r="112" spans="2:5" ht="15" customHeight="1" x14ac:dyDescent="0.3">
      <c r="B112" s="49" t="s">
        <v>12</v>
      </c>
      <c r="C112" s="17">
        <f>(C108+(C65/100-C33)/2)</f>
        <v>2.1317822382873723</v>
      </c>
      <c r="D112" s="5" t="s">
        <v>0</v>
      </c>
      <c r="E112" s="5"/>
    </row>
    <row r="113" spans="1:6" ht="15" customHeight="1" x14ac:dyDescent="0.3">
      <c r="B113" s="16"/>
      <c r="C113" s="17"/>
      <c r="D113" s="5"/>
      <c r="E113" s="5"/>
    </row>
    <row r="114" spans="1:6" ht="15" customHeight="1" x14ac:dyDescent="0.3">
      <c r="B114" s="49" t="s">
        <v>122</v>
      </c>
      <c r="C114" s="13">
        <v>2.2000000000000002</v>
      </c>
      <c r="D114" s="5" t="s">
        <v>0</v>
      </c>
    </row>
    <row r="115" spans="1:6" ht="15" customHeight="1" x14ac:dyDescent="0.3">
      <c r="B115" s="49"/>
      <c r="C115" s="87"/>
      <c r="D115" s="5"/>
    </row>
    <row r="116" spans="1:6" ht="15" customHeight="1" x14ac:dyDescent="0.3">
      <c r="B116" s="122" t="s">
        <v>227</v>
      </c>
      <c r="C116" s="123"/>
      <c r="D116" s="5"/>
    </row>
    <row r="117" spans="1:6" ht="15" customHeight="1" x14ac:dyDescent="0.3">
      <c r="B117" s="16"/>
      <c r="C117" s="1"/>
      <c r="D117" s="1"/>
      <c r="E117" s="5"/>
    </row>
    <row r="118" spans="1:6" ht="15" customHeight="1" x14ac:dyDescent="0.3">
      <c r="B118" s="16"/>
      <c r="C118" s="1"/>
      <c r="D118" s="1"/>
      <c r="E118" s="5"/>
    </row>
    <row r="119" spans="1:6" ht="15" customHeight="1" x14ac:dyDescent="0.3">
      <c r="B119" s="16"/>
      <c r="C119" s="1"/>
      <c r="D119" s="1"/>
      <c r="E119" s="5"/>
    </row>
    <row r="120" spans="1:6" ht="15" customHeight="1" x14ac:dyDescent="0.3">
      <c r="B120" s="49" t="s">
        <v>124</v>
      </c>
      <c r="C120" s="12">
        <f>C24/3*C14/C13-C114/(2*C99)</f>
        <v>3.3333333333333298E-2</v>
      </c>
      <c r="D120" s="23"/>
      <c r="E120" s="5"/>
      <c r="F120" s="5"/>
    </row>
    <row r="121" spans="1:6" ht="15" customHeight="1" x14ac:dyDescent="0.3">
      <c r="B121" s="49" t="s">
        <v>13</v>
      </c>
      <c r="C121" s="16">
        <f>ROUND(C120*C99,3)</f>
        <v>0.183</v>
      </c>
      <c r="D121" s="5" t="s">
        <v>0</v>
      </c>
      <c r="E121" s="5"/>
      <c r="F121" s="5"/>
    </row>
    <row r="122" spans="1:6" ht="15" customHeight="1" x14ac:dyDescent="0.3">
      <c r="B122" s="49"/>
      <c r="C122" s="16"/>
      <c r="D122" s="5"/>
      <c r="E122" s="5"/>
      <c r="F122" s="5"/>
    </row>
    <row r="123" spans="1:6" ht="15" customHeight="1" x14ac:dyDescent="0.3">
      <c r="B123" s="7" t="s">
        <v>125</v>
      </c>
      <c r="C123" s="5"/>
      <c r="D123" s="5"/>
      <c r="E123" s="5"/>
      <c r="F123" s="5"/>
    </row>
    <row r="124" spans="1:6" ht="15" customHeight="1" x14ac:dyDescent="0.3">
      <c r="B124" s="7"/>
      <c r="C124" s="5"/>
      <c r="D124" s="5"/>
      <c r="E124" s="5"/>
      <c r="F124" s="5"/>
    </row>
    <row r="125" spans="1:6" ht="15" customHeight="1" x14ac:dyDescent="0.3">
      <c r="B125" s="7" t="s">
        <v>126</v>
      </c>
      <c r="C125" s="16">
        <f>MAX(C96/100,C121)</f>
        <v>0.5</v>
      </c>
      <c r="D125" s="5" t="s">
        <v>0</v>
      </c>
      <c r="E125" s="5"/>
      <c r="F125" s="5"/>
    </row>
    <row r="126" spans="1:6" ht="15" customHeight="1" x14ac:dyDescent="0.3">
      <c r="B126" s="7"/>
      <c r="C126" s="16"/>
      <c r="D126" s="5"/>
      <c r="E126" s="5"/>
      <c r="F126" s="5"/>
    </row>
    <row r="127" spans="1:6" ht="15" customHeight="1" x14ac:dyDescent="0.3">
      <c r="A127" s="142" t="s">
        <v>127</v>
      </c>
      <c r="B127" s="142"/>
      <c r="C127" s="13">
        <v>0.5</v>
      </c>
      <c r="D127" s="5" t="s">
        <v>0</v>
      </c>
      <c r="F127" s="5"/>
    </row>
    <row r="128" spans="1:6" ht="15" customHeight="1" x14ac:dyDescent="0.3"/>
    <row r="129" spans="1:11" ht="15" customHeight="1" x14ac:dyDescent="0.3">
      <c r="B129" s="6" t="s">
        <v>164</v>
      </c>
      <c r="C129" s="5"/>
      <c r="D129" s="5"/>
      <c r="E129" s="5"/>
      <c r="F129" s="5"/>
    </row>
    <row r="130" spans="1:11" ht="15" customHeight="1" x14ac:dyDescent="0.3">
      <c r="E130" s="5"/>
      <c r="F130" s="5"/>
    </row>
    <row r="131" spans="1:11" ht="15" customHeight="1" x14ac:dyDescent="0.3">
      <c r="B131" s="131" t="s">
        <v>36</v>
      </c>
      <c r="C131" s="131" t="s">
        <v>37</v>
      </c>
      <c r="D131" s="131" t="s">
        <v>128</v>
      </c>
      <c r="E131" s="131" t="s">
        <v>129</v>
      </c>
      <c r="F131" s="5"/>
    </row>
    <row r="132" spans="1:11" ht="15" customHeight="1" x14ac:dyDescent="0.3">
      <c r="B132" s="132"/>
      <c r="C132" s="132"/>
      <c r="D132" s="132"/>
      <c r="E132" s="132"/>
      <c r="F132" s="5"/>
    </row>
    <row r="133" spans="1:11" ht="15" customHeight="1" x14ac:dyDescent="0.3">
      <c r="B133" s="24" t="s">
        <v>4</v>
      </c>
      <c r="C133" s="24">
        <f>C96/100*(C114+C127)*C8</f>
        <v>3.24</v>
      </c>
      <c r="D133" s="50">
        <f>(C114+C127)/2</f>
        <v>1.35</v>
      </c>
      <c r="E133" s="24">
        <f>C133*D133</f>
        <v>4.3740000000000006</v>
      </c>
      <c r="F133" s="5"/>
    </row>
    <row r="134" spans="1:11" ht="15" customHeight="1" x14ac:dyDescent="0.3">
      <c r="B134" s="24" t="s">
        <v>5</v>
      </c>
      <c r="C134" s="24">
        <f>C33*C6*C8</f>
        <v>2.4</v>
      </c>
      <c r="D134" s="50">
        <f>C127+(C65/100-C33)+C33/2</f>
        <v>0.85</v>
      </c>
      <c r="E134" s="24">
        <f>C134*D134</f>
        <v>2.04</v>
      </c>
      <c r="F134" s="5"/>
    </row>
    <row r="135" spans="1:11" ht="15" customHeight="1" x14ac:dyDescent="0.3">
      <c r="B135" s="24" t="s">
        <v>6</v>
      </c>
      <c r="C135" s="24">
        <f>1/2*(C65/100-C33)*C6*C8</f>
        <v>1.5</v>
      </c>
      <c r="D135" s="50">
        <f>C127+2/3*(C65/100-C33)</f>
        <v>0.66666666666666663</v>
      </c>
      <c r="E135" s="24">
        <f>C135*D135</f>
        <v>1</v>
      </c>
      <c r="F135" s="5"/>
    </row>
    <row r="136" spans="1:11" ht="15" customHeight="1" x14ac:dyDescent="0.3">
      <c r="B136" s="24" t="s">
        <v>7</v>
      </c>
      <c r="C136" s="24">
        <f>(C114-C65/100)*C6*C7</f>
        <v>16.625000000000004</v>
      </c>
      <c r="D136" s="50">
        <f>C127+C65/100+(C114-C65/100)/2</f>
        <v>1.8250000000000002</v>
      </c>
      <c r="E136" s="24">
        <f>C136*D136</f>
        <v>30.34062500000001</v>
      </c>
      <c r="F136" s="5"/>
    </row>
    <row r="137" spans="1:11" ht="15" customHeight="1" x14ac:dyDescent="0.3">
      <c r="A137" s="124" t="s">
        <v>229</v>
      </c>
      <c r="B137" s="51" t="s">
        <v>133</v>
      </c>
      <c r="C137" s="51">
        <f>SUM(C133:C136)</f>
        <v>23.765000000000004</v>
      </c>
      <c r="D137" s="51" t="s">
        <v>228</v>
      </c>
      <c r="E137" s="52">
        <f>SUM(E133:E136)</f>
        <v>37.754625000000011</v>
      </c>
      <c r="F137" s="5"/>
      <c r="I137" s="135" t="str">
        <f>CONCATENATE(C33,"m")</f>
        <v>0.2m</v>
      </c>
      <c r="J137" s="135"/>
    </row>
    <row r="138" spans="1:11" ht="15" customHeight="1" x14ac:dyDescent="0.3">
      <c r="A138" s="14"/>
      <c r="B138" s="125"/>
      <c r="C138" s="125"/>
      <c r="D138" s="125"/>
      <c r="E138" s="68"/>
      <c r="F138" s="5"/>
    </row>
    <row r="139" spans="1:11" ht="15" customHeight="1" x14ac:dyDescent="0.3">
      <c r="B139" s="14" t="s">
        <v>230</v>
      </c>
      <c r="E139" s="25"/>
      <c r="F139" s="5"/>
    </row>
    <row r="140" spans="1:11" ht="15" customHeight="1" x14ac:dyDescent="0.3">
      <c r="E140" s="25"/>
      <c r="F140" s="5"/>
    </row>
    <row r="141" spans="1:11" ht="15" customHeight="1" x14ac:dyDescent="0.3">
      <c r="E141" s="25"/>
      <c r="F141" s="5"/>
    </row>
    <row r="142" spans="1:11" ht="15" customHeight="1" x14ac:dyDescent="0.3">
      <c r="B142" s="40" t="s">
        <v>132</v>
      </c>
      <c r="C142" s="17">
        <f>1/2*C29*C99*C99</f>
        <v>8.8298418484644365</v>
      </c>
      <c r="E142" s="25"/>
      <c r="F142" s="5"/>
    </row>
    <row r="143" spans="1:11" ht="15" customHeight="1" x14ac:dyDescent="0.3">
      <c r="B143" s="40"/>
      <c r="C143" s="17"/>
      <c r="E143" s="25"/>
      <c r="F143" s="5"/>
    </row>
    <row r="144" spans="1:11" ht="15" customHeight="1" x14ac:dyDescent="0.3">
      <c r="B144" s="40"/>
      <c r="C144" s="17"/>
      <c r="E144" s="25"/>
      <c r="F144" s="5"/>
      <c r="H144" s="16" t="str">
        <f>CONCATENATE(C6,"m")</f>
        <v>5m</v>
      </c>
      <c r="I144" s="97" t="s">
        <v>5</v>
      </c>
      <c r="J144" s="5"/>
      <c r="K144" s="14" t="s">
        <v>7</v>
      </c>
    </row>
    <row r="145" spans="2:13" ht="15" customHeight="1" x14ac:dyDescent="0.3">
      <c r="B145" s="40" t="s">
        <v>133</v>
      </c>
      <c r="C145" s="17">
        <f>C137</f>
        <v>23.765000000000004</v>
      </c>
      <c r="D145" s="4" t="s">
        <v>3</v>
      </c>
      <c r="E145" s="25"/>
      <c r="F145" s="5"/>
    </row>
    <row r="146" spans="2:13" ht="15" customHeight="1" x14ac:dyDescent="0.3">
      <c r="B146" s="40"/>
      <c r="C146" s="17"/>
      <c r="E146" s="25"/>
      <c r="F146" s="5"/>
    </row>
    <row r="147" spans="2:13" ht="15" customHeight="1" x14ac:dyDescent="0.3">
      <c r="B147" s="40"/>
      <c r="C147" s="17"/>
      <c r="E147" s="25"/>
      <c r="F147" s="5"/>
      <c r="M147" s="91" t="s">
        <v>176</v>
      </c>
    </row>
    <row r="148" spans="2:13" ht="15" customHeight="1" x14ac:dyDescent="0.3">
      <c r="E148" s="25"/>
      <c r="F148" s="5"/>
    </row>
    <row r="149" spans="2:13" ht="15" customHeight="1" x14ac:dyDescent="0.3">
      <c r="B149" s="49" t="s">
        <v>8</v>
      </c>
      <c r="C149" s="17">
        <f>C24*C145/C142</f>
        <v>1.6148647104568163</v>
      </c>
      <c r="D149" s="9" t="str">
        <f>IF(C149&lt;E149,"&lt;","&gt;")</f>
        <v>&gt;</v>
      </c>
      <c r="E149" s="17">
        <f>C13</f>
        <v>1.5</v>
      </c>
      <c r="F149" s="9" t="str">
        <f>IF(C149&lt;E149,"…..VERIFICAR","…..CONFORME")</f>
        <v>…..CONFORME</v>
      </c>
      <c r="G149" s="11"/>
      <c r="I149" s="98" t="s">
        <v>6</v>
      </c>
    </row>
    <row r="150" spans="2:13" ht="15" customHeight="1" x14ac:dyDescent="0.3">
      <c r="B150" s="49"/>
      <c r="C150" s="17"/>
      <c r="D150" s="9"/>
      <c r="E150" s="17"/>
      <c r="F150" s="9"/>
      <c r="G150" s="11"/>
      <c r="I150" s="98"/>
    </row>
    <row r="151" spans="2:13" ht="15" customHeight="1" x14ac:dyDescent="0.3">
      <c r="B151" s="14" t="s">
        <v>231</v>
      </c>
      <c r="C151" s="17"/>
      <c r="D151" s="26"/>
      <c r="E151" s="17"/>
      <c r="F151" s="9"/>
      <c r="G151" s="11"/>
      <c r="M151" s="93" t="s">
        <v>177</v>
      </c>
    </row>
    <row r="152" spans="2:13" ht="15" customHeight="1" x14ac:dyDescent="0.3">
      <c r="B152" s="16"/>
      <c r="C152" s="17"/>
      <c r="D152" s="26"/>
      <c r="E152" s="17"/>
      <c r="F152" s="9"/>
      <c r="G152" s="134" t="str">
        <f>CONCATENATE(C96/100,"m")</f>
        <v>0.5m</v>
      </c>
      <c r="I152" s="94" t="str">
        <f>CONCATENATE(C65/100,"m")</f>
        <v>0.45m</v>
      </c>
    </row>
    <row r="153" spans="2:13" ht="15" customHeight="1" x14ac:dyDescent="0.3">
      <c r="B153" s="49" t="s">
        <v>134</v>
      </c>
      <c r="C153" s="17">
        <f>E137</f>
        <v>37.754625000000011</v>
      </c>
      <c r="D153" s="11" t="s">
        <v>11</v>
      </c>
      <c r="E153" s="17"/>
      <c r="F153" s="9"/>
      <c r="G153" s="134"/>
      <c r="J153" s="14" t="s">
        <v>4</v>
      </c>
      <c r="L153" s="5"/>
    </row>
    <row r="154" spans="2:13" ht="15" customHeight="1" x14ac:dyDescent="0.3">
      <c r="B154" s="49"/>
      <c r="C154" s="17"/>
      <c r="D154" s="11"/>
      <c r="E154" s="17"/>
      <c r="F154" s="9"/>
      <c r="G154" s="11"/>
    </row>
    <row r="155" spans="2:13" ht="14.25" customHeight="1" x14ac:dyDescent="0.3">
      <c r="B155" s="49"/>
      <c r="C155" s="17"/>
      <c r="D155" s="11"/>
      <c r="E155" s="17"/>
      <c r="F155" s="9"/>
      <c r="G155" s="11"/>
    </row>
    <row r="156" spans="2:13" ht="15" customHeight="1" x14ac:dyDescent="0.3">
      <c r="B156" s="16"/>
      <c r="C156" s="17"/>
      <c r="D156" s="26"/>
      <c r="E156" s="17"/>
      <c r="F156" s="9"/>
      <c r="G156" s="11"/>
      <c r="H156" s="16" t="str">
        <f>CONCATENATE(C127,"m")</f>
        <v>0.5m</v>
      </c>
      <c r="J156" s="16" t="str">
        <f>CONCATENATE(C114,"m")</f>
        <v>2.2m</v>
      </c>
    </row>
    <row r="157" spans="2:13" ht="15" customHeight="1" x14ac:dyDescent="0.3">
      <c r="B157" s="49" t="s">
        <v>135</v>
      </c>
      <c r="C157" s="17">
        <f>C142*C99/3</f>
        <v>16.188043388851465</v>
      </c>
      <c r="D157" s="11" t="s">
        <v>11</v>
      </c>
      <c r="E157" s="17"/>
      <c r="F157" s="9"/>
    </row>
    <row r="158" spans="2:13" ht="15" customHeight="1" x14ac:dyDescent="0.3">
      <c r="B158" s="49"/>
      <c r="C158" s="17"/>
      <c r="D158" s="11"/>
      <c r="E158" s="17"/>
      <c r="F158" s="9"/>
      <c r="I158" s="136" t="str">
        <f>CONCATENATE(C114+C127,"m")</f>
        <v>2.7m</v>
      </c>
      <c r="J158" s="136"/>
    </row>
    <row r="159" spans="2:13" ht="15" customHeight="1" x14ac:dyDescent="0.3">
      <c r="B159" s="16"/>
      <c r="C159" s="17"/>
      <c r="D159" s="26"/>
      <c r="E159" s="17"/>
      <c r="F159" s="9"/>
    </row>
    <row r="160" spans="2:13" ht="15" customHeight="1" x14ac:dyDescent="0.3">
      <c r="B160" s="16"/>
      <c r="C160" s="17"/>
      <c r="D160" s="26"/>
      <c r="E160" s="17"/>
      <c r="F160" s="9"/>
    </row>
    <row r="161" spans="2:6" ht="15" customHeight="1" x14ac:dyDescent="0.3">
      <c r="B161" s="49" t="s">
        <v>10</v>
      </c>
      <c r="C161" s="17">
        <f>C153/C157</f>
        <v>2.3322537562508154</v>
      </c>
      <c r="D161" s="9" t="str">
        <f>IF(C161&lt;E161,"&lt;","&gt;")</f>
        <v>&gt;</v>
      </c>
      <c r="E161" s="17">
        <f>C14</f>
        <v>1.75</v>
      </c>
      <c r="F161" s="9" t="str">
        <f>IF(C161&lt;E161,"…..VERIFICAR","…..CONFORME")</f>
        <v>…..CONFORME</v>
      </c>
    </row>
    <row r="162" spans="2:6" ht="15" customHeight="1" x14ac:dyDescent="0.3">
      <c r="B162" s="5"/>
      <c r="C162" s="5"/>
      <c r="D162" s="5"/>
      <c r="E162" s="5"/>
      <c r="F162" s="5"/>
    </row>
    <row r="163" spans="2:6" ht="15" customHeight="1" x14ac:dyDescent="0.3">
      <c r="B163" s="6" t="s">
        <v>38</v>
      </c>
      <c r="C163" s="5"/>
      <c r="D163" s="5"/>
      <c r="E163" s="5"/>
      <c r="F163" s="5"/>
    </row>
    <row r="164" spans="2:6" ht="15" customHeight="1" x14ac:dyDescent="0.3"/>
    <row r="165" spans="2:6" ht="15" customHeight="1" x14ac:dyDescent="0.3"/>
    <row r="166" spans="2:6" ht="15" customHeight="1" x14ac:dyDescent="0.3"/>
    <row r="167" spans="2:6" ht="15" customHeight="1" x14ac:dyDescent="0.3">
      <c r="B167" s="49" t="s">
        <v>39</v>
      </c>
      <c r="C167" s="17">
        <f>(C153-C157)/C145</f>
        <v>0.90749344040179014</v>
      </c>
      <c r="D167" s="4" t="s">
        <v>0</v>
      </c>
    </row>
    <row r="168" spans="2:6" ht="15" customHeight="1" x14ac:dyDescent="0.3">
      <c r="B168" s="49"/>
      <c r="C168" s="17"/>
    </row>
    <row r="169" spans="2:6" ht="15" customHeight="1" x14ac:dyDescent="0.3">
      <c r="B169" s="49"/>
      <c r="C169" s="17"/>
    </row>
    <row r="170" spans="2:6" ht="15" customHeight="1" x14ac:dyDescent="0.3">
      <c r="B170" s="49"/>
      <c r="C170" s="17"/>
    </row>
    <row r="171" spans="2:6" ht="15" customHeight="1" x14ac:dyDescent="0.3">
      <c r="B171" s="40" t="s">
        <v>136</v>
      </c>
      <c r="C171" s="17">
        <f>(C127+C114)/6</f>
        <v>0.45</v>
      </c>
      <c r="D171" s="9"/>
    </row>
    <row r="172" spans="2:6" ht="15" customHeight="1" x14ac:dyDescent="0.3">
      <c r="B172" s="40"/>
      <c r="C172" s="17"/>
      <c r="D172" s="9"/>
      <c r="E172" s="40"/>
      <c r="F172" s="17"/>
    </row>
    <row r="173" spans="2:6" ht="15" customHeight="1" x14ac:dyDescent="0.3">
      <c r="B173" s="40"/>
      <c r="C173" s="17"/>
      <c r="D173" s="9"/>
      <c r="E173" s="40"/>
      <c r="F173" s="17"/>
    </row>
    <row r="174" spans="2:6" ht="15" customHeight="1" x14ac:dyDescent="0.3">
      <c r="B174" s="40"/>
      <c r="C174" s="17"/>
      <c r="D174" s="9"/>
      <c r="E174" s="40"/>
      <c r="F174" s="17"/>
    </row>
    <row r="175" spans="2:6" ht="15" customHeight="1" x14ac:dyDescent="0.3">
      <c r="B175" s="40" t="s">
        <v>40</v>
      </c>
      <c r="C175" s="17">
        <f>(C127+C114)/2-C167</f>
        <v>0.44250655959820995</v>
      </c>
      <c r="D175" s="9"/>
      <c r="E175" s="40"/>
      <c r="F175" s="17"/>
    </row>
    <row r="176" spans="2:6" ht="15" customHeight="1" x14ac:dyDescent="0.3">
      <c r="B176" s="40"/>
      <c r="C176" s="17"/>
      <c r="D176" s="9"/>
      <c r="E176" s="53"/>
      <c r="F176" s="17"/>
    </row>
    <row r="177" spans="2:12" ht="15" customHeight="1" x14ac:dyDescent="0.3">
      <c r="B177" s="17" t="s">
        <v>41</v>
      </c>
      <c r="D177" s="20" t="s">
        <v>232</v>
      </c>
    </row>
    <row r="178" spans="2:12" ht="15" customHeight="1" x14ac:dyDescent="0.3">
      <c r="B178" s="17">
        <f>C175</f>
        <v>0.44250655959820995</v>
      </c>
      <c r="C178" s="9" t="str">
        <f>IF(B178&lt;D178,"&lt;","&gt;")</f>
        <v>&lt;</v>
      </c>
      <c r="D178" s="17">
        <f>C171</f>
        <v>0.45</v>
      </c>
      <c r="E178" s="11" t="str">
        <f>IF(B178&lt;D178,"…..CONFORME","CAE FUERA DEL TERCIO CENTRAL AUMENTAR B")</f>
        <v>…..CONFORME</v>
      </c>
    </row>
    <row r="179" spans="2:12" ht="15" customHeight="1" x14ac:dyDescent="0.3"/>
    <row r="180" spans="2:12" ht="15" customHeight="1" x14ac:dyDescent="0.3">
      <c r="B180" s="127" t="s">
        <v>233</v>
      </c>
    </row>
    <row r="181" spans="2:12" ht="15" customHeight="1" x14ac:dyDescent="0.3">
      <c r="B181" s="27"/>
    </row>
    <row r="182" spans="2:12" ht="15" customHeight="1" x14ac:dyDescent="0.3"/>
    <row r="183" spans="2:12" ht="15" customHeight="1" x14ac:dyDescent="0.3">
      <c r="B183" s="49" t="s">
        <v>42</v>
      </c>
      <c r="C183" s="17">
        <f>C137/(C114+C127)*(1+6*C175/(C114+C127))</f>
        <v>17.457134476420954</v>
      </c>
      <c r="D183" s="4" t="s">
        <v>44</v>
      </c>
    </row>
    <row r="184" spans="2:12" ht="15" customHeight="1" x14ac:dyDescent="0.3">
      <c r="B184" s="16"/>
      <c r="C184" s="16"/>
      <c r="H184" s="96" t="s">
        <v>179</v>
      </c>
      <c r="L184" s="4" t="s">
        <v>178</v>
      </c>
    </row>
    <row r="185" spans="2:12" ht="15" customHeight="1" x14ac:dyDescent="0.3">
      <c r="B185" s="16"/>
      <c r="C185" s="16"/>
      <c r="H185" s="5"/>
      <c r="I185" s="5"/>
      <c r="J185" s="5"/>
      <c r="K185" s="5"/>
    </row>
    <row r="186" spans="2:12" ht="15" customHeight="1" x14ac:dyDescent="0.3">
      <c r="B186" s="16"/>
      <c r="C186" s="16"/>
      <c r="H186" s="5"/>
      <c r="I186" s="5"/>
      <c r="J186" s="5"/>
      <c r="K186" s="5"/>
    </row>
    <row r="187" spans="2:12" ht="15" customHeight="1" x14ac:dyDescent="0.3">
      <c r="B187" s="49" t="s">
        <v>43</v>
      </c>
      <c r="C187" s="17">
        <f>C137/(C114+C127)*(1-6*C175/(C114+C127))</f>
        <v>0.14656922728274968</v>
      </c>
      <c r="D187" s="4" t="s">
        <v>44</v>
      </c>
      <c r="H187" s="5"/>
      <c r="I187" s="5"/>
      <c r="J187" s="5"/>
      <c r="K187" s="5"/>
    </row>
    <row r="188" spans="2:12" ht="15" customHeight="1" x14ac:dyDescent="0.3"/>
    <row r="189" spans="2:12" ht="15" customHeight="1" x14ac:dyDescent="0.3">
      <c r="B189" s="16" t="s">
        <v>45</v>
      </c>
      <c r="D189" s="9" t="s">
        <v>46</v>
      </c>
    </row>
    <row r="190" spans="2:12" ht="15" customHeight="1" x14ac:dyDescent="0.3">
      <c r="B190" s="17">
        <f>MAX(C183,C187)/10</f>
        <v>1.7457134476420955</v>
      </c>
      <c r="C190" s="9" t="str">
        <f>IF(B190&lt;D190,"&lt;","&gt;")</f>
        <v>&lt;</v>
      </c>
      <c r="D190" s="17">
        <f>C10</f>
        <v>3</v>
      </c>
      <c r="E190" s="9" t="str">
        <f>IF(D190&lt;B190,"…..VERIFICAR","…..CONFORME")</f>
        <v>…..CONFORME</v>
      </c>
    </row>
    <row r="191" spans="2:12" ht="15" customHeight="1" x14ac:dyDescent="0.3"/>
    <row r="192" spans="2:12" ht="15" customHeight="1" x14ac:dyDescent="0.3">
      <c r="B192" s="6" t="s">
        <v>47</v>
      </c>
    </row>
    <row r="193" spans="1:18" ht="15" customHeight="1" x14ac:dyDescent="0.3">
      <c r="B193" s="22"/>
    </row>
    <row r="194" spans="1:18" ht="15" customHeight="1" x14ac:dyDescent="0.3">
      <c r="B194" s="28" t="s">
        <v>234</v>
      </c>
    </row>
    <row r="195" spans="1:18" ht="15" customHeight="1" x14ac:dyDescent="0.3">
      <c r="A195" s="40"/>
      <c r="B195" s="41"/>
      <c r="C195" s="42"/>
      <c r="E195" s="16" t="str">
        <f>LOOKUP(C196,$P$52:$P$60,$Q$52:$Q$60)</f>
        <v>5/8"</v>
      </c>
    </row>
    <row r="196" spans="1:18" ht="15" customHeight="1" x14ac:dyDescent="0.3">
      <c r="A196" s="40"/>
      <c r="B196" s="40" t="s">
        <v>112</v>
      </c>
      <c r="C196" s="43">
        <v>5</v>
      </c>
      <c r="D196" s="44" t="s">
        <v>113</v>
      </c>
      <c r="E196" s="12">
        <f>LOOKUP(C196,$P$52:$P$60,$R$52:$R$60)</f>
        <v>1.5874999999999999</v>
      </c>
      <c r="F196" s="4" t="s">
        <v>9</v>
      </c>
      <c r="G196" s="40" t="s">
        <v>114</v>
      </c>
      <c r="H196" s="12">
        <f>LOOKUP(C196,$P$52:$P$60,$S$52:$S$60)</f>
        <v>1.9793260902246004</v>
      </c>
      <c r="I196" s="4" t="s">
        <v>51</v>
      </c>
    </row>
    <row r="197" spans="1:18" ht="15" customHeight="1" x14ac:dyDescent="0.3">
      <c r="A197" s="40"/>
      <c r="B197" s="8" t="s">
        <v>115</v>
      </c>
      <c r="C197" s="45">
        <v>4</v>
      </c>
      <c r="D197" s="18" t="s">
        <v>116</v>
      </c>
      <c r="E197" s="18"/>
      <c r="G197" s="40"/>
      <c r="H197" s="12"/>
      <c r="P197" s="4" t="s">
        <v>192</v>
      </c>
    </row>
    <row r="198" spans="1:18" ht="15" customHeight="1" x14ac:dyDescent="0.3">
      <c r="B198" s="8" t="s">
        <v>17</v>
      </c>
      <c r="C198" s="13">
        <v>0.9</v>
      </c>
      <c r="D198" s="4" t="s">
        <v>216</v>
      </c>
      <c r="E198" s="5"/>
      <c r="P198" s="40" t="s">
        <v>50</v>
      </c>
      <c r="Q198" s="57">
        <f>C209</f>
        <v>15.116016163831739</v>
      </c>
      <c r="R198" s="4" t="s">
        <v>51</v>
      </c>
    </row>
    <row r="199" spans="1:18" ht="15" customHeight="1" x14ac:dyDescent="0.3">
      <c r="B199" s="8"/>
      <c r="C199" s="87"/>
      <c r="E199" s="5"/>
      <c r="P199" s="64" t="s">
        <v>52</v>
      </c>
      <c r="Q199" s="65">
        <f>C212</f>
        <v>4.2680516227289615</v>
      </c>
      <c r="R199" s="66" t="s">
        <v>9</v>
      </c>
    </row>
    <row r="200" spans="1:18" ht="15" customHeight="1" x14ac:dyDescent="0.3">
      <c r="B200" s="49" t="s">
        <v>25</v>
      </c>
      <c r="C200" s="17">
        <f>C36</f>
        <v>20.675938212657773</v>
      </c>
      <c r="D200" s="4" t="s">
        <v>11</v>
      </c>
      <c r="P200" s="40" t="s">
        <v>50</v>
      </c>
      <c r="Q200" s="57">
        <f>C200*100000/(C198*C12*(C202-Q199/2))</f>
        <v>14.366969728068238</v>
      </c>
      <c r="R200" s="4" t="s">
        <v>51</v>
      </c>
    </row>
    <row r="201" spans="1:18" ht="15" customHeight="1" x14ac:dyDescent="0.3">
      <c r="B201" s="49" t="s">
        <v>28</v>
      </c>
      <c r="C201" s="16">
        <f>C65/100</f>
        <v>0.45</v>
      </c>
      <c r="D201" s="4" t="s">
        <v>48</v>
      </c>
      <c r="E201" s="40"/>
      <c r="P201" s="64" t="s">
        <v>52</v>
      </c>
      <c r="Q201" s="57">
        <f>Q200*C47/(0.85*C46*C44)</f>
        <v>4.0565561585133851</v>
      </c>
      <c r="R201" s="66" t="s">
        <v>9</v>
      </c>
    </row>
    <row r="202" spans="1:18" ht="15" customHeight="1" x14ac:dyDescent="0.3">
      <c r="B202" s="49" t="s">
        <v>27</v>
      </c>
      <c r="C202" s="17">
        <f>C65-C197-E196/2</f>
        <v>40.206249999999997</v>
      </c>
      <c r="D202" s="4" t="s">
        <v>49</v>
      </c>
      <c r="P202" s="40" t="s">
        <v>50</v>
      </c>
      <c r="Q202" s="57">
        <f>C200*100000/(C198*C12*(C202-Q201/2))</f>
        <v>14.327175197621246</v>
      </c>
      <c r="R202" s="4" t="s">
        <v>51</v>
      </c>
    </row>
    <row r="203" spans="1:18" ht="15" customHeight="1" x14ac:dyDescent="0.3">
      <c r="B203" s="49"/>
      <c r="C203" s="17"/>
      <c r="P203" s="64" t="s">
        <v>52</v>
      </c>
      <c r="Q203" s="57">
        <f>Q202*C47/(0.85*C46*C44)</f>
        <v>4.0453200557989399</v>
      </c>
      <c r="R203" s="66" t="s">
        <v>9</v>
      </c>
    </row>
    <row r="204" spans="1:18" ht="15" customHeight="1" x14ac:dyDescent="0.3">
      <c r="B204" s="49"/>
      <c r="C204" s="17"/>
      <c r="P204" s="40" t="s">
        <v>50</v>
      </c>
      <c r="Q204" s="57">
        <f>C200*100000/(C198*C12*(C202-Q203/2))</f>
        <v>14.325067202900923</v>
      </c>
      <c r="R204" s="4" t="s">
        <v>51</v>
      </c>
    </row>
    <row r="205" spans="1:18" ht="15" customHeight="1" x14ac:dyDescent="0.3">
      <c r="B205" s="49" t="s">
        <v>52</v>
      </c>
      <c r="C205" s="17">
        <f>C202/5</f>
        <v>8.0412499999999998</v>
      </c>
      <c r="D205" s="4" t="s">
        <v>9</v>
      </c>
      <c r="P205" s="64" t="s">
        <v>52</v>
      </c>
      <c r="Q205" s="57">
        <f>Q204*C47/(0.85*C46*C44)</f>
        <v>4.0447248572896726</v>
      </c>
      <c r="R205" s="66" t="s">
        <v>9</v>
      </c>
    </row>
    <row r="206" spans="1:18" ht="15" customHeight="1" x14ac:dyDescent="0.3">
      <c r="P206" s="40" t="s">
        <v>50</v>
      </c>
      <c r="Q206" s="57">
        <f>C200*100000/(C198*C12*(C202-Q205/2))</f>
        <v>14.324955555565008</v>
      </c>
      <c r="R206" s="4" t="s">
        <v>51</v>
      </c>
    </row>
    <row r="207" spans="1:18" ht="15" customHeight="1" x14ac:dyDescent="0.3">
      <c r="P207" s="64" t="s">
        <v>52</v>
      </c>
      <c r="Q207" s="57">
        <f>Q206*C47/(0.85*C46*C44)</f>
        <v>4.0446933333360029</v>
      </c>
      <c r="R207" s="66" t="s">
        <v>9</v>
      </c>
    </row>
    <row r="208" spans="1:18" ht="15" customHeight="1" x14ac:dyDescent="0.3">
      <c r="P208" s="40" t="s">
        <v>50</v>
      </c>
      <c r="Q208" s="57">
        <f>C200*100000/(C198*C12*(C202-Q207/2))</f>
        <v>14.324949642350331</v>
      </c>
      <c r="R208" s="4" t="s">
        <v>51</v>
      </c>
    </row>
    <row r="209" spans="1:10" ht="15" customHeight="1" x14ac:dyDescent="0.3">
      <c r="B209" s="49" t="s">
        <v>50</v>
      </c>
      <c r="C209" s="17">
        <f>C200*100000/(C198*C12*(C202-C205/2))</f>
        <v>15.116016163831739</v>
      </c>
      <c r="D209" s="4" t="s">
        <v>51</v>
      </c>
    </row>
    <row r="210" spans="1:10" ht="15" customHeight="1" x14ac:dyDescent="0.3">
      <c r="B210" s="49"/>
      <c r="C210" s="17"/>
    </row>
    <row r="211" spans="1:10" ht="15" customHeight="1" x14ac:dyDescent="0.3">
      <c r="B211" s="49"/>
      <c r="C211" s="17"/>
    </row>
    <row r="212" spans="1:10" ht="15" customHeight="1" x14ac:dyDescent="0.3">
      <c r="B212" s="49" t="s">
        <v>52</v>
      </c>
      <c r="C212" s="17">
        <f>C209*C47/(0.85*C46*C44)</f>
        <v>4.2680516227289615</v>
      </c>
      <c r="D212" s="4" t="s">
        <v>9</v>
      </c>
    </row>
    <row r="213" spans="1:10" ht="15" customHeight="1" x14ac:dyDescent="0.3">
      <c r="B213" s="7" t="s">
        <v>163</v>
      </c>
      <c r="C213" s="17"/>
    </row>
    <row r="214" spans="1:10" ht="15" customHeight="1" x14ac:dyDescent="0.3">
      <c r="B214" s="49" t="s">
        <v>50</v>
      </c>
      <c r="C214" s="17">
        <f>Q208</f>
        <v>14.324949642350331</v>
      </c>
      <c r="D214" s="4" t="s">
        <v>51</v>
      </c>
    </row>
    <row r="215" spans="1:10" ht="15" customHeight="1" x14ac:dyDescent="0.3">
      <c r="B215" s="49" t="s">
        <v>52</v>
      </c>
      <c r="C215" s="17">
        <f>Q207</f>
        <v>4.0446933333360029</v>
      </c>
      <c r="D215" s="4" t="s">
        <v>9</v>
      </c>
      <c r="E215" s="9" t="str">
        <f>IF(C215&lt;C212,"…..CONFORME", "…….VERIFICAR")</f>
        <v>…..CONFORME</v>
      </c>
    </row>
    <row r="216" spans="1:10" ht="15" customHeight="1" x14ac:dyDescent="0.3">
      <c r="B216" s="16"/>
    </row>
    <row r="217" spans="1:10" ht="15" customHeight="1" x14ac:dyDescent="0.3">
      <c r="A217" s="18"/>
      <c r="B217" s="67" t="s">
        <v>137</v>
      </c>
      <c r="C217" s="68">
        <f>C214</f>
        <v>14.324949642350331</v>
      </c>
      <c r="D217" s="3" t="s">
        <v>51</v>
      </c>
      <c r="E217" s="18"/>
      <c r="F217" s="8"/>
      <c r="G217" s="9"/>
      <c r="H217" s="18"/>
      <c r="I217" s="18"/>
      <c r="J217" s="18"/>
    </row>
    <row r="218" spans="1:10" ht="15" customHeight="1" x14ac:dyDescent="0.3">
      <c r="A218" s="18"/>
      <c r="B218" s="67"/>
      <c r="C218" s="68"/>
      <c r="D218" s="3"/>
      <c r="E218" s="18"/>
      <c r="F218" s="8"/>
      <c r="G218" s="9"/>
      <c r="H218" s="18"/>
      <c r="I218" s="18"/>
      <c r="J218" s="18"/>
    </row>
    <row r="219" spans="1:10" ht="15" customHeight="1" x14ac:dyDescent="0.3">
      <c r="A219" s="18"/>
      <c r="B219" s="67"/>
      <c r="C219" s="68"/>
      <c r="D219" s="3"/>
      <c r="E219" s="18"/>
      <c r="F219" s="8"/>
      <c r="G219" s="9"/>
      <c r="H219" s="18"/>
      <c r="I219" s="18"/>
      <c r="J219" s="18"/>
    </row>
    <row r="220" spans="1:10" ht="15" customHeight="1" x14ac:dyDescent="0.3">
      <c r="A220" s="49"/>
      <c r="B220" s="69" t="s">
        <v>138</v>
      </c>
      <c r="C220" s="70">
        <f>C217/H196</f>
        <v>7.2372863234096174</v>
      </c>
      <c r="D220" s="49"/>
      <c r="E220" s="12"/>
      <c r="G220" s="49"/>
      <c r="H220" s="12"/>
      <c r="J220" s="18"/>
    </row>
    <row r="221" spans="1:10" ht="15" customHeight="1" x14ac:dyDescent="0.3">
      <c r="A221" s="49"/>
      <c r="B221" s="12"/>
      <c r="D221" s="49"/>
      <c r="E221" s="12"/>
      <c r="G221" s="49"/>
      <c r="H221" s="12"/>
      <c r="J221" s="18"/>
    </row>
    <row r="222" spans="1:10" ht="15" customHeight="1" x14ac:dyDescent="0.3">
      <c r="A222" s="49"/>
      <c r="B222" s="12"/>
      <c r="D222" s="49"/>
      <c r="E222" s="12"/>
      <c r="G222" s="49"/>
      <c r="H222" s="12"/>
      <c r="J222" s="18"/>
    </row>
    <row r="223" spans="1:10" ht="15" customHeight="1" x14ac:dyDescent="0.3">
      <c r="A223" s="49"/>
      <c r="B223" s="69" t="s">
        <v>139</v>
      </c>
      <c r="C223" s="17">
        <f>C44/C220/100</f>
        <v>0.1381733367056952</v>
      </c>
      <c r="D223" s="7" t="s">
        <v>0</v>
      </c>
      <c r="E223" s="12"/>
      <c r="G223" s="49"/>
      <c r="H223" s="12"/>
      <c r="J223" s="18"/>
    </row>
    <row r="224" spans="1:10" ht="15" customHeight="1" x14ac:dyDescent="0.3">
      <c r="A224" s="49"/>
      <c r="B224" s="69"/>
      <c r="C224" s="12"/>
      <c r="D224" s="7"/>
      <c r="E224" s="12"/>
      <c r="G224" s="49"/>
      <c r="H224" s="12"/>
      <c r="J224" s="18"/>
    </row>
    <row r="225" spans="1:10" ht="15" customHeight="1" x14ac:dyDescent="0.3">
      <c r="A225" s="49"/>
      <c r="B225" s="12" t="s">
        <v>140</v>
      </c>
      <c r="C225" s="89" t="s">
        <v>141</v>
      </c>
      <c r="D225" s="77" t="str">
        <f>E195</f>
        <v>5/8"</v>
      </c>
      <c r="E225" s="77" t="s">
        <v>54</v>
      </c>
      <c r="F225" s="78">
        <f>C223</f>
        <v>0.1381733367056952</v>
      </c>
      <c r="G225" s="79" t="s">
        <v>0</v>
      </c>
      <c r="J225" s="18"/>
    </row>
    <row r="226" spans="1:10" ht="15" customHeight="1" x14ac:dyDescent="0.3">
      <c r="A226" s="18"/>
      <c r="B226" s="67"/>
      <c r="C226" s="68"/>
      <c r="D226" s="3"/>
      <c r="E226" s="18"/>
      <c r="F226" s="8"/>
      <c r="G226" s="9"/>
      <c r="H226" s="18"/>
      <c r="I226" s="18"/>
      <c r="J226" s="18"/>
    </row>
    <row r="227" spans="1:10" ht="15" customHeight="1" x14ac:dyDescent="0.3">
      <c r="A227" s="71"/>
      <c r="B227" s="72" t="s">
        <v>55</v>
      </c>
      <c r="C227" s="18"/>
      <c r="D227" s="18"/>
      <c r="E227" s="18"/>
      <c r="F227" s="18"/>
      <c r="G227" s="18"/>
      <c r="H227" s="18"/>
      <c r="I227" s="18"/>
      <c r="J227" s="18"/>
    </row>
    <row r="228" spans="1:10" ht="15" customHeight="1" x14ac:dyDescent="0.3">
      <c r="A228" s="71"/>
      <c r="B228" s="18"/>
      <c r="C228" s="18"/>
      <c r="D228" s="18"/>
      <c r="E228" s="18"/>
      <c r="F228" s="18"/>
      <c r="G228" s="18"/>
      <c r="H228" s="8"/>
      <c r="I228" s="18"/>
      <c r="J228" s="18"/>
    </row>
    <row r="229" spans="1:10" ht="15" customHeight="1" x14ac:dyDescent="0.3">
      <c r="A229" s="71"/>
      <c r="B229" s="8" t="s">
        <v>56</v>
      </c>
      <c r="C229" s="31">
        <f>C217/(C44*C202)</f>
        <v>3.5628663808115238E-3</v>
      </c>
      <c r="D229" s="18"/>
      <c r="E229" s="8" t="s">
        <v>57</v>
      </c>
      <c r="F229" s="32">
        <v>1.8E-3</v>
      </c>
      <c r="G229" s="18"/>
      <c r="H229" s="18"/>
      <c r="I229" s="18"/>
      <c r="J229" s="18"/>
    </row>
    <row r="230" spans="1:10" ht="15" customHeight="1" x14ac:dyDescent="0.3">
      <c r="A230" s="71"/>
      <c r="B230" s="32"/>
      <c r="C230" s="32"/>
      <c r="D230" s="32"/>
      <c r="E230" s="32"/>
      <c r="F230" s="18"/>
      <c r="G230" s="32"/>
      <c r="H230" s="32"/>
      <c r="I230" s="32"/>
      <c r="J230" s="32"/>
    </row>
    <row r="231" spans="1:10" ht="15" customHeight="1" x14ac:dyDescent="0.3">
      <c r="A231" s="71"/>
      <c r="B231" s="9" t="s">
        <v>142</v>
      </c>
      <c r="C231" s="18"/>
      <c r="D231" s="9" t="s">
        <v>143</v>
      </c>
      <c r="E231" s="21"/>
      <c r="F231" s="8"/>
      <c r="G231" s="32"/>
      <c r="H231" s="32"/>
      <c r="I231" s="32"/>
      <c r="J231" s="32"/>
    </row>
    <row r="232" spans="1:10" ht="15" customHeight="1" x14ac:dyDescent="0.3">
      <c r="A232" s="71"/>
      <c r="B232" s="31">
        <f>F229</f>
        <v>1.8E-3</v>
      </c>
      <c r="C232" s="9" t="str">
        <f>IF(B232&lt;D232,"&lt;","&gt;")</f>
        <v>&lt;</v>
      </c>
      <c r="D232" s="31">
        <f>C229</f>
        <v>3.5628663808115238E-3</v>
      </c>
      <c r="E232" s="18"/>
      <c r="F232" s="9" t="str">
        <f>IF(B232&gt;D232,"…..VERIFICAR","…..CONFORME")</f>
        <v>…..CONFORME</v>
      </c>
      <c r="G232" s="32"/>
      <c r="H232" s="32"/>
      <c r="I232" s="32"/>
      <c r="J232" s="32"/>
    </row>
    <row r="233" spans="1:10" ht="15" customHeight="1" x14ac:dyDescent="0.3">
      <c r="B233" s="16"/>
    </row>
    <row r="234" spans="1:10" ht="15" customHeight="1" x14ac:dyDescent="0.3">
      <c r="B234" s="28" t="s">
        <v>146</v>
      </c>
    </row>
    <row r="235" spans="1:10" ht="15" customHeight="1" x14ac:dyDescent="0.3">
      <c r="B235" s="28"/>
    </row>
    <row r="236" spans="1:10" ht="15" customHeight="1" x14ac:dyDescent="0.3">
      <c r="B236" s="16"/>
    </row>
    <row r="237" spans="1:10" ht="15" customHeight="1" x14ac:dyDescent="0.3">
      <c r="B237" s="49" t="s">
        <v>27</v>
      </c>
      <c r="C237" s="17">
        <f>C65-C197-E196/2</f>
        <v>40.206249999999997</v>
      </c>
      <c r="D237" s="4" t="s">
        <v>49</v>
      </c>
    </row>
    <row r="238" spans="1:10" ht="15" customHeight="1" x14ac:dyDescent="0.3">
      <c r="B238" s="49" t="s">
        <v>58</v>
      </c>
      <c r="C238" s="17">
        <f>0.0018*C44*C237</f>
        <v>7.2371249999999989</v>
      </c>
      <c r="D238" s="4" t="s">
        <v>63</v>
      </c>
    </row>
    <row r="239" spans="1:10" ht="15" customHeight="1" x14ac:dyDescent="0.3">
      <c r="B239" s="49"/>
      <c r="C239" s="17"/>
    </row>
    <row r="240" spans="1:10" ht="15" customHeight="1" x14ac:dyDescent="0.3">
      <c r="B240" s="16"/>
      <c r="C240" s="16"/>
    </row>
    <row r="241" spans="1:11" ht="15" customHeight="1" x14ac:dyDescent="0.3">
      <c r="B241" s="49" t="s">
        <v>27</v>
      </c>
      <c r="C241" s="17">
        <f>C33*100-C197-E196/2</f>
        <v>15.206250000000001</v>
      </c>
      <c r="D241" s="4" t="s">
        <v>49</v>
      </c>
    </row>
    <row r="242" spans="1:11" ht="15" customHeight="1" x14ac:dyDescent="0.3">
      <c r="B242" s="16" t="s">
        <v>59</v>
      </c>
      <c r="C242" s="17">
        <f>0.0018*C44*C241</f>
        <v>2.7371249999999998</v>
      </c>
      <c r="D242" s="4" t="s">
        <v>63</v>
      </c>
    </row>
    <row r="243" spans="1:11" ht="15" customHeight="1" x14ac:dyDescent="0.3">
      <c r="B243" s="16"/>
    </row>
    <row r="244" spans="1:11" ht="15" customHeight="1" x14ac:dyDescent="0.3">
      <c r="B244" s="28" t="s">
        <v>60</v>
      </c>
    </row>
    <row r="245" spans="1:11" ht="15" customHeight="1" x14ac:dyDescent="0.3">
      <c r="B245" s="28"/>
    </row>
    <row r="246" spans="1:11" ht="15" customHeight="1" x14ac:dyDescent="0.3">
      <c r="B246" s="28"/>
    </row>
    <row r="247" spans="1:11" ht="15" customHeight="1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</row>
    <row r="248" spans="1:11" ht="15" customHeight="1" x14ac:dyDescent="0.3">
      <c r="A248" s="16"/>
      <c r="B248" s="7" t="s">
        <v>147</v>
      </c>
      <c r="C248" s="16"/>
      <c r="D248" s="16"/>
      <c r="E248" s="16"/>
      <c r="F248" s="16"/>
      <c r="G248" s="16"/>
      <c r="H248" s="16"/>
      <c r="I248" s="16"/>
      <c r="J248" s="16"/>
      <c r="K248" s="16"/>
    </row>
    <row r="249" spans="1:11" ht="15" customHeight="1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</row>
    <row r="250" spans="1:11" ht="15" customHeight="1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</row>
    <row r="251" spans="1:11" ht="15" customHeight="1" x14ac:dyDescent="0.3">
      <c r="A251" s="16"/>
      <c r="B251" s="7" t="s">
        <v>148</v>
      </c>
      <c r="C251" s="16"/>
      <c r="D251" s="16"/>
      <c r="E251" s="16"/>
      <c r="F251" s="16"/>
      <c r="G251" s="16"/>
      <c r="H251" s="16"/>
      <c r="I251" s="16"/>
      <c r="J251" s="16"/>
      <c r="K251" s="16"/>
    </row>
    <row r="252" spans="1:11" ht="15" customHeight="1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</row>
    <row r="253" spans="1:11" ht="15" customHeight="1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</row>
    <row r="254" spans="1:11" ht="15" customHeight="1" x14ac:dyDescent="0.3">
      <c r="A254" s="16"/>
      <c r="B254" s="7" t="s">
        <v>149</v>
      </c>
      <c r="C254" s="16"/>
      <c r="D254" s="16"/>
      <c r="E254" s="16"/>
      <c r="F254" s="16"/>
      <c r="G254" s="16"/>
      <c r="H254" s="16"/>
      <c r="I254" s="16"/>
      <c r="J254" s="16"/>
      <c r="K254" s="16"/>
    </row>
    <row r="255" spans="1:11" ht="15" customHeight="1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</row>
    <row r="256" spans="1:11" ht="15" customHeight="1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</row>
    <row r="257" spans="1:11" ht="15" customHeight="1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</row>
    <row r="258" spans="1:11" ht="15" customHeight="1" x14ac:dyDescent="0.3">
      <c r="A258" s="16"/>
      <c r="B258" s="7" t="s">
        <v>150</v>
      </c>
      <c r="C258" s="16"/>
      <c r="D258" s="16"/>
      <c r="E258" s="16"/>
      <c r="F258" s="16"/>
      <c r="G258" s="16"/>
      <c r="H258" s="16"/>
      <c r="I258" s="16"/>
      <c r="J258" s="16"/>
      <c r="K258" s="16"/>
    </row>
    <row r="259" spans="1:11" ht="15" customHeight="1" x14ac:dyDescent="0.3">
      <c r="A259" s="16"/>
      <c r="B259" s="7" t="s">
        <v>151</v>
      </c>
      <c r="C259" s="16"/>
      <c r="D259" s="16"/>
      <c r="E259" s="16"/>
      <c r="F259" s="16"/>
      <c r="G259" s="16"/>
      <c r="H259" s="16"/>
      <c r="I259" s="16"/>
      <c r="J259" s="16"/>
      <c r="K259" s="16"/>
    </row>
    <row r="260" spans="1:11" ht="15" customHeight="1" x14ac:dyDescent="0.3">
      <c r="A260" s="16"/>
      <c r="B260" s="7"/>
      <c r="C260" s="16"/>
      <c r="D260" s="16"/>
      <c r="E260" s="16"/>
      <c r="F260" s="16"/>
      <c r="G260" s="16"/>
      <c r="H260" s="16"/>
      <c r="I260" s="16"/>
      <c r="J260" s="16"/>
      <c r="K260" s="16"/>
    </row>
    <row r="261" spans="1:11" ht="15" customHeight="1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</row>
    <row r="262" spans="1:11" ht="15" customHeight="1" x14ac:dyDescent="0.3">
      <c r="B262" s="49" t="s">
        <v>25</v>
      </c>
      <c r="C262" s="17">
        <f>C200/2</f>
        <v>10.337969106328886</v>
      </c>
      <c r="D262" s="4" t="s">
        <v>11</v>
      </c>
    </row>
    <row r="263" spans="1:11" ht="3.75" customHeight="1" x14ac:dyDescent="0.3">
      <c r="B263" s="49"/>
      <c r="C263" s="17"/>
    </row>
    <row r="264" spans="1:11" ht="15" customHeight="1" x14ac:dyDescent="0.3">
      <c r="B264" s="49"/>
      <c r="C264" s="17"/>
    </row>
    <row r="265" spans="1:11" ht="15" customHeight="1" x14ac:dyDescent="0.3">
      <c r="B265" s="49"/>
      <c r="C265" s="17"/>
      <c r="D265" s="33"/>
      <c r="E265" s="16"/>
      <c r="F265" s="16"/>
    </row>
    <row r="266" spans="1:11" ht="15" customHeight="1" x14ac:dyDescent="0.3">
      <c r="A266" s="33"/>
      <c r="B266" s="49" t="s">
        <v>61</v>
      </c>
      <c r="C266" s="12">
        <f>C6-((6*C262/(C29*1.7)))^(1/3)</f>
        <v>1.0314973700795016</v>
      </c>
      <c r="D266" s="4" t="s">
        <v>0</v>
      </c>
      <c r="E266" s="12"/>
      <c r="F266" s="16"/>
    </row>
    <row r="267" spans="1:11" ht="15" customHeight="1" x14ac:dyDescent="0.3">
      <c r="A267" s="33"/>
      <c r="B267" s="49"/>
      <c r="C267" s="12"/>
      <c r="E267" s="12"/>
      <c r="F267" s="16"/>
    </row>
    <row r="268" spans="1:11" ht="15" customHeight="1" x14ac:dyDescent="0.3">
      <c r="B268" s="49"/>
    </row>
    <row r="269" spans="1:11" ht="15" customHeight="1" x14ac:dyDescent="0.3">
      <c r="B269" s="49" t="s">
        <v>62</v>
      </c>
      <c r="C269" s="57">
        <f>C266+C237/100</f>
        <v>1.4335598700795016</v>
      </c>
      <c r="D269" s="4" t="s">
        <v>0</v>
      </c>
    </row>
    <row r="270" spans="1:11" ht="15" customHeight="1" x14ac:dyDescent="0.3">
      <c r="B270" s="49"/>
    </row>
    <row r="271" spans="1:11" ht="15" customHeight="1" x14ac:dyDescent="0.3">
      <c r="B271" s="49" t="s">
        <v>152</v>
      </c>
      <c r="C271" s="13">
        <v>1.45</v>
      </c>
      <c r="D271" s="5" t="s">
        <v>0</v>
      </c>
    </row>
    <row r="272" spans="1:11" ht="15" customHeight="1" x14ac:dyDescent="0.3"/>
    <row r="273" spans="2:14" ht="15" customHeight="1" x14ac:dyDescent="0.3">
      <c r="B273" s="34" t="s">
        <v>64</v>
      </c>
    </row>
    <row r="274" spans="2:14" ht="15" customHeight="1" x14ac:dyDescent="0.3"/>
    <row r="275" spans="2:14" ht="15" customHeight="1" x14ac:dyDescent="0.3">
      <c r="B275" s="28" t="s">
        <v>65</v>
      </c>
    </row>
    <row r="276" spans="2:14" ht="15" customHeight="1" x14ac:dyDescent="0.3">
      <c r="B276" s="28"/>
      <c r="G276" s="4" t="str">
        <f>CONCATENATE(ROUND(C214/4,2),"cm2")</f>
        <v>3.58cm2</v>
      </c>
      <c r="H276" s="4" t="str">
        <f>CONCATENATE(ROUND(C214/2,2),"cm2")</f>
        <v>7.16cm2</v>
      </c>
    </row>
    <row r="277" spans="2:14" ht="15" customHeight="1" x14ac:dyDescent="0.3"/>
    <row r="278" spans="2:14" ht="15" customHeight="1" x14ac:dyDescent="0.3">
      <c r="B278" s="4" t="s">
        <v>67</v>
      </c>
      <c r="C278" s="35">
        <v>2E-3</v>
      </c>
      <c r="D278" s="4" t="s">
        <v>153</v>
      </c>
    </row>
    <row r="279" spans="2:14" ht="15" customHeight="1" x14ac:dyDescent="0.3">
      <c r="D279" s="4" t="s">
        <v>144</v>
      </c>
    </row>
    <row r="280" spans="2:14" ht="15" customHeight="1" x14ac:dyDescent="0.3">
      <c r="B280" s="4" t="s">
        <v>66</v>
      </c>
      <c r="C280" s="35">
        <v>2.5000000000000001E-3</v>
      </c>
      <c r="D280" s="4" t="s">
        <v>68</v>
      </c>
      <c r="H280" s="40" t="s">
        <v>180</v>
      </c>
    </row>
    <row r="281" spans="2:14" ht="15" customHeight="1" x14ac:dyDescent="0.3">
      <c r="G281" s="100" t="s">
        <v>182</v>
      </c>
    </row>
    <row r="282" spans="2:14" ht="15" customHeight="1" x14ac:dyDescent="0.3">
      <c r="B282" s="4" t="s">
        <v>154</v>
      </c>
    </row>
    <row r="283" spans="2:14" ht="15" customHeight="1" x14ac:dyDescent="0.3">
      <c r="B283" s="8"/>
      <c r="C283" s="16"/>
      <c r="H283" s="99" t="s">
        <v>181</v>
      </c>
    </row>
    <row r="284" spans="2:14" ht="15" customHeight="1" x14ac:dyDescent="0.3">
      <c r="B284" s="28" t="s">
        <v>162</v>
      </c>
      <c r="F284" s="20" t="str">
        <f>CONCATENATE(C6,"m")</f>
        <v>5m</v>
      </c>
      <c r="I284" s="20" t="str">
        <f>CONCATENATE(ROUND(C202,2),"cm")</f>
        <v>40.21cm</v>
      </c>
    </row>
    <row r="285" spans="2:14" ht="15" customHeight="1" x14ac:dyDescent="0.3">
      <c r="B285" s="28"/>
    </row>
    <row r="286" spans="2:14" ht="15" customHeight="1" x14ac:dyDescent="0.3">
      <c r="B286" s="40" t="s">
        <v>112</v>
      </c>
      <c r="C286" s="126">
        <v>5</v>
      </c>
      <c r="D286" s="16" t="str">
        <f>LOOKUP(C286,$P$52:$P$60,$Q$52:$Q$60)</f>
        <v>5/8"</v>
      </c>
      <c r="H286" s="137" t="s">
        <v>183</v>
      </c>
    </row>
    <row r="287" spans="2:14" ht="15" customHeight="1" x14ac:dyDescent="0.3">
      <c r="B287" s="40"/>
      <c r="C287" s="80"/>
      <c r="D287" s="16"/>
      <c r="H287" s="137"/>
      <c r="M287" s="136" t="str">
        <f>CONCATENATE(C271," m")</f>
        <v>1.45 m</v>
      </c>
      <c r="N287" s="136"/>
    </row>
    <row r="288" spans="2:14" ht="15" customHeight="1" x14ac:dyDescent="0.3">
      <c r="B288" s="40"/>
      <c r="C288" s="80"/>
      <c r="D288" s="16"/>
      <c r="I288" s="136" t="str">
        <f>CONCATENATE("Lc=",ROUND(C269,2),"m")</f>
        <v>Lc=1.43m</v>
      </c>
      <c r="J288" s="136"/>
    </row>
    <row r="289" spans="1:13" ht="15" customHeight="1" x14ac:dyDescent="0.3">
      <c r="B289" s="8" t="s">
        <v>156</v>
      </c>
      <c r="C289" s="35">
        <f>IF($C$286&lt;=5,$C$278,$C$280)</f>
        <v>2E-3</v>
      </c>
    </row>
    <row r="290" spans="1:13" ht="15" customHeight="1" x14ac:dyDescent="0.3"/>
    <row r="291" spans="1:13" ht="15" customHeight="1" x14ac:dyDescent="0.3">
      <c r="B291" s="81" t="s">
        <v>69</v>
      </c>
      <c r="C291" s="76">
        <f>C289*$C$44*C33*100</f>
        <v>4.0000000000000009</v>
      </c>
      <c r="D291" s="14" t="s">
        <v>63</v>
      </c>
      <c r="G291" s="133" t="str">
        <f>CONCATENATE(ROUND(C262,2),"ton-m")</f>
        <v>10.34ton-m</v>
      </c>
      <c r="H291" s="133"/>
      <c r="I291" s="4" t="str">
        <f>CONCATENATE(ROUND(C200,2),"ton-m")</f>
        <v>20.68ton-m</v>
      </c>
    </row>
    <row r="292" spans="1:13" ht="15" customHeight="1" x14ac:dyDescent="0.3">
      <c r="E292" s="18"/>
      <c r="G292" s="40"/>
      <c r="H292" s="12"/>
      <c r="J292" s="18"/>
      <c r="K292" s="20" t="str">
        <f>CONCATENATE("S = ",ROUND(C223,2)," m")</f>
        <v>S = 0.14 m</v>
      </c>
    </row>
    <row r="293" spans="1:13" ht="15" customHeight="1" x14ac:dyDescent="0.3">
      <c r="B293" s="67" t="s">
        <v>155</v>
      </c>
      <c r="C293" s="68">
        <f>2/3*C291</f>
        <v>2.666666666666667</v>
      </c>
      <c r="D293" s="75" t="s">
        <v>51</v>
      </c>
      <c r="E293" s="18"/>
      <c r="G293" s="40"/>
      <c r="H293" s="12"/>
      <c r="J293" s="18"/>
    </row>
    <row r="294" spans="1:13" ht="15" customHeight="1" x14ac:dyDescent="0.3">
      <c r="A294" s="40"/>
      <c r="B294" s="41"/>
      <c r="C294" s="42"/>
      <c r="E294" s="16" t="str">
        <f>LOOKUP(C295,$P$52:$P$60,$Q$52:$Q$60)</f>
        <v>3/8"</v>
      </c>
      <c r="J294" s="18"/>
    </row>
    <row r="295" spans="1:13" ht="15" customHeight="1" x14ac:dyDescent="0.3">
      <c r="A295" s="40"/>
      <c r="B295" s="40" t="s">
        <v>112</v>
      </c>
      <c r="C295" s="43">
        <v>3</v>
      </c>
      <c r="D295" s="44" t="s">
        <v>113</v>
      </c>
      <c r="E295" s="12">
        <f>LOOKUP(C295,$P$52:$P$60,$R$52:$R$60)</f>
        <v>0.95250000000000001</v>
      </c>
      <c r="F295" s="4" t="s">
        <v>9</v>
      </c>
      <c r="G295" s="40" t="s">
        <v>114</v>
      </c>
      <c r="H295" s="12">
        <f>LOOKUP(C295,$P$52:$P$60,$S$52:$S$60)</f>
        <v>0.71255739248085614</v>
      </c>
      <c r="I295" s="4" t="s">
        <v>51</v>
      </c>
      <c r="J295" s="18"/>
    </row>
    <row r="296" spans="1:13" ht="15" customHeight="1" x14ac:dyDescent="0.3">
      <c r="A296" s="18"/>
      <c r="B296" s="67"/>
      <c r="C296" s="68"/>
      <c r="D296" s="3"/>
      <c r="E296" s="18"/>
      <c r="F296" s="8"/>
      <c r="G296" s="9"/>
      <c r="H296" s="18"/>
      <c r="I296" s="18"/>
      <c r="J296" s="18"/>
    </row>
    <row r="297" spans="1:13" ht="15" customHeight="1" x14ac:dyDescent="0.3">
      <c r="A297" s="18"/>
      <c r="B297" s="67"/>
      <c r="C297" s="68"/>
      <c r="D297" s="3"/>
      <c r="E297" s="18"/>
      <c r="F297" s="8"/>
      <c r="G297" s="9"/>
      <c r="H297" s="18"/>
      <c r="I297" s="18"/>
      <c r="J297" s="18"/>
    </row>
    <row r="298" spans="1:13" ht="15" customHeight="1" x14ac:dyDescent="0.3">
      <c r="A298" s="49"/>
      <c r="B298" s="69" t="s">
        <v>138</v>
      </c>
      <c r="C298" s="70">
        <f>C293/H295</f>
        <v>3.7423886058950835</v>
      </c>
      <c r="D298" s="49"/>
      <c r="E298" s="12"/>
      <c r="G298" s="49"/>
      <c r="H298" s="12"/>
      <c r="J298" s="18"/>
    </row>
    <row r="299" spans="1:13" ht="15" customHeight="1" x14ac:dyDescent="0.3">
      <c r="A299" s="49"/>
      <c r="B299" s="12"/>
      <c r="D299" s="49"/>
      <c r="E299" s="12"/>
      <c r="G299" s="49"/>
      <c r="H299" s="12"/>
      <c r="J299" s="18"/>
    </row>
    <row r="300" spans="1:13" ht="15" customHeight="1" x14ac:dyDescent="0.3">
      <c r="A300" s="49"/>
      <c r="B300" s="12"/>
      <c r="D300" s="49"/>
      <c r="E300" s="12"/>
      <c r="G300" s="49"/>
      <c r="H300" s="12"/>
      <c r="J300" s="18"/>
      <c r="K300" s="4" t="s">
        <v>184</v>
      </c>
    </row>
    <row r="301" spans="1:13" ht="15" customHeight="1" x14ac:dyDescent="0.3">
      <c r="A301" s="49"/>
      <c r="B301" s="69" t="s">
        <v>139</v>
      </c>
      <c r="C301" s="17">
        <f>$C$44/C298/100</f>
        <v>0.267209022180321</v>
      </c>
      <c r="D301" s="7" t="s">
        <v>0</v>
      </c>
      <c r="E301" s="12"/>
      <c r="G301" s="49"/>
      <c r="H301" s="12"/>
      <c r="J301" s="18"/>
    </row>
    <row r="302" spans="1:13" ht="15" customHeight="1" x14ac:dyDescent="0.3">
      <c r="B302" s="8" t="s">
        <v>158</v>
      </c>
      <c r="C302" s="17">
        <v>0.45</v>
      </c>
      <c r="D302" s="4" t="s">
        <v>0</v>
      </c>
      <c r="J302" s="4" t="s">
        <v>235</v>
      </c>
    </row>
    <row r="303" spans="1:13" ht="15" customHeight="1" x14ac:dyDescent="0.3">
      <c r="A303" s="49"/>
      <c r="B303" s="69"/>
      <c r="C303" s="12"/>
      <c r="D303" s="7"/>
      <c r="E303" s="12"/>
      <c r="G303" s="49"/>
      <c r="H303" s="12"/>
      <c r="J303" s="18"/>
      <c r="M303" s="20" t="s">
        <v>185</v>
      </c>
    </row>
    <row r="304" spans="1:13" ht="15" customHeight="1" x14ac:dyDescent="0.3">
      <c r="A304" s="49"/>
      <c r="B304" s="12" t="s">
        <v>140</v>
      </c>
      <c r="C304" s="89" t="s">
        <v>141</v>
      </c>
      <c r="D304" s="77" t="str">
        <f>E294</f>
        <v>3/8"</v>
      </c>
      <c r="E304" s="77" t="s">
        <v>54</v>
      </c>
      <c r="F304" s="78">
        <f>MIN(C301,C302)</f>
        <v>0.267209022180321</v>
      </c>
      <c r="G304" s="79" t="s">
        <v>0</v>
      </c>
      <c r="J304" s="18"/>
    </row>
    <row r="305" spans="1:9" ht="15" customHeight="1" x14ac:dyDescent="0.3">
      <c r="B305" s="28"/>
    </row>
    <row r="306" spans="1:9" ht="15" customHeight="1" x14ac:dyDescent="0.3">
      <c r="B306" s="67" t="s">
        <v>157</v>
      </c>
      <c r="C306" s="47">
        <f>ROUND(1/3*C291,2)</f>
        <v>1.33</v>
      </c>
      <c r="D306" s="14" t="s">
        <v>51</v>
      </c>
    </row>
    <row r="307" spans="1:9" ht="15" customHeight="1" x14ac:dyDescent="0.3">
      <c r="A307" s="40"/>
      <c r="B307" s="41"/>
      <c r="C307" s="42"/>
      <c r="E307" s="16" t="str">
        <f>LOOKUP(C308,$P$52:$P$60,$Q$52:$Q$60)</f>
        <v>3/8"</v>
      </c>
    </row>
    <row r="308" spans="1:9" ht="15" customHeight="1" x14ac:dyDescent="0.3">
      <c r="A308" s="40"/>
      <c r="B308" s="40" t="s">
        <v>112</v>
      </c>
      <c r="C308" s="43">
        <v>3</v>
      </c>
      <c r="D308" s="44" t="s">
        <v>113</v>
      </c>
      <c r="E308" s="12">
        <f>LOOKUP(C308,$P$52:$P$60,$R$52:$R$60)</f>
        <v>0.95250000000000001</v>
      </c>
      <c r="F308" s="4" t="s">
        <v>9</v>
      </c>
      <c r="G308" s="40" t="s">
        <v>114</v>
      </c>
      <c r="H308" s="12">
        <f>LOOKUP(C308,$P$52:$P$60,$S$52:$S$60)</f>
        <v>0.71255739248085614</v>
      </c>
      <c r="I308" s="4" t="s">
        <v>51</v>
      </c>
    </row>
    <row r="309" spans="1:9" ht="15" customHeight="1" x14ac:dyDescent="0.3"/>
    <row r="310" spans="1:9" ht="15" customHeight="1" x14ac:dyDescent="0.3">
      <c r="A310" s="18"/>
      <c r="B310" s="67"/>
      <c r="C310" s="68"/>
      <c r="D310" s="3"/>
      <c r="E310" s="18"/>
      <c r="F310" s="8"/>
      <c r="G310" s="9"/>
      <c r="H310" s="18"/>
      <c r="I310" s="18"/>
    </row>
    <row r="311" spans="1:9" ht="15" customHeight="1" x14ac:dyDescent="0.3">
      <c r="A311" s="49"/>
      <c r="B311" s="69" t="s">
        <v>138</v>
      </c>
      <c r="C311" s="70">
        <f>C306/H308</f>
        <v>1.8665163171901726</v>
      </c>
      <c r="D311" s="49"/>
      <c r="E311" s="12"/>
      <c r="G311" s="49"/>
      <c r="H311" s="12"/>
    </row>
    <row r="312" spans="1:9" ht="15" customHeight="1" x14ac:dyDescent="0.3">
      <c r="A312" s="49"/>
      <c r="B312" s="12"/>
      <c r="D312" s="49"/>
      <c r="E312" s="12"/>
      <c r="G312" s="49"/>
      <c r="H312" s="12"/>
    </row>
    <row r="313" spans="1:9" ht="15" customHeight="1" x14ac:dyDescent="0.3">
      <c r="A313" s="49"/>
      <c r="B313" s="12"/>
      <c r="D313" s="49"/>
      <c r="E313" s="12"/>
      <c r="G313" s="49"/>
      <c r="H313" s="12"/>
    </row>
    <row r="314" spans="1:9" ht="15" customHeight="1" x14ac:dyDescent="0.3">
      <c r="A314" s="49"/>
      <c r="B314" s="69" t="s">
        <v>139</v>
      </c>
      <c r="C314" s="17">
        <f>$C$44/C311/100</f>
        <v>0.53575743795553099</v>
      </c>
      <c r="D314" s="7" t="s">
        <v>0</v>
      </c>
      <c r="E314" s="12"/>
      <c r="G314" s="49"/>
      <c r="H314" s="12"/>
    </row>
    <row r="315" spans="1:9" ht="15" customHeight="1" x14ac:dyDescent="0.3">
      <c r="A315" s="49"/>
      <c r="B315" s="69" t="s">
        <v>158</v>
      </c>
      <c r="C315" s="17">
        <v>0.45</v>
      </c>
      <c r="D315" s="7" t="s">
        <v>0</v>
      </c>
      <c r="E315" s="12"/>
      <c r="G315" s="49"/>
      <c r="H315" s="12"/>
    </row>
    <row r="316" spans="1:9" ht="15" customHeight="1" x14ac:dyDescent="0.3">
      <c r="A316" s="49"/>
      <c r="B316" s="69"/>
      <c r="C316" s="12"/>
      <c r="D316" s="7"/>
      <c r="E316" s="12"/>
      <c r="G316" s="49"/>
      <c r="H316" s="12"/>
    </row>
    <row r="317" spans="1:9" ht="15" customHeight="1" x14ac:dyDescent="0.3">
      <c r="A317" s="49"/>
      <c r="B317" s="12" t="s">
        <v>140</v>
      </c>
      <c r="C317" s="89" t="s">
        <v>141</v>
      </c>
      <c r="D317" s="77" t="str">
        <f>E307</f>
        <v>3/8"</v>
      </c>
      <c r="E317" s="77" t="s">
        <v>54</v>
      </c>
      <c r="F317" s="78">
        <f>MIN(C314,C315)</f>
        <v>0.45</v>
      </c>
      <c r="G317" s="79" t="s">
        <v>0</v>
      </c>
    </row>
    <row r="318" spans="1:9" ht="15" customHeight="1" x14ac:dyDescent="0.3"/>
    <row r="319" spans="1:9" ht="15" customHeight="1" x14ac:dyDescent="0.3">
      <c r="B319" s="28" t="s">
        <v>161</v>
      </c>
    </row>
    <row r="320" spans="1:9" ht="15" customHeight="1" x14ac:dyDescent="0.3">
      <c r="A320" s="40"/>
      <c r="B320" s="41"/>
      <c r="C320" s="42"/>
    </row>
    <row r="321" spans="1:9" ht="15" customHeight="1" x14ac:dyDescent="0.3">
      <c r="A321" s="40"/>
      <c r="B321" s="40" t="s">
        <v>112</v>
      </c>
      <c r="C321" s="126">
        <v>3</v>
      </c>
      <c r="D321" s="16" t="str">
        <f>LOOKUP(C321,$P$52:$P$60,$Q$52:$Q$60)</f>
        <v>3/8"</v>
      </c>
      <c r="E321" s="12"/>
      <c r="G321" s="40"/>
      <c r="H321" s="12"/>
    </row>
    <row r="322" spans="1:9" ht="15" customHeight="1" x14ac:dyDescent="0.3">
      <c r="A322" s="40"/>
      <c r="B322" s="8"/>
      <c r="C322" s="73"/>
      <c r="D322" s="18"/>
      <c r="E322" s="18"/>
      <c r="G322" s="40"/>
      <c r="H322" s="12"/>
    </row>
    <row r="323" spans="1:9" ht="15" customHeight="1" x14ac:dyDescent="0.3">
      <c r="B323" s="28"/>
      <c r="E323" s="18"/>
      <c r="G323" s="40"/>
      <c r="H323" s="12"/>
    </row>
    <row r="324" spans="1:9" ht="15" customHeight="1" x14ac:dyDescent="0.3">
      <c r="B324" s="8" t="s">
        <v>156</v>
      </c>
      <c r="C324" s="35">
        <f>IF($C$321&lt;=5,$C$278,$C$280)</f>
        <v>2E-3</v>
      </c>
      <c r="E324" s="74"/>
      <c r="G324" s="40"/>
      <c r="H324" s="12"/>
    </row>
    <row r="325" spans="1:9" ht="15" customHeight="1" x14ac:dyDescent="0.3">
      <c r="B325" s="8" t="s">
        <v>158</v>
      </c>
      <c r="C325" s="17">
        <v>0.45</v>
      </c>
      <c r="D325" s="4" t="s">
        <v>0</v>
      </c>
      <c r="E325" s="74"/>
      <c r="G325" s="40"/>
      <c r="H325" s="12"/>
    </row>
    <row r="326" spans="1:9" ht="15" customHeight="1" x14ac:dyDescent="0.3">
      <c r="B326" s="8"/>
      <c r="C326" s="35"/>
      <c r="E326" s="74"/>
      <c r="G326" s="40"/>
      <c r="H326" s="12"/>
    </row>
    <row r="327" spans="1:9" ht="15" customHeight="1" x14ac:dyDescent="0.3">
      <c r="B327" s="81" t="s">
        <v>69</v>
      </c>
      <c r="C327" s="76">
        <f>C324*$C$44*(C65+C33*100)/2</f>
        <v>6.5</v>
      </c>
      <c r="D327" s="14" t="s">
        <v>63</v>
      </c>
      <c r="E327" s="18"/>
      <c r="G327" s="40"/>
      <c r="H327" s="12"/>
    </row>
    <row r="328" spans="1:9" ht="15" customHeight="1" x14ac:dyDescent="0.3">
      <c r="B328" s="8"/>
      <c r="C328" s="17"/>
      <c r="E328" s="18"/>
      <c r="G328" s="40"/>
      <c r="H328" s="12"/>
    </row>
    <row r="329" spans="1:9" ht="15" customHeight="1" x14ac:dyDescent="0.3">
      <c r="B329" s="67" t="s">
        <v>155</v>
      </c>
      <c r="C329" s="68">
        <f>2/3*C327</f>
        <v>4.333333333333333</v>
      </c>
      <c r="D329" s="75" t="s">
        <v>51</v>
      </c>
      <c r="E329" s="18"/>
      <c r="G329" s="40"/>
      <c r="H329" s="12"/>
    </row>
    <row r="330" spans="1:9" ht="15" customHeight="1" x14ac:dyDescent="0.3">
      <c r="A330" s="40"/>
      <c r="B330" s="41"/>
      <c r="C330" s="42"/>
      <c r="E330" s="16" t="str">
        <f>LOOKUP(C331,$P$52:$P$60,$Q$52:$Q$60)</f>
        <v>3/8"</v>
      </c>
    </row>
    <row r="331" spans="1:9" ht="15" customHeight="1" x14ac:dyDescent="0.3">
      <c r="A331" s="40"/>
      <c r="B331" s="40" t="s">
        <v>112</v>
      </c>
      <c r="C331" s="43">
        <v>3</v>
      </c>
      <c r="D331" s="44" t="s">
        <v>113</v>
      </c>
      <c r="E331" s="12">
        <f>LOOKUP(C331,$P$52:$P$60,$R$52:$R$60)</f>
        <v>0.95250000000000001</v>
      </c>
      <c r="F331" s="4" t="s">
        <v>9</v>
      </c>
      <c r="G331" s="40" t="s">
        <v>114</v>
      </c>
      <c r="H331" s="12">
        <f>LOOKUP(C331,$P$52:$P$60,$S$52:$S$60)</f>
        <v>0.71255739248085614</v>
      </c>
      <c r="I331" s="4" t="s">
        <v>51</v>
      </c>
    </row>
    <row r="332" spans="1:9" ht="15" customHeight="1" x14ac:dyDescent="0.3">
      <c r="A332" s="18"/>
      <c r="B332" s="67"/>
      <c r="C332" s="68"/>
      <c r="D332" s="3"/>
      <c r="E332" s="18"/>
      <c r="F332" s="8"/>
      <c r="G332" s="9"/>
      <c r="H332" s="18"/>
      <c r="I332" s="18"/>
    </row>
    <row r="333" spans="1:9" ht="15" customHeight="1" x14ac:dyDescent="0.3">
      <c r="A333" s="18"/>
      <c r="B333" s="67"/>
      <c r="C333" s="68"/>
      <c r="D333" s="3"/>
      <c r="E333" s="18"/>
      <c r="F333" s="8"/>
      <c r="G333" s="9"/>
      <c r="H333" s="18"/>
      <c r="I333" s="18"/>
    </row>
    <row r="334" spans="1:9" ht="15" customHeight="1" x14ac:dyDescent="0.3">
      <c r="A334" s="49"/>
      <c r="B334" s="69" t="s">
        <v>138</v>
      </c>
      <c r="C334" s="70">
        <f>C329/H331</f>
        <v>6.0813814845795093</v>
      </c>
      <c r="D334" s="49"/>
      <c r="E334" s="12"/>
      <c r="G334" s="49"/>
      <c r="H334" s="12"/>
    </row>
    <row r="335" spans="1:9" ht="15" customHeight="1" x14ac:dyDescent="0.3">
      <c r="A335" s="49"/>
      <c r="B335" s="12"/>
      <c r="D335" s="49"/>
      <c r="E335" s="12"/>
      <c r="G335" s="49"/>
      <c r="H335" s="12"/>
    </row>
    <row r="336" spans="1:9" ht="15" customHeight="1" x14ac:dyDescent="0.3">
      <c r="A336" s="49"/>
      <c r="B336" s="12"/>
      <c r="D336" s="49"/>
      <c r="E336" s="12"/>
      <c r="G336" s="49"/>
      <c r="H336" s="12"/>
    </row>
    <row r="337" spans="1:9" ht="15" customHeight="1" x14ac:dyDescent="0.3">
      <c r="A337" s="49"/>
      <c r="B337" s="69" t="s">
        <v>139</v>
      </c>
      <c r="C337" s="17">
        <f>$C$44/C334/100</f>
        <v>0.16443632134173605</v>
      </c>
      <c r="D337" s="7" t="s">
        <v>0</v>
      </c>
      <c r="E337" s="12"/>
      <c r="G337" s="49"/>
      <c r="H337" s="12"/>
    </row>
    <row r="338" spans="1:9" ht="15" customHeight="1" x14ac:dyDescent="0.3">
      <c r="A338" s="49"/>
      <c r="B338" s="8" t="s">
        <v>158</v>
      </c>
      <c r="C338" s="17">
        <v>0.45</v>
      </c>
      <c r="D338" s="4" t="s">
        <v>0</v>
      </c>
      <c r="E338" s="12"/>
      <c r="G338" s="49"/>
      <c r="H338" s="12"/>
    </row>
    <row r="339" spans="1:9" ht="15" customHeight="1" x14ac:dyDescent="0.3">
      <c r="A339" s="49"/>
      <c r="B339" s="69"/>
      <c r="C339" s="12"/>
      <c r="D339" s="7"/>
      <c r="E339" s="12"/>
      <c r="G339" s="49"/>
      <c r="H339" s="12"/>
    </row>
    <row r="340" spans="1:9" ht="15" customHeight="1" x14ac:dyDescent="0.3">
      <c r="A340" s="49"/>
      <c r="B340" s="12" t="s">
        <v>140</v>
      </c>
      <c r="C340" s="89" t="s">
        <v>141</v>
      </c>
      <c r="D340" s="77" t="str">
        <f>E330</f>
        <v>3/8"</v>
      </c>
      <c r="E340" s="77" t="s">
        <v>54</v>
      </c>
      <c r="F340" s="78">
        <f>MIN(C337,C338)</f>
        <v>0.16443632134173605</v>
      </c>
      <c r="G340" s="79" t="s">
        <v>0</v>
      </c>
    </row>
    <row r="341" spans="1:9" ht="15" customHeight="1" x14ac:dyDescent="0.3"/>
    <row r="342" spans="1:9" ht="15" customHeight="1" x14ac:dyDescent="0.3">
      <c r="B342" s="67" t="s">
        <v>157</v>
      </c>
      <c r="C342" s="47">
        <f>ROUND(1/3*C327,2)</f>
        <v>2.17</v>
      </c>
      <c r="D342" s="14" t="s">
        <v>51</v>
      </c>
    </row>
    <row r="343" spans="1:9" ht="15" customHeight="1" x14ac:dyDescent="0.3">
      <c r="A343" s="40"/>
      <c r="B343" s="41"/>
      <c r="C343" s="42"/>
      <c r="E343" s="16" t="str">
        <f>LOOKUP(C344,$P$52:$P$60,$Q$52:$Q$60)</f>
        <v>3/8"</v>
      </c>
    </row>
    <row r="344" spans="1:9" ht="15" customHeight="1" x14ac:dyDescent="0.3">
      <c r="A344" s="40"/>
      <c r="B344" s="40" t="s">
        <v>112</v>
      </c>
      <c r="C344" s="43">
        <v>3</v>
      </c>
      <c r="D344" s="44" t="s">
        <v>113</v>
      </c>
      <c r="E344" s="12">
        <f>LOOKUP(C344,$P$52:$P$60,$R$52:$R$60)</f>
        <v>0.95250000000000001</v>
      </c>
      <c r="F344" s="4" t="s">
        <v>9</v>
      </c>
      <c r="G344" s="40" t="s">
        <v>114</v>
      </c>
      <c r="H344" s="12">
        <f>LOOKUP(C344,$P$52:$P$60,$S$52:$S$60)</f>
        <v>0.71255739248085614</v>
      </c>
      <c r="I344" s="4" t="s">
        <v>51</v>
      </c>
    </row>
    <row r="345" spans="1:9" ht="15" customHeight="1" x14ac:dyDescent="0.3"/>
    <row r="346" spans="1:9" ht="15" customHeight="1" x14ac:dyDescent="0.3">
      <c r="A346" s="18"/>
      <c r="B346" s="67"/>
      <c r="C346" s="68"/>
      <c r="D346" s="3"/>
      <c r="E346" s="18"/>
      <c r="F346" s="8"/>
      <c r="G346" s="9"/>
      <c r="H346" s="18"/>
      <c r="I346" s="18"/>
    </row>
    <row r="347" spans="1:9" ht="15" customHeight="1" x14ac:dyDescent="0.3">
      <c r="A347" s="49"/>
      <c r="B347" s="69" t="s">
        <v>138</v>
      </c>
      <c r="C347" s="70">
        <f>C342/H344</f>
        <v>3.0453687280471238</v>
      </c>
      <c r="D347" s="49"/>
      <c r="E347" s="12"/>
      <c r="G347" s="49"/>
      <c r="H347" s="12"/>
    </row>
    <row r="348" spans="1:9" ht="15" customHeight="1" x14ac:dyDescent="0.3">
      <c r="A348" s="49"/>
      <c r="B348" s="12"/>
      <c r="D348" s="49"/>
      <c r="E348" s="12"/>
      <c r="G348" s="49"/>
      <c r="H348" s="12"/>
    </row>
    <row r="349" spans="1:9" ht="15" customHeight="1" x14ac:dyDescent="0.3">
      <c r="A349" s="49"/>
      <c r="B349" s="12"/>
      <c r="D349" s="49"/>
      <c r="E349" s="12"/>
      <c r="G349" s="49"/>
      <c r="H349" s="12"/>
    </row>
    <row r="350" spans="1:9" ht="15" customHeight="1" x14ac:dyDescent="0.3">
      <c r="A350" s="49"/>
      <c r="B350" s="69" t="s">
        <v>139</v>
      </c>
      <c r="C350" s="17">
        <f>$C$44/C347/100</f>
        <v>0.3283674619727448</v>
      </c>
      <c r="D350" s="7" t="s">
        <v>0</v>
      </c>
      <c r="E350" s="12"/>
      <c r="G350" s="49"/>
      <c r="H350" s="12"/>
    </row>
    <row r="351" spans="1:9" ht="15" customHeight="1" x14ac:dyDescent="0.3">
      <c r="A351" s="49"/>
      <c r="B351" s="8" t="s">
        <v>158</v>
      </c>
      <c r="C351" s="17">
        <v>0.45</v>
      </c>
      <c r="D351" s="4" t="s">
        <v>0</v>
      </c>
      <c r="E351" s="12"/>
      <c r="G351" s="49"/>
      <c r="H351" s="12"/>
    </row>
    <row r="352" spans="1:9" ht="15" customHeight="1" x14ac:dyDescent="0.3">
      <c r="A352" s="49"/>
      <c r="B352" s="69"/>
      <c r="C352" s="12"/>
      <c r="D352" s="7"/>
      <c r="E352" s="12"/>
      <c r="G352" s="49"/>
      <c r="H352" s="12"/>
    </row>
    <row r="353" spans="1:9" ht="15" customHeight="1" x14ac:dyDescent="0.3">
      <c r="A353" s="49"/>
      <c r="B353" s="12" t="s">
        <v>140</v>
      </c>
      <c r="C353" s="89" t="s">
        <v>141</v>
      </c>
      <c r="D353" s="77" t="str">
        <f>E343</f>
        <v>3/8"</v>
      </c>
      <c r="E353" s="77" t="s">
        <v>54</v>
      </c>
      <c r="F353" s="78">
        <f>MIN(C350,C351)</f>
        <v>0.3283674619727448</v>
      </c>
      <c r="G353" s="79" t="s">
        <v>0</v>
      </c>
    </row>
    <row r="354" spans="1:9" ht="15" customHeight="1" x14ac:dyDescent="0.3">
      <c r="B354" s="28"/>
      <c r="C354" s="16"/>
      <c r="D354" s="36"/>
    </row>
    <row r="355" spans="1:9" ht="15" customHeight="1" x14ac:dyDescent="0.3">
      <c r="B355" s="28" t="s">
        <v>160</v>
      </c>
      <c r="C355" s="16"/>
      <c r="D355" s="36"/>
    </row>
    <row r="356" spans="1:9" ht="15" customHeight="1" x14ac:dyDescent="0.3">
      <c r="A356" s="40"/>
      <c r="C356" s="42"/>
    </row>
    <row r="357" spans="1:9" ht="15" customHeight="1" x14ac:dyDescent="0.3">
      <c r="A357" s="40"/>
      <c r="B357" s="40" t="s">
        <v>112</v>
      </c>
      <c r="C357" s="126">
        <v>3</v>
      </c>
      <c r="D357" s="16" t="str">
        <f>LOOKUP(C357,$P$52:$P$60,$Q$52:$Q$60)</f>
        <v>3/8"</v>
      </c>
      <c r="E357" s="12"/>
      <c r="G357" s="40"/>
      <c r="H357" s="12"/>
    </row>
    <row r="358" spans="1:9" ht="15" customHeight="1" x14ac:dyDescent="0.3">
      <c r="A358" s="40"/>
      <c r="B358" s="8"/>
      <c r="C358" s="73"/>
      <c r="D358" s="18"/>
      <c r="E358" s="18"/>
      <c r="G358" s="40"/>
      <c r="H358" s="12"/>
    </row>
    <row r="359" spans="1:9" ht="15" customHeight="1" x14ac:dyDescent="0.3">
      <c r="B359" s="28"/>
      <c r="E359" s="18"/>
      <c r="G359" s="40"/>
      <c r="H359" s="12"/>
    </row>
    <row r="360" spans="1:9" ht="15" customHeight="1" x14ac:dyDescent="0.3">
      <c r="B360" s="8" t="s">
        <v>156</v>
      </c>
      <c r="C360" s="35">
        <f>IF($C$357&lt;=5,$C$278,$C$280)</f>
        <v>2E-3</v>
      </c>
      <c r="E360" s="74"/>
      <c r="G360" s="40"/>
      <c r="H360" s="12"/>
    </row>
    <row r="361" spans="1:9" ht="15" customHeight="1" x14ac:dyDescent="0.3">
      <c r="B361" s="8"/>
      <c r="C361" s="16"/>
      <c r="E361" s="74"/>
      <c r="G361" s="40"/>
      <c r="H361" s="12"/>
    </row>
    <row r="362" spans="1:9" ht="15" customHeight="1" x14ac:dyDescent="0.3">
      <c r="B362" s="81" t="s">
        <v>69</v>
      </c>
      <c r="C362" s="76">
        <f>C360*$C$44*C65</f>
        <v>9</v>
      </c>
      <c r="D362" s="14" t="s">
        <v>63</v>
      </c>
      <c r="E362" s="18"/>
      <c r="G362" s="40"/>
      <c r="H362" s="12"/>
    </row>
    <row r="363" spans="1:9" ht="15" customHeight="1" x14ac:dyDescent="0.3">
      <c r="B363" s="49"/>
      <c r="C363" s="36"/>
      <c r="E363" s="18"/>
      <c r="G363" s="40"/>
      <c r="H363" s="12"/>
    </row>
    <row r="364" spans="1:9" ht="15" customHeight="1" x14ac:dyDescent="0.3">
      <c r="B364" s="67" t="s">
        <v>155</v>
      </c>
      <c r="C364" s="68">
        <f>2/3*C362</f>
        <v>6</v>
      </c>
      <c r="D364" s="75" t="s">
        <v>51</v>
      </c>
      <c r="E364" s="18"/>
      <c r="G364" s="40"/>
      <c r="H364" s="12"/>
    </row>
    <row r="365" spans="1:9" ht="15" customHeight="1" x14ac:dyDescent="0.3">
      <c r="A365" s="40"/>
      <c r="B365" s="41"/>
      <c r="C365" s="42"/>
      <c r="E365" s="16" t="str">
        <f>LOOKUP(C366,$P$52:$P$60,$Q$52:$Q$60)</f>
        <v>1/2"</v>
      </c>
    </row>
    <row r="366" spans="1:9" ht="15" customHeight="1" x14ac:dyDescent="0.3">
      <c r="A366" s="40"/>
      <c r="B366" s="40" t="s">
        <v>112</v>
      </c>
      <c r="C366" s="43">
        <v>4</v>
      </c>
      <c r="D366" s="44" t="s">
        <v>113</v>
      </c>
      <c r="E366" s="12">
        <f>LOOKUP(C366,$P$52:$P$60,$R$52:$R$60)</f>
        <v>1.27</v>
      </c>
      <c r="F366" s="4" t="s">
        <v>9</v>
      </c>
      <c r="G366" s="40" t="s">
        <v>114</v>
      </c>
      <c r="H366" s="12">
        <f>LOOKUP(C366,$P$52:$P$60,$S$52:$S$60)</f>
        <v>1.2667686977437445</v>
      </c>
      <c r="I366" s="4" t="s">
        <v>51</v>
      </c>
    </row>
    <row r="367" spans="1:9" ht="15" customHeight="1" x14ac:dyDescent="0.3">
      <c r="A367" s="18"/>
      <c r="B367" s="67"/>
      <c r="C367" s="68"/>
      <c r="D367" s="3"/>
      <c r="E367" s="18"/>
      <c r="F367" s="8"/>
      <c r="G367" s="9"/>
      <c r="H367" s="18"/>
      <c r="I367" s="18"/>
    </row>
    <row r="368" spans="1:9" ht="15" customHeight="1" x14ac:dyDescent="0.3">
      <c r="A368" s="18"/>
      <c r="B368" s="67"/>
      <c r="C368" s="68"/>
      <c r="D368" s="3"/>
      <c r="E368" s="18"/>
      <c r="F368" s="8"/>
      <c r="G368" s="9"/>
      <c r="H368" s="18"/>
      <c r="I368" s="18"/>
    </row>
    <row r="369" spans="1:9" ht="15" customHeight="1" x14ac:dyDescent="0.3">
      <c r="A369" s="49"/>
      <c r="B369" s="69" t="s">
        <v>138</v>
      </c>
      <c r="C369" s="70">
        <f>C364/H366</f>
        <v>4.7364605793359633</v>
      </c>
      <c r="D369" s="49"/>
      <c r="E369" s="12"/>
      <c r="G369" s="49"/>
      <c r="H369" s="12"/>
    </row>
    <row r="370" spans="1:9" ht="15" customHeight="1" x14ac:dyDescent="0.3">
      <c r="A370" s="49"/>
      <c r="B370" s="12"/>
      <c r="D370" s="49"/>
      <c r="E370" s="12"/>
      <c r="G370" s="49"/>
      <c r="H370" s="12"/>
    </row>
    <row r="371" spans="1:9" ht="15" customHeight="1" x14ac:dyDescent="0.3">
      <c r="A371" s="49"/>
      <c r="B371" s="12"/>
      <c r="D371" s="49"/>
      <c r="E371" s="12"/>
      <c r="G371" s="49"/>
      <c r="H371" s="12"/>
    </row>
    <row r="372" spans="1:9" ht="15" customHeight="1" x14ac:dyDescent="0.3">
      <c r="A372" s="49"/>
      <c r="B372" s="69" t="s">
        <v>139</v>
      </c>
      <c r="C372" s="17">
        <f>$C$44/C369/100</f>
        <v>0.21112811629062411</v>
      </c>
      <c r="D372" s="7" t="s">
        <v>0</v>
      </c>
      <c r="E372" s="12"/>
      <c r="G372" s="49"/>
      <c r="H372" s="12"/>
    </row>
    <row r="373" spans="1:9" ht="15" customHeight="1" x14ac:dyDescent="0.3">
      <c r="A373" s="49"/>
      <c r="B373" s="8" t="s">
        <v>158</v>
      </c>
      <c r="C373" s="17">
        <v>0.45</v>
      </c>
      <c r="D373" s="4" t="s">
        <v>0</v>
      </c>
      <c r="E373" s="12"/>
      <c r="G373" s="49"/>
      <c r="H373" s="12"/>
    </row>
    <row r="374" spans="1:9" ht="15" customHeight="1" x14ac:dyDescent="0.3">
      <c r="A374" s="49"/>
      <c r="B374" s="69"/>
      <c r="C374" s="12"/>
      <c r="D374" s="7"/>
      <c r="E374" s="12"/>
      <c r="G374" s="49"/>
      <c r="H374" s="12"/>
    </row>
    <row r="375" spans="1:9" ht="15" customHeight="1" x14ac:dyDescent="0.3">
      <c r="A375" s="49"/>
      <c r="B375" s="12" t="s">
        <v>140</v>
      </c>
      <c r="C375" s="89" t="s">
        <v>141</v>
      </c>
      <c r="D375" s="77" t="str">
        <f>E365</f>
        <v>1/2"</v>
      </c>
      <c r="E375" s="77" t="s">
        <v>54</v>
      </c>
      <c r="F375" s="78">
        <f>MIN(C372,C373)</f>
        <v>0.21112811629062411</v>
      </c>
      <c r="G375" s="79" t="s">
        <v>0</v>
      </c>
    </row>
    <row r="376" spans="1:9" ht="15" customHeight="1" x14ac:dyDescent="0.3"/>
    <row r="377" spans="1:9" ht="15" customHeight="1" x14ac:dyDescent="0.3">
      <c r="B377" s="67" t="s">
        <v>157</v>
      </c>
      <c r="C377" s="47">
        <f>ROUND(1/3*C362,2)</f>
        <v>3</v>
      </c>
      <c r="D377" s="14" t="s">
        <v>51</v>
      </c>
    </row>
    <row r="378" spans="1:9" ht="15" customHeight="1" x14ac:dyDescent="0.3">
      <c r="A378" s="40"/>
      <c r="B378" s="41"/>
      <c r="C378" s="42"/>
      <c r="E378" s="16" t="str">
        <f>LOOKUP(C379,$P$52:$P$60,$Q$52:$Q$60)</f>
        <v>3/8"</v>
      </c>
    </row>
    <row r="379" spans="1:9" ht="15" customHeight="1" x14ac:dyDescent="0.3">
      <c r="A379" s="40"/>
      <c r="B379" s="40" t="s">
        <v>112</v>
      </c>
      <c r="C379" s="43">
        <v>3</v>
      </c>
      <c r="D379" s="44" t="s">
        <v>113</v>
      </c>
      <c r="E379" s="12">
        <f>LOOKUP(C379,$P$52:$P$60,$R$52:$R$60)</f>
        <v>0.95250000000000001</v>
      </c>
      <c r="F379" s="4" t="s">
        <v>9</v>
      </c>
      <c r="G379" s="40" t="s">
        <v>114</v>
      </c>
      <c r="H379" s="12">
        <f>LOOKUP(C379,$P$52:$P$60,$S$52:$S$60)</f>
        <v>0.71255739248085614</v>
      </c>
      <c r="I379" s="4" t="s">
        <v>51</v>
      </c>
    </row>
    <row r="380" spans="1:9" ht="15" customHeight="1" x14ac:dyDescent="0.3"/>
    <row r="381" spans="1:9" ht="15" customHeight="1" x14ac:dyDescent="0.3">
      <c r="A381" s="18"/>
      <c r="B381" s="67"/>
      <c r="C381" s="68"/>
      <c r="D381" s="3"/>
      <c r="E381" s="18"/>
      <c r="F381" s="8"/>
      <c r="G381" s="9"/>
      <c r="H381" s="18"/>
      <c r="I381" s="18"/>
    </row>
    <row r="382" spans="1:9" ht="15" customHeight="1" x14ac:dyDescent="0.3">
      <c r="A382" s="49"/>
      <c r="B382" s="69" t="s">
        <v>138</v>
      </c>
      <c r="C382" s="70">
        <f>C377/H379</f>
        <v>4.2101871816319685</v>
      </c>
      <c r="D382" s="49"/>
      <c r="E382" s="12"/>
      <c r="G382" s="49"/>
      <c r="H382" s="12"/>
    </row>
    <row r="383" spans="1:9" ht="15" customHeight="1" x14ac:dyDescent="0.3">
      <c r="A383" s="49"/>
      <c r="B383" s="12"/>
      <c r="D383" s="49"/>
      <c r="E383" s="12"/>
      <c r="G383" s="49"/>
      <c r="H383" s="12"/>
    </row>
    <row r="384" spans="1:9" ht="15" customHeight="1" x14ac:dyDescent="0.3">
      <c r="A384" s="49"/>
      <c r="B384" s="12"/>
      <c r="D384" s="49"/>
      <c r="E384" s="12"/>
      <c r="G384" s="49"/>
      <c r="H384" s="12"/>
    </row>
    <row r="385" spans="1:9" ht="15" customHeight="1" x14ac:dyDescent="0.3">
      <c r="A385" s="49"/>
      <c r="B385" s="69" t="s">
        <v>139</v>
      </c>
      <c r="C385" s="17">
        <f>$C$44/C382/100</f>
        <v>0.23751913082695203</v>
      </c>
      <c r="D385" s="7" t="s">
        <v>0</v>
      </c>
      <c r="E385" s="12"/>
      <c r="G385" s="49"/>
      <c r="H385" s="12"/>
    </row>
    <row r="386" spans="1:9" ht="15" customHeight="1" x14ac:dyDescent="0.3">
      <c r="A386" s="49"/>
      <c r="B386" s="8" t="s">
        <v>158</v>
      </c>
      <c r="C386" s="17">
        <v>0.45</v>
      </c>
      <c r="D386" s="4" t="s">
        <v>0</v>
      </c>
      <c r="E386" s="12"/>
      <c r="G386" s="49"/>
      <c r="H386" s="12"/>
    </row>
    <row r="387" spans="1:9" ht="15" customHeight="1" x14ac:dyDescent="0.3">
      <c r="A387" s="49"/>
      <c r="B387" s="69"/>
      <c r="C387" s="12"/>
      <c r="D387" s="7"/>
      <c r="E387" s="12"/>
      <c r="G387" s="49"/>
      <c r="H387" s="12"/>
    </row>
    <row r="388" spans="1:9" ht="15" customHeight="1" x14ac:dyDescent="0.3">
      <c r="A388" s="49"/>
      <c r="B388" s="12" t="s">
        <v>140</v>
      </c>
      <c r="C388" s="89" t="s">
        <v>141</v>
      </c>
      <c r="D388" s="77" t="str">
        <f>E378</f>
        <v>3/8"</v>
      </c>
      <c r="E388" s="77" t="s">
        <v>54</v>
      </c>
      <c r="F388" s="78">
        <f>MIN(C385,C386)</f>
        <v>0.23751913082695203</v>
      </c>
      <c r="G388" s="79" t="s">
        <v>0</v>
      </c>
    </row>
    <row r="389" spans="1:9" ht="15" customHeight="1" x14ac:dyDescent="0.3">
      <c r="B389" s="28"/>
      <c r="C389" s="16"/>
      <c r="D389" s="36"/>
    </row>
    <row r="390" spans="1:9" ht="15" customHeight="1" x14ac:dyDescent="0.3">
      <c r="B390" s="28" t="s">
        <v>159</v>
      </c>
      <c r="C390" s="16"/>
      <c r="D390" s="36"/>
    </row>
    <row r="391" spans="1:9" ht="15" customHeight="1" x14ac:dyDescent="0.3">
      <c r="A391" s="40"/>
      <c r="B391" s="41"/>
      <c r="C391" s="42"/>
      <c r="E391" s="16" t="str">
        <f>LOOKUP(C392,$P$52:$P$60,$Q$52:$Q$60)</f>
        <v>1/2"</v>
      </c>
    </row>
    <row r="392" spans="1:9" ht="15" customHeight="1" x14ac:dyDescent="0.3">
      <c r="A392" s="40"/>
      <c r="B392" s="40" t="s">
        <v>112</v>
      </c>
      <c r="C392" s="43">
        <v>4</v>
      </c>
      <c r="D392" s="44" t="s">
        <v>113</v>
      </c>
      <c r="E392" s="12">
        <f>LOOKUP(C392,$P$52:$P$60,$R$52:$R$60)</f>
        <v>1.27</v>
      </c>
      <c r="F392" s="4" t="s">
        <v>9</v>
      </c>
      <c r="G392" s="40" t="s">
        <v>114</v>
      </c>
      <c r="H392" s="12">
        <f>LOOKUP(C392,$P$52:$P$60,$S$52:$S$60)</f>
        <v>1.2667686977437445</v>
      </c>
      <c r="I392" s="4" t="s">
        <v>51</v>
      </c>
    </row>
    <row r="393" spans="1:9" ht="15" customHeight="1" x14ac:dyDescent="0.3">
      <c r="B393" s="82"/>
      <c r="C393" s="83"/>
      <c r="D393" s="83"/>
      <c r="E393" s="84"/>
      <c r="F393" s="55"/>
      <c r="G393" s="82"/>
      <c r="H393" s="55"/>
      <c r="I393" s="56"/>
    </row>
    <row r="394" spans="1:9" ht="15" customHeight="1" x14ac:dyDescent="0.3">
      <c r="B394" s="40"/>
      <c r="C394" s="67"/>
      <c r="D394" s="67"/>
      <c r="E394" s="18"/>
      <c r="F394" s="18"/>
      <c r="G394" s="82"/>
      <c r="H394" s="55"/>
      <c r="I394" s="56"/>
    </row>
    <row r="395" spans="1:9" ht="15" customHeight="1" x14ac:dyDescent="0.3">
      <c r="B395" s="8" t="s">
        <v>53</v>
      </c>
      <c r="C395" s="21">
        <f>36*E392</f>
        <v>45.72</v>
      </c>
      <c r="D395" s="18" t="s">
        <v>9</v>
      </c>
      <c r="E395" s="86"/>
      <c r="F395" s="18"/>
      <c r="G395" s="54"/>
      <c r="H395" s="85"/>
      <c r="I395" s="54"/>
    </row>
    <row r="396" spans="1:9" ht="15" customHeight="1" x14ac:dyDescent="0.3">
      <c r="A396" s="8"/>
      <c r="B396" s="8" t="s">
        <v>158</v>
      </c>
      <c r="C396" s="17">
        <v>0.45</v>
      </c>
      <c r="D396" s="4" t="s">
        <v>0</v>
      </c>
      <c r="E396" s="18"/>
      <c r="F396" s="18"/>
      <c r="G396" s="54"/>
      <c r="H396" s="85"/>
      <c r="I396" s="54"/>
    </row>
    <row r="397" spans="1:9" ht="15" customHeight="1" x14ac:dyDescent="0.3">
      <c r="A397" s="8"/>
      <c r="B397" s="8"/>
      <c r="C397" s="17"/>
      <c r="E397" s="18"/>
      <c r="F397" s="18"/>
      <c r="G397" s="54"/>
      <c r="H397" s="85"/>
      <c r="I397" s="54"/>
    </row>
    <row r="398" spans="1:9" ht="15" customHeight="1" x14ac:dyDescent="0.3">
      <c r="A398" s="49"/>
      <c r="B398" s="12" t="s">
        <v>140</v>
      </c>
      <c r="C398" s="89" t="s">
        <v>141</v>
      </c>
      <c r="D398" s="77" t="str">
        <f>E391</f>
        <v>1/2"</v>
      </c>
      <c r="E398" s="77" t="s">
        <v>54</v>
      </c>
      <c r="F398" s="78">
        <f>MIN(ROUND(C395,0)/100,C396)</f>
        <v>0.45</v>
      </c>
      <c r="G398" s="79" t="s">
        <v>0</v>
      </c>
    </row>
    <row r="399" spans="1:9" ht="15" customHeight="1" x14ac:dyDescent="0.3">
      <c r="A399" s="8"/>
      <c r="B399" s="21"/>
      <c r="C399" s="18"/>
      <c r="D399" s="86"/>
      <c r="E399" s="18"/>
      <c r="F399" s="18"/>
      <c r="G399" s="18"/>
      <c r="H399" s="74"/>
      <c r="I399" s="18"/>
    </row>
    <row r="400" spans="1:9" ht="15" customHeight="1" x14ac:dyDescent="0.3"/>
    <row r="401" spans="2:13" ht="15" customHeight="1" x14ac:dyDescent="0.3">
      <c r="B401" s="6" t="s">
        <v>70</v>
      </c>
    </row>
    <row r="402" spans="2:13" ht="15" customHeight="1" x14ac:dyDescent="0.3"/>
    <row r="403" spans="2:13" ht="15" customHeight="1" x14ac:dyDescent="0.3"/>
    <row r="404" spans="2:13" ht="15" customHeight="1" x14ac:dyDescent="0.3">
      <c r="B404" s="49" t="s">
        <v>71</v>
      </c>
      <c r="C404" s="16">
        <f>C7*C6*C44/100</f>
        <v>9.5</v>
      </c>
      <c r="D404" s="4" t="s">
        <v>73</v>
      </c>
    </row>
    <row r="405" spans="2:13" ht="15" customHeight="1" x14ac:dyDescent="0.3">
      <c r="B405" s="49"/>
      <c r="C405" s="16"/>
      <c r="L405" s="128" t="s">
        <v>186</v>
      </c>
    </row>
    <row r="406" spans="2:13" ht="15" customHeight="1" x14ac:dyDescent="0.3">
      <c r="B406" s="49"/>
      <c r="C406" s="16"/>
      <c r="L406" s="128"/>
    </row>
    <row r="407" spans="2:13" ht="15" customHeight="1" x14ac:dyDescent="0.3">
      <c r="B407" s="49" t="s">
        <v>72</v>
      </c>
      <c r="C407" s="16">
        <f>C96/100*C44/100*C8</f>
        <v>1.2</v>
      </c>
      <c r="D407" s="4" t="s">
        <v>73</v>
      </c>
    </row>
    <row r="408" spans="2:13" ht="15" customHeight="1" x14ac:dyDescent="0.3"/>
    <row r="409" spans="2:13" ht="15" customHeight="1" x14ac:dyDescent="0.3">
      <c r="B409" s="28" t="s">
        <v>191</v>
      </c>
    </row>
    <row r="410" spans="2:13" ht="15" customHeight="1" x14ac:dyDescent="0.3">
      <c r="K410" s="98" t="s">
        <v>187</v>
      </c>
    </row>
    <row r="411" spans="2:13" ht="15" customHeight="1" x14ac:dyDescent="0.3"/>
    <row r="412" spans="2:13" ht="15" customHeight="1" x14ac:dyDescent="0.3">
      <c r="B412" s="49" t="s">
        <v>74</v>
      </c>
      <c r="C412" s="17">
        <f>1.7*C183-0.9*C407</f>
        <v>28.597128609915622</v>
      </c>
      <c r="D412" s="4" t="s">
        <v>73</v>
      </c>
    </row>
    <row r="413" spans="2:13" ht="15" customHeight="1" x14ac:dyDescent="0.3"/>
    <row r="414" spans="2:13" ht="15" customHeight="1" x14ac:dyDescent="0.3">
      <c r="B414" s="7" t="s">
        <v>75</v>
      </c>
    </row>
    <row r="415" spans="2:13" ht="15" customHeight="1" x14ac:dyDescent="0.3">
      <c r="M415" s="16" t="str">
        <f>CONCATENATE(ROUND(C187,2),"ton/m2")</f>
        <v>0.15ton/m2</v>
      </c>
    </row>
    <row r="416" spans="2:13" ht="15" customHeight="1" x14ac:dyDescent="0.3">
      <c r="I416" s="16" t="str">
        <f>CONCATENATE(ROUND(C183,2),"ton/m2")</f>
        <v>17.46ton/m2</v>
      </c>
      <c r="K416" s="16" t="s">
        <v>188</v>
      </c>
      <c r="L416" s="7" t="s">
        <v>189</v>
      </c>
    </row>
    <row r="417" spans="1:18" ht="15" customHeight="1" x14ac:dyDescent="0.3">
      <c r="B417" s="49" t="s">
        <v>25</v>
      </c>
      <c r="C417" s="17">
        <f>C412*C127*C127/2</f>
        <v>3.5746410762394527</v>
      </c>
      <c r="D417" s="4" t="s">
        <v>11</v>
      </c>
    </row>
    <row r="418" spans="1:18" ht="15" customHeight="1" x14ac:dyDescent="0.3">
      <c r="A418" s="40"/>
      <c r="B418" s="41"/>
      <c r="C418" s="42"/>
      <c r="E418" s="16" t="str">
        <f>LOOKUP(C419,$P$52:$P$60,$Q$52:$Q$60)</f>
        <v>5/8"</v>
      </c>
    </row>
    <row r="419" spans="1:18" ht="15" customHeight="1" x14ac:dyDescent="0.3">
      <c r="A419" s="40"/>
      <c r="B419" s="40" t="s">
        <v>112</v>
      </c>
      <c r="C419" s="43">
        <v>5</v>
      </c>
      <c r="D419" s="44" t="s">
        <v>113</v>
      </c>
      <c r="E419" s="12">
        <f>LOOKUP(C419,$P$52:$P$60,$R$52:$R$60)</f>
        <v>1.5874999999999999</v>
      </c>
      <c r="F419" s="4" t="s">
        <v>9</v>
      </c>
      <c r="G419" s="40" t="s">
        <v>114</v>
      </c>
      <c r="H419" s="12">
        <f>LOOKUP(C419,$P$52:$P$60,$S$52:$S$60)</f>
        <v>1.9793260902246004</v>
      </c>
      <c r="I419" s="4" t="s">
        <v>51</v>
      </c>
      <c r="L419" s="16"/>
    </row>
    <row r="420" spans="1:18" ht="15" customHeight="1" x14ac:dyDescent="0.3">
      <c r="B420" s="8" t="s">
        <v>115</v>
      </c>
      <c r="C420" s="45">
        <v>7.5</v>
      </c>
      <c r="D420" s="18" t="s">
        <v>116</v>
      </c>
      <c r="E420" s="18"/>
      <c r="P420" s="4" t="s">
        <v>192</v>
      </c>
    </row>
    <row r="421" spans="1:18" ht="15" customHeight="1" x14ac:dyDescent="0.3">
      <c r="B421" s="8" t="s">
        <v>17</v>
      </c>
      <c r="C421" s="13">
        <v>0.9</v>
      </c>
      <c r="D421" s="4" t="s">
        <v>216</v>
      </c>
      <c r="E421" s="5"/>
      <c r="P421" s="40" t="s">
        <v>50</v>
      </c>
      <c r="Q421" s="57">
        <f>C429</f>
        <v>2.5193992171207746</v>
      </c>
      <c r="R421" s="4" t="s">
        <v>51</v>
      </c>
    </row>
    <row r="422" spans="1:18" ht="15" customHeight="1" x14ac:dyDescent="0.3">
      <c r="B422" s="8"/>
      <c r="C422" s="87"/>
      <c r="E422" s="5"/>
      <c r="P422" s="64" t="s">
        <v>52</v>
      </c>
      <c r="Q422" s="65">
        <f>C432</f>
        <v>0.71135977895174807</v>
      </c>
      <c r="R422" s="66" t="s">
        <v>9</v>
      </c>
    </row>
    <row r="423" spans="1:18" ht="15" customHeight="1" x14ac:dyDescent="0.3">
      <c r="B423" s="49" t="s">
        <v>27</v>
      </c>
      <c r="C423" s="17">
        <f>C96-(C420+E419/2)</f>
        <v>41.706249999999997</v>
      </c>
      <c r="D423" s="4" t="s">
        <v>49</v>
      </c>
      <c r="P423" s="40" t="s">
        <v>50</v>
      </c>
      <c r="Q423" s="57">
        <f>C417*100000/(C421*C47*(C423-Q422/2))</f>
        <v>2.2869630088865613</v>
      </c>
      <c r="R423" s="4" t="s">
        <v>51</v>
      </c>
    </row>
    <row r="424" spans="1:18" ht="15" customHeight="1" x14ac:dyDescent="0.3">
      <c r="B424" s="49"/>
      <c r="C424" s="17"/>
      <c r="P424" s="64" t="s">
        <v>52</v>
      </c>
      <c r="Q424" s="57">
        <f>Q423*C47/(0.85*C46*C44)</f>
        <v>0.64573073192091146</v>
      </c>
      <c r="R424" s="66" t="s">
        <v>9</v>
      </c>
    </row>
    <row r="425" spans="1:18" ht="15" customHeight="1" x14ac:dyDescent="0.3">
      <c r="B425" s="49"/>
      <c r="C425" s="17"/>
      <c r="P425" s="40" t="s">
        <v>50</v>
      </c>
      <c r="Q425" s="57">
        <f>C417*100000/(C421*C47*(C423-Q424/2))</f>
        <v>2.2851495854051898</v>
      </c>
      <c r="R425" s="4" t="s">
        <v>51</v>
      </c>
    </row>
    <row r="426" spans="1:18" ht="15" customHeight="1" x14ac:dyDescent="0.3">
      <c r="B426" s="49" t="s">
        <v>52</v>
      </c>
      <c r="C426" s="17">
        <f>C423/5</f>
        <v>8.3412499999999987</v>
      </c>
      <c r="D426" s="4" t="s">
        <v>9</v>
      </c>
      <c r="P426" s="64" t="s">
        <v>52</v>
      </c>
      <c r="Q426" s="57">
        <f>Q425*C47/(0.85*C46*C44)</f>
        <v>0.64521870646734769</v>
      </c>
      <c r="R426" s="66" t="s">
        <v>9</v>
      </c>
    </row>
    <row r="427" spans="1:18" ht="21" customHeight="1" x14ac:dyDescent="0.3">
      <c r="B427" s="49"/>
      <c r="C427" s="17"/>
      <c r="P427" s="40" t="s">
        <v>50</v>
      </c>
      <c r="Q427" s="57">
        <f>C417*100000/(C421*C47*(C423-Q426/2))</f>
        <v>2.2851354487229814</v>
      </c>
      <c r="R427" s="4" t="s">
        <v>51</v>
      </c>
    </row>
    <row r="428" spans="1:18" ht="15" customHeight="1" x14ac:dyDescent="0.3">
      <c r="B428" s="49"/>
      <c r="C428" s="17"/>
      <c r="I428" s="49"/>
      <c r="J428" s="17"/>
      <c r="P428" s="64" t="s">
        <v>52</v>
      </c>
      <c r="Q428" s="57">
        <f>Q427*C47/(0.85*C46*C44)</f>
        <v>0.64521471493354765</v>
      </c>
      <c r="R428" s="66" t="s">
        <v>9</v>
      </c>
    </row>
    <row r="429" spans="1:18" ht="15" customHeight="1" x14ac:dyDescent="0.3">
      <c r="B429" s="49" t="s">
        <v>50</v>
      </c>
      <c r="C429" s="17">
        <f>C417*100000/(C421*C47*(C423-C426/2))</f>
        <v>2.5193992171207746</v>
      </c>
      <c r="D429" s="4" t="s">
        <v>51</v>
      </c>
      <c r="I429" s="49"/>
      <c r="J429" s="17"/>
      <c r="P429" s="40" t="s">
        <v>50</v>
      </c>
      <c r="Q429" s="57">
        <f>C417*100000/(C421*C47*(C423-Q428/2))</f>
        <v>2.285135338520075</v>
      </c>
      <c r="R429" s="4" t="s">
        <v>51</v>
      </c>
    </row>
    <row r="430" spans="1:18" ht="18" customHeight="1" x14ac:dyDescent="0.3">
      <c r="B430" s="49"/>
      <c r="C430" s="17"/>
      <c r="I430" s="49"/>
      <c r="J430" s="17"/>
      <c r="P430" s="64" t="s">
        <v>52</v>
      </c>
      <c r="Q430" s="57">
        <f>Q429*C47/(0.85*C46*C44)</f>
        <v>0.64521468381743297</v>
      </c>
      <c r="R430" s="66" t="s">
        <v>9</v>
      </c>
    </row>
    <row r="431" spans="1:18" ht="15" customHeight="1" x14ac:dyDescent="0.3">
      <c r="B431" s="49"/>
      <c r="C431" s="17"/>
      <c r="I431" s="49"/>
      <c r="J431" s="17"/>
      <c r="P431" s="40" t="s">
        <v>50</v>
      </c>
      <c r="Q431" s="57">
        <f>C417*100000/(C421*C47*(C423-Q430/2))</f>
        <v>2.2851353376609849</v>
      </c>
      <c r="R431" s="4" t="s">
        <v>51</v>
      </c>
    </row>
    <row r="432" spans="1:18" ht="15" customHeight="1" x14ac:dyDescent="0.3">
      <c r="B432" s="49" t="s">
        <v>52</v>
      </c>
      <c r="C432" s="17">
        <f>C429*C47/(0.85*C46*C44)</f>
        <v>0.71135977895174807</v>
      </c>
      <c r="D432" s="4" t="s">
        <v>9</v>
      </c>
      <c r="I432" s="49"/>
      <c r="J432" s="17"/>
    </row>
    <row r="433" spans="1:10" ht="15" customHeight="1" x14ac:dyDescent="0.3">
      <c r="B433" s="7" t="s">
        <v>163</v>
      </c>
      <c r="C433" s="17"/>
      <c r="I433" s="49"/>
      <c r="J433" s="17"/>
    </row>
    <row r="434" spans="1:10" ht="15" customHeight="1" x14ac:dyDescent="0.3">
      <c r="B434" s="49" t="s">
        <v>50</v>
      </c>
      <c r="C434" s="17">
        <f>Q431</f>
        <v>2.2851353376609849</v>
      </c>
      <c r="D434" s="4" t="s">
        <v>51</v>
      </c>
      <c r="I434" s="49"/>
      <c r="J434" s="17"/>
    </row>
    <row r="435" spans="1:10" ht="15" customHeight="1" x14ac:dyDescent="0.3">
      <c r="B435" s="49" t="s">
        <v>52</v>
      </c>
      <c r="C435" s="17">
        <f>Q430</f>
        <v>0.64521468381743297</v>
      </c>
      <c r="D435" s="4" t="s">
        <v>9</v>
      </c>
      <c r="E435" s="9" t="str">
        <f>IF(C435&lt;C432,"…..CONFORME", "…….VERIFICAR")</f>
        <v>…..CONFORME</v>
      </c>
      <c r="G435" s="19"/>
      <c r="I435" s="49"/>
      <c r="J435" s="17"/>
    </row>
    <row r="436" spans="1:10" ht="15" customHeight="1" x14ac:dyDescent="0.3">
      <c r="B436" s="49"/>
      <c r="C436" s="17"/>
      <c r="E436" s="9"/>
      <c r="G436" s="19"/>
      <c r="I436" s="49"/>
      <c r="J436" s="17"/>
    </row>
    <row r="437" spans="1:10" ht="15" customHeight="1" x14ac:dyDescent="0.3">
      <c r="B437" s="49"/>
      <c r="C437" s="17"/>
      <c r="E437" s="9"/>
      <c r="G437" s="19"/>
      <c r="I437" s="49"/>
      <c r="J437" s="17"/>
    </row>
    <row r="438" spans="1:10" ht="15" customHeight="1" x14ac:dyDescent="0.3">
      <c r="B438" s="49" t="s">
        <v>76</v>
      </c>
      <c r="C438" s="17">
        <f>0.0018*$C$44*C423</f>
        <v>7.5071249999999994</v>
      </c>
      <c r="D438" s="4" t="s">
        <v>51</v>
      </c>
    </row>
    <row r="439" spans="1:10" ht="15" customHeight="1" x14ac:dyDescent="0.3">
      <c r="B439" s="49"/>
      <c r="C439" s="17"/>
    </row>
    <row r="440" spans="1:10" ht="15" customHeight="1" x14ac:dyDescent="0.3">
      <c r="B440" s="67" t="s">
        <v>137</v>
      </c>
      <c r="C440" s="68">
        <f>MAX(C438,C434)</f>
        <v>7.5071249999999994</v>
      </c>
      <c r="D440" s="3" t="s">
        <v>51</v>
      </c>
    </row>
    <row r="441" spans="1:10" ht="15" customHeight="1" x14ac:dyDescent="0.3">
      <c r="B441" s="67"/>
      <c r="C441" s="68"/>
      <c r="D441" s="3"/>
    </row>
    <row r="442" spans="1:10" ht="15" customHeight="1" x14ac:dyDescent="0.3">
      <c r="A442" s="18"/>
      <c r="B442" s="67"/>
      <c r="C442" s="68"/>
      <c r="D442" s="3"/>
      <c r="E442" s="18"/>
      <c r="F442" s="8"/>
      <c r="G442" s="9"/>
      <c r="H442" s="18"/>
      <c r="I442" s="18"/>
    </row>
    <row r="443" spans="1:10" ht="15" customHeight="1" x14ac:dyDescent="0.3">
      <c r="A443" s="49"/>
      <c r="B443" s="69" t="s">
        <v>138</v>
      </c>
      <c r="C443" s="70">
        <f>C440/H419</f>
        <v>3.7927681735090664</v>
      </c>
      <c r="D443" s="49"/>
      <c r="E443" s="12"/>
      <c r="G443" s="49"/>
      <c r="H443" s="12"/>
    </row>
    <row r="444" spans="1:10" ht="15" customHeight="1" x14ac:dyDescent="0.3">
      <c r="A444" s="49"/>
      <c r="B444" s="12"/>
      <c r="D444" s="49"/>
      <c r="E444" s="12"/>
      <c r="G444" s="49"/>
      <c r="H444" s="12"/>
    </row>
    <row r="445" spans="1:10" ht="15" customHeight="1" x14ac:dyDescent="0.3">
      <c r="A445" s="49"/>
      <c r="B445" s="12"/>
      <c r="D445" s="49"/>
      <c r="E445" s="12"/>
      <c r="G445" s="49"/>
      <c r="H445" s="12"/>
    </row>
    <row r="446" spans="1:10" ht="15" customHeight="1" x14ac:dyDescent="0.3">
      <c r="A446" s="49"/>
      <c r="B446" s="69" t="s">
        <v>139</v>
      </c>
      <c r="C446" s="17">
        <f>$C$44/C443/100</f>
        <v>0.26365966867803597</v>
      </c>
      <c r="D446" s="7" t="s">
        <v>0</v>
      </c>
      <c r="E446" s="12"/>
      <c r="G446" s="49"/>
      <c r="H446" s="12"/>
    </row>
    <row r="447" spans="1:10" ht="15" customHeight="1" x14ac:dyDescent="0.3">
      <c r="A447" s="49"/>
      <c r="B447" s="69"/>
      <c r="C447" s="12"/>
      <c r="D447" s="7"/>
      <c r="E447" s="12"/>
      <c r="G447" s="49"/>
      <c r="H447" s="12"/>
    </row>
    <row r="448" spans="1:10" ht="15" customHeight="1" x14ac:dyDescent="0.3">
      <c r="A448" s="49"/>
      <c r="B448" s="12" t="s">
        <v>140</v>
      </c>
      <c r="C448" s="89" t="s">
        <v>141</v>
      </c>
      <c r="D448" s="77" t="str">
        <f>E418</f>
        <v>5/8"</v>
      </c>
      <c r="E448" s="77" t="s">
        <v>54</v>
      </c>
      <c r="F448" s="78">
        <f>MIN(C446,0.45)</f>
        <v>0.26365966867803597</v>
      </c>
      <c r="G448" s="79" t="s">
        <v>0</v>
      </c>
    </row>
    <row r="449" spans="2:12" ht="15" customHeight="1" x14ac:dyDescent="0.3">
      <c r="B449" s="16"/>
    </row>
    <row r="450" spans="2:12" ht="15" customHeight="1" x14ac:dyDescent="0.3">
      <c r="B450" s="28" t="s">
        <v>190</v>
      </c>
      <c r="E450" s="5"/>
      <c r="F450" s="5"/>
    </row>
    <row r="451" spans="2:12" ht="15" customHeight="1" x14ac:dyDescent="0.3">
      <c r="B451" s="28"/>
      <c r="E451" s="5"/>
      <c r="F451" s="5"/>
      <c r="I451" s="49"/>
      <c r="J451" s="17"/>
    </row>
    <row r="452" spans="2:12" ht="15" customHeight="1" x14ac:dyDescent="0.3">
      <c r="B452" s="28"/>
      <c r="E452" s="5"/>
      <c r="F452" s="5"/>
      <c r="I452" s="49"/>
      <c r="J452" s="17"/>
    </row>
    <row r="453" spans="2:12" ht="15" customHeight="1" x14ac:dyDescent="0.3">
      <c r="B453" s="8" t="s">
        <v>166</v>
      </c>
      <c r="C453" s="17">
        <f>C114-C65/100</f>
        <v>1.7500000000000002</v>
      </c>
      <c r="D453" s="4" t="s">
        <v>0</v>
      </c>
      <c r="E453" s="5"/>
      <c r="F453" s="5"/>
      <c r="I453" s="49"/>
      <c r="J453" s="17"/>
    </row>
    <row r="454" spans="2:12" ht="15" customHeight="1" x14ac:dyDescent="0.3">
      <c r="B454" s="8"/>
      <c r="C454" s="17"/>
      <c r="E454" s="5"/>
      <c r="F454" s="5"/>
      <c r="I454" s="49"/>
      <c r="J454" s="17"/>
    </row>
    <row r="455" spans="2:12" ht="15" customHeight="1" x14ac:dyDescent="0.3">
      <c r="B455" s="49"/>
      <c r="C455" s="17"/>
      <c r="D455" s="5"/>
      <c r="E455" s="5"/>
      <c r="F455" s="5"/>
      <c r="I455" s="49"/>
      <c r="J455" s="17"/>
    </row>
    <row r="456" spans="2:12" ht="15" customHeight="1" x14ac:dyDescent="0.3">
      <c r="B456" s="49" t="s">
        <v>165</v>
      </c>
      <c r="C456" s="17">
        <f>(C183-C187)*C453/(C114+C127)</f>
        <v>11.219810809626614</v>
      </c>
      <c r="D456" s="4" t="s">
        <v>73</v>
      </c>
      <c r="I456" s="49"/>
      <c r="J456" s="17"/>
    </row>
    <row r="457" spans="2:12" ht="15" customHeight="1" x14ac:dyDescent="0.3">
      <c r="B457" s="49"/>
      <c r="C457" s="16"/>
      <c r="I457" s="49"/>
      <c r="J457" s="17"/>
    </row>
    <row r="458" spans="2:12" ht="15" customHeight="1" x14ac:dyDescent="0.3">
      <c r="B458" s="49"/>
      <c r="C458" s="16"/>
      <c r="I458" s="49"/>
      <c r="J458" s="17"/>
    </row>
    <row r="459" spans="2:12" ht="15" customHeight="1" x14ac:dyDescent="0.3">
      <c r="B459" s="49" t="s">
        <v>77</v>
      </c>
      <c r="C459" s="17">
        <f>C187+C456</f>
        <v>11.366380036909364</v>
      </c>
      <c r="D459" s="4" t="s">
        <v>73</v>
      </c>
      <c r="I459" s="49"/>
      <c r="J459" s="17"/>
    </row>
    <row r="460" spans="2:12" ht="15" customHeight="1" x14ac:dyDescent="0.3">
      <c r="B460" s="40"/>
      <c r="I460" s="49"/>
      <c r="J460" s="17"/>
    </row>
    <row r="461" spans="2:12" ht="15" customHeight="1" x14ac:dyDescent="0.3">
      <c r="B461" s="40"/>
      <c r="I461" s="49"/>
      <c r="J461" s="17"/>
    </row>
    <row r="462" spans="2:12" ht="15" customHeight="1" x14ac:dyDescent="0.3">
      <c r="B462" s="49" t="s">
        <v>78</v>
      </c>
      <c r="C462" s="20">
        <f>(C404+C407)*1.4</f>
        <v>14.979999999999999</v>
      </c>
      <c r="D462" s="4" t="s">
        <v>73</v>
      </c>
      <c r="I462" s="49"/>
      <c r="J462" s="17"/>
      <c r="L462" s="9"/>
    </row>
    <row r="463" spans="2:12" ht="15" customHeight="1" x14ac:dyDescent="0.3">
      <c r="B463" s="40"/>
    </row>
    <row r="464" spans="2:12" ht="15" customHeight="1" x14ac:dyDescent="0.3">
      <c r="B464" s="40"/>
    </row>
    <row r="465" spans="1:18" ht="15" customHeight="1" x14ac:dyDescent="0.3">
      <c r="B465" s="40"/>
    </row>
    <row r="466" spans="1:18" ht="15" customHeight="1" x14ac:dyDescent="0.3">
      <c r="B466" s="40" t="s">
        <v>25</v>
      </c>
      <c r="C466" s="17">
        <f>(C462-C187*1.4)*C453*C453/2-1.4*C456*C453*C453/6</f>
        <v>14.60642741130026</v>
      </c>
      <c r="D466" s="4" t="s">
        <v>11</v>
      </c>
    </row>
    <row r="467" spans="1:18" ht="15" customHeight="1" x14ac:dyDescent="0.3">
      <c r="A467" s="40"/>
      <c r="B467" s="41"/>
      <c r="C467" s="42"/>
      <c r="E467" s="16" t="str">
        <f>LOOKUP(C468,$P$52:$P$60,$Q$52:$Q$60)</f>
        <v>5/8"</v>
      </c>
    </row>
    <row r="468" spans="1:18" ht="15" customHeight="1" x14ac:dyDescent="0.3">
      <c r="A468" s="40"/>
      <c r="B468" s="40" t="s">
        <v>112</v>
      </c>
      <c r="C468" s="43">
        <v>5</v>
      </c>
      <c r="D468" s="44" t="s">
        <v>113</v>
      </c>
      <c r="E468" s="12">
        <f>LOOKUP(C468,$P$52:$P$60,$R$52:$R$60)</f>
        <v>1.5874999999999999</v>
      </c>
      <c r="F468" s="4" t="s">
        <v>9</v>
      </c>
      <c r="G468" s="40" t="s">
        <v>114</v>
      </c>
      <c r="H468" s="12">
        <f>LOOKUP(C468,$P$52:$P$60,$S$52:$S$60)</f>
        <v>1.9793260902246004</v>
      </c>
      <c r="I468" s="4" t="s">
        <v>51</v>
      </c>
    </row>
    <row r="469" spans="1:18" ht="15" customHeight="1" x14ac:dyDescent="0.3">
      <c r="B469" s="8" t="s">
        <v>115</v>
      </c>
      <c r="C469" s="45">
        <v>4</v>
      </c>
      <c r="D469" s="18" t="s">
        <v>116</v>
      </c>
      <c r="E469" s="18"/>
      <c r="P469" s="4" t="s">
        <v>192</v>
      </c>
    </row>
    <row r="470" spans="1:18" ht="15" customHeight="1" x14ac:dyDescent="0.3">
      <c r="B470" s="8" t="s">
        <v>17</v>
      </c>
      <c r="C470" s="13">
        <v>0.9</v>
      </c>
      <c r="D470" s="4" t="s">
        <v>216</v>
      </c>
      <c r="E470" s="5"/>
      <c r="P470" s="40" t="s">
        <v>50</v>
      </c>
      <c r="Q470" s="57">
        <f>C478</f>
        <v>9.4975417872865915</v>
      </c>
      <c r="R470" s="4" t="s">
        <v>51</v>
      </c>
    </row>
    <row r="471" spans="1:18" ht="15" customHeight="1" x14ac:dyDescent="0.3">
      <c r="B471" s="8"/>
      <c r="C471" s="87"/>
      <c r="E471" s="5"/>
      <c r="P471" s="64" t="s">
        <v>52</v>
      </c>
      <c r="Q471" s="65">
        <f>C481</f>
        <v>2.6816588575868026</v>
      </c>
      <c r="R471" s="66" t="s">
        <v>9</v>
      </c>
    </row>
    <row r="472" spans="1:18" ht="15" customHeight="1" x14ac:dyDescent="0.3">
      <c r="B472" s="49" t="s">
        <v>27</v>
      </c>
      <c r="C472" s="17">
        <f>C96-(C469+E468/2)</f>
        <v>45.206249999999997</v>
      </c>
      <c r="D472" s="4" t="s">
        <v>49</v>
      </c>
      <c r="P472" s="40" t="s">
        <v>50</v>
      </c>
      <c r="Q472" s="57">
        <f>C466*100000/(C470*C47*(C472-Q471/2))</f>
        <v>8.8090668811007582</v>
      </c>
      <c r="R472" s="4" t="s">
        <v>51</v>
      </c>
    </row>
    <row r="473" spans="1:18" ht="15" customHeight="1" x14ac:dyDescent="0.3">
      <c r="B473" s="49"/>
      <c r="C473" s="17"/>
      <c r="P473" s="64" t="s">
        <v>52</v>
      </c>
      <c r="Q473" s="57">
        <f>Q472*C47/(0.85*C46*C44)</f>
        <v>2.4872659428990378</v>
      </c>
      <c r="R473" s="66" t="s">
        <v>9</v>
      </c>
    </row>
    <row r="474" spans="1:18" ht="15" customHeight="1" x14ac:dyDescent="0.3">
      <c r="B474" s="49"/>
      <c r="C474" s="17"/>
      <c r="P474" s="40" t="s">
        <v>50</v>
      </c>
      <c r="Q474" s="57">
        <f>C466*100000/(C470*C47*(C472-Q473/2))</f>
        <v>8.7895910138476285</v>
      </c>
      <c r="R474" s="4" t="s">
        <v>51</v>
      </c>
    </row>
    <row r="475" spans="1:18" ht="15" customHeight="1" x14ac:dyDescent="0.3">
      <c r="B475" s="49" t="s">
        <v>52</v>
      </c>
      <c r="C475" s="17">
        <f>C472/5</f>
        <v>9.0412499999999998</v>
      </c>
      <c r="D475" s="4" t="s">
        <v>9</v>
      </c>
      <c r="P475" s="64" t="s">
        <v>52</v>
      </c>
      <c r="Q475" s="57">
        <f>Q474*C47/(0.85*C46*C44)</f>
        <v>2.4817668744981543</v>
      </c>
      <c r="R475" s="66" t="s">
        <v>9</v>
      </c>
    </row>
    <row r="476" spans="1:18" ht="23.25" customHeight="1" x14ac:dyDescent="0.3">
      <c r="B476" s="49"/>
      <c r="C476" s="17"/>
      <c r="P476" s="40" t="s">
        <v>50</v>
      </c>
      <c r="Q476" s="57">
        <f>C466*100000/(C470*C47*(C472-Q475/2))</f>
        <v>8.7890413247857619</v>
      </c>
      <c r="R476" s="4" t="s">
        <v>51</v>
      </c>
    </row>
    <row r="477" spans="1:18" ht="15" customHeight="1" x14ac:dyDescent="0.3">
      <c r="B477" s="49"/>
      <c r="C477" s="17"/>
      <c r="I477" s="49"/>
      <c r="J477" s="17"/>
      <c r="P477" s="64" t="s">
        <v>52</v>
      </c>
      <c r="Q477" s="57">
        <f>Q476*C47/(0.85*C46*C44)</f>
        <v>2.4816116681748031</v>
      </c>
      <c r="R477" s="66" t="s">
        <v>9</v>
      </c>
    </row>
    <row r="478" spans="1:18" ht="15" customHeight="1" x14ac:dyDescent="0.3">
      <c r="B478" s="49" t="s">
        <v>50</v>
      </c>
      <c r="C478" s="17">
        <f>C466*100000/(C470*C47*(C472-C475/2))</f>
        <v>9.4975417872865915</v>
      </c>
      <c r="D478" s="4" t="s">
        <v>51</v>
      </c>
      <c r="I478" s="49"/>
      <c r="J478" s="17"/>
      <c r="P478" s="40" t="s">
        <v>50</v>
      </c>
      <c r="Q478" s="57">
        <f>C466*100000/(C470*C47*(C472-Q477/2))</f>
        <v>8.7890258112976607</v>
      </c>
      <c r="R478" s="4" t="s">
        <v>51</v>
      </c>
    </row>
    <row r="479" spans="1:18" ht="15" customHeight="1" x14ac:dyDescent="0.3">
      <c r="B479" s="49"/>
      <c r="C479" s="17"/>
      <c r="I479" s="49"/>
      <c r="J479" s="17"/>
      <c r="P479" s="64" t="s">
        <v>52</v>
      </c>
      <c r="Q479" s="57">
        <f>Q478*C47/(0.85*C46*C44)</f>
        <v>2.4816072878958098</v>
      </c>
      <c r="R479" s="66" t="s">
        <v>9</v>
      </c>
    </row>
    <row r="480" spans="1:18" ht="15" customHeight="1" x14ac:dyDescent="0.3">
      <c r="B480" s="49"/>
      <c r="C480" s="17"/>
      <c r="I480" s="49"/>
      <c r="J480" s="17"/>
      <c r="P480" s="40" t="s">
        <v>50</v>
      </c>
      <c r="Q480" s="57">
        <f>C466*100000/(C470*C47*(C472-Q479/2))</f>
        <v>8.7890253734721835</v>
      </c>
      <c r="R480" s="4" t="s">
        <v>51</v>
      </c>
    </row>
    <row r="481" spans="1:10" ht="15" customHeight="1" x14ac:dyDescent="0.3">
      <c r="B481" s="49" t="s">
        <v>52</v>
      </c>
      <c r="C481" s="17">
        <f>C478*C47/(0.85*C46*C44)</f>
        <v>2.6816588575868026</v>
      </c>
      <c r="D481" s="4" t="s">
        <v>9</v>
      </c>
      <c r="I481" s="49"/>
      <c r="J481" s="17"/>
    </row>
    <row r="482" spans="1:10" ht="15" customHeight="1" x14ac:dyDescent="0.3">
      <c r="B482" s="7" t="s">
        <v>163</v>
      </c>
      <c r="C482" s="17"/>
      <c r="I482" s="49"/>
      <c r="J482" s="17"/>
    </row>
    <row r="483" spans="1:10" ht="15" customHeight="1" x14ac:dyDescent="0.3">
      <c r="B483" s="49" t="s">
        <v>50</v>
      </c>
      <c r="C483" s="17">
        <f>Q480</f>
        <v>8.7890253734721835</v>
      </c>
      <c r="D483" s="4" t="s">
        <v>51</v>
      </c>
      <c r="I483" s="49"/>
      <c r="J483" s="17"/>
    </row>
    <row r="484" spans="1:10" ht="15" customHeight="1" x14ac:dyDescent="0.3">
      <c r="B484" s="49" t="s">
        <v>52</v>
      </c>
      <c r="C484" s="17">
        <f>Q479</f>
        <v>2.4816072878958098</v>
      </c>
      <c r="D484" s="4" t="s">
        <v>9</v>
      </c>
      <c r="E484" s="9" t="str">
        <f>IF(C484&lt;C481,"…..CONFORME", "…….VERIFICAR")</f>
        <v>…..CONFORME</v>
      </c>
      <c r="G484" s="19"/>
      <c r="I484" s="49"/>
      <c r="J484" s="17"/>
    </row>
    <row r="485" spans="1:10" ht="15" customHeight="1" x14ac:dyDescent="0.3">
      <c r="B485" s="49"/>
      <c r="C485" s="17"/>
      <c r="E485" s="9"/>
      <c r="G485" s="19"/>
      <c r="I485" s="49"/>
      <c r="J485" s="17"/>
    </row>
    <row r="486" spans="1:10" ht="15" customHeight="1" x14ac:dyDescent="0.3">
      <c r="B486" s="49"/>
      <c r="C486" s="17"/>
      <c r="E486" s="9"/>
      <c r="G486" s="19"/>
      <c r="I486" s="49"/>
      <c r="J486" s="17"/>
    </row>
    <row r="487" spans="1:10" ht="15" customHeight="1" x14ac:dyDescent="0.3">
      <c r="B487" s="49" t="s">
        <v>76</v>
      </c>
      <c r="C487" s="17">
        <f>0.0018*$C$44*C472</f>
        <v>8.1371249999999993</v>
      </c>
      <c r="D487" s="4" t="s">
        <v>51</v>
      </c>
    </row>
    <row r="488" spans="1:10" ht="15" customHeight="1" x14ac:dyDescent="0.3">
      <c r="B488" s="49"/>
      <c r="C488" s="17"/>
    </row>
    <row r="489" spans="1:10" ht="15" customHeight="1" x14ac:dyDescent="0.3">
      <c r="B489" s="67" t="s">
        <v>137</v>
      </c>
      <c r="C489" s="68">
        <f>MAX(C487,C483)</f>
        <v>8.7890253734721835</v>
      </c>
      <c r="D489" s="3" t="s">
        <v>51</v>
      </c>
    </row>
    <row r="490" spans="1:10" ht="15" customHeight="1" x14ac:dyDescent="0.3">
      <c r="B490" s="67"/>
      <c r="C490" s="68"/>
      <c r="D490" s="3"/>
    </row>
    <row r="491" spans="1:10" ht="15" customHeight="1" x14ac:dyDescent="0.3">
      <c r="A491" s="18"/>
      <c r="B491" s="67"/>
      <c r="C491" s="68"/>
      <c r="D491" s="3"/>
      <c r="E491" s="18"/>
      <c r="F491" s="8"/>
      <c r="G491" s="9"/>
      <c r="H491" s="18"/>
      <c r="I491" s="18"/>
    </row>
    <row r="492" spans="1:10" ht="15" customHeight="1" x14ac:dyDescent="0.3">
      <c r="A492" s="49"/>
      <c r="B492" s="69" t="s">
        <v>138</v>
      </c>
      <c r="C492" s="70">
        <f>C489/H468</f>
        <v>4.4404130359716856</v>
      </c>
      <c r="D492" s="49"/>
      <c r="E492" s="12"/>
      <c r="G492" s="49"/>
      <c r="H492" s="12"/>
    </row>
    <row r="493" spans="1:10" ht="15" customHeight="1" x14ac:dyDescent="0.3">
      <c r="A493" s="49"/>
      <c r="B493" s="12"/>
      <c r="D493" s="49"/>
      <c r="E493" s="12"/>
      <c r="G493" s="49"/>
      <c r="H493" s="12"/>
    </row>
    <row r="494" spans="1:10" ht="15" customHeight="1" x14ac:dyDescent="0.3">
      <c r="A494" s="49"/>
      <c r="B494" s="12"/>
      <c r="D494" s="49"/>
      <c r="E494" s="12"/>
      <c r="G494" s="49"/>
      <c r="H494" s="12"/>
    </row>
    <row r="495" spans="1:10" ht="15" customHeight="1" x14ac:dyDescent="0.3">
      <c r="A495" s="49"/>
      <c r="B495" s="69" t="s">
        <v>139</v>
      </c>
      <c r="C495" s="17">
        <f>$C$44/C492/100</f>
        <v>0.22520427534533899</v>
      </c>
      <c r="D495" s="7" t="s">
        <v>0</v>
      </c>
      <c r="E495" s="12"/>
      <c r="G495" s="49"/>
      <c r="H495" s="12"/>
    </row>
    <row r="496" spans="1:10" ht="15" customHeight="1" x14ac:dyDescent="0.3">
      <c r="A496" s="49"/>
      <c r="B496" s="69"/>
      <c r="C496" s="12"/>
      <c r="D496" s="7"/>
      <c r="E496" s="12"/>
      <c r="G496" s="49"/>
      <c r="H496" s="12"/>
    </row>
    <row r="497" spans="1:7" ht="15" customHeight="1" x14ac:dyDescent="0.3">
      <c r="A497" s="49"/>
      <c r="B497" s="12" t="s">
        <v>140</v>
      </c>
      <c r="C497" s="89" t="s">
        <v>141</v>
      </c>
      <c r="D497" s="77" t="str">
        <f>E467</f>
        <v>5/8"</v>
      </c>
      <c r="E497" s="77" t="s">
        <v>54</v>
      </c>
      <c r="F497" s="78">
        <f>MIN(C495,0.45)</f>
        <v>0.22520427534533899</v>
      </c>
      <c r="G497" s="79" t="s">
        <v>0</v>
      </c>
    </row>
    <row r="498" spans="1:7" ht="15" customHeight="1" x14ac:dyDescent="0.3">
      <c r="B498" s="40"/>
    </row>
    <row r="499" spans="1:7" ht="15" customHeight="1" x14ac:dyDescent="0.3">
      <c r="B499" s="88" t="s">
        <v>167</v>
      </c>
    </row>
    <row r="500" spans="1:7" ht="15" customHeight="1" x14ac:dyDescent="0.3">
      <c r="B500" s="40"/>
    </row>
    <row r="501" spans="1:7" ht="15" customHeight="1" x14ac:dyDescent="0.3">
      <c r="B501" s="40"/>
    </row>
    <row r="502" spans="1:7" ht="15" customHeight="1" x14ac:dyDescent="0.3">
      <c r="B502" s="40"/>
    </row>
    <row r="503" spans="1:7" ht="15" customHeight="1" x14ac:dyDescent="0.3">
      <c r="B503" s="40" t="s">
        <v>168</v>
      </c>
      <c r="C503" s="17">
        <f>(C183-C187)*(C453-C472/100)/(C114+C127)</f>
        <v>8.3214932529827106</v>
      </c>
      <c r="D503" s="4" t="s">
        <v>3</v>
      </c>
      <c r="E503" s="57"/>
    </row>
    <row r="504" spans="1:7" ht="15" customHeight="1" x14ac:dyDescent="0.3">
      <c r="B504" s="40"/>
    </row>
    <row r="505" spans="1:7" ht="15" customHeight="1" x14ac:dyDescent="0.3">
      <c r="B505" s="40"/>
      <c r="G505" s="42"/>
    </row>
    <row r="506" spans="1:7" ht="15" customHeight="1" x14ac:dyDescent="0.3">
      <c r="B506" s="40"/>
    </row>
    <row r="507" spans="1:7" ht="15" customHeight="1" x14ac:dyDescent="0.3">
      <c r="B507" s="49" t="s">
        <v>31</v>
      </c>
      <c r="C507" s="17">
        <f>(C462-1.4*C187)*(C453-C472/100)-1/2*C503*(C453-C472/100)</f>
        <v>13.776381900467552</v>
      </c>
      <c r="D507" s="4" t="s">
        <v>3</v>
      </c>
    </row>
    <row r="508" spans="1:7" ht="15" customHeight="1" x14ac:dyDescent="0.3">
      <c r="B508" s="49"/>
      <c r="C508" s="16"/>
      <c r="F508" s="16"/>
      <c r="G508" s="17"/>
    </row>
    <row r="509" spans="1:7" ht="15" customHeight="1" x14ac:dyDescent="0.3">
      <c r="B509" s="8" t="s">
        <v>17</v>
      </c>
      <c r="C509" s="13">
        <v>0.85</v>
      </c>
      <c r="D509" s="4" t="s">
        <v>215</v>
      </c>
      <c r="E509" s="5"/>
    </row>
    <row r="510" spans="1:7" ht="15" customHeight="1" x14ac:dyDescent="0.3">
      <c r="B510" s="8"/>
      <c r="C510" s="87"/>
      <c r="E510" s="5"/>
    </row>
    <row r="511" spans="1:7" ht="15" customHeight="1" x14ac:dyDescent="0.3">
      <c r="B511" s="49"/>
      <c r="C511" s="16"/>
    </row>
    <row r="512" spans="1:7" ht="15" customHeight="1" x14ac:dyDescent="0.3">
      <c r="B512" s="49"/>
      <c r="C512" s="16"/>
    </row>
    <row r="513" spans="1:10" ht="15" customHeight="1" x14ac:dyDescent="0.3">
      <c r="B513" s="49" t="s">
        <v>82</v>
      </c>
      <c r="C513" s="17">
        <f>C507/C509</f>
        <v>16.207508118197119</v>
      </c>
      <c r="D513" s="4" t="s">
        <v>3</v>
      </c>
    </row>
    <row r="514" spans="1:10" ht="15" customHeight="1" x14ac:dyDescent="0.3">
      <c r="B514" s="49"/>
      <c r="C514" s="17"/>
    </row>
    <row r="515" spans="1:10" ht="15" customHeight="1" x14ac:dyDescent="0.3">
      <c r="B515" s="49"/>
      <c r="C515" s="16"/>
    </row>
    <row r="516" spans="1:10" ht="15" customHeight="1" x14ac:dyDescent="0.3">
      <c r="B516" s="49" t="s">
        <v>32</v>
      </c>
      <c r="C516" s="17">
        <f>0.53*SQRT(C46)*10*C44/100*C472/100</f>
        <v>31.695191229540619</v>
      </c>
      <c r="D516" s="4" t="s">
        <v>3</v>
      </c>
      <c r="E516" s="2"/>
    </row>
    <row r="517" spans="1:10" ht="15" customHeight="1" x14ac:dyDescent="0.3">
      <c r="B517" s="40"/>
    </row>
    <row r="518" spans="1:10" ht="15" customHeight="1" x14ac:dyDescent="0.3">
      <c r="B518" s="49" t="s">
        <v>83</v>
      </c>
      <c r="D518" s="9" t="s">
        <v>84</v>
      </c>
    </row>
    <row r="519" spans="1:10" ht="15" customHeight="1" x14ac:dyDescent="0.3">
      <c r="B519" s="53">
        <f>C513</f>
        <v>16.207508118197119</v>
      </c>
      <c r="C519" s="9" t="str">
        <f>IF(B519&lt;D519,"&lt;","&gt;")</f>
        <v>&lt;</v>
      </c>
      <c r="D519" s="17">
        <f>C516</f>
        <v>31.695191229540619</v>
      </c>
      <c r="E519" s="9" t="str">
        <f>IF(D519&lt;B519,"…..VERIFICAR","…..CONFORME")</f>
        <v>…..CONFORME</v>
      </c>
    </row>
    <row r="520" spans="1:10" ht="15" customHeight="1" x14ac:dyDescent="0.3">
      <c r="B520" s="40"/>
    </row>
    <row r="521" spans="1:10" ht="15" customHeight="1" x14ac:dyDescent="0.3">
      <c r="A521" s="90"/>
      <c r="B521" s="28" t="s">
        <v>85</v>
      </c>
    </row>
    <row r="522" spans="1:10" ht="15" customHeight="1" x14ac:dyDescent="0.3">
      <c r="B522" s="40"/>
      <c r="F522" s="16"/>
      <c r="G522" s="16"/>
    </row>
    <row r="523" spans="1:10" ht="15" customHeight="1" x14ac:dyDescent="0.3">
      <c r="B523" s="40"/>
      <c r="F523" s="16"/>
      <c r="G523" s="16"/>
    </row>
    <row r="524" spans="1:10" ht="15" customHeight="1" x14ac:dyDescent="0.3">
      <c r="B524" s="3" t="s">
        <v>169</v>
      </c>
      <c r="C524" s="91">
        <f>0.0018*C44*C96</f>
        <v>9</v>
      </c>
      <c r="D524" s="91" t="s">
        <v>51</v>
      </c>
      <c r="F524" s="29"/>
      <c r="G524" s="29"/>
    </row>
    <row r="525" spans="1:10" ht="15" customHeight="1" x14ac:dyDescent="0.3">
      <c r="A525" s="40"/>
      <c r="B525" s="41"/>
      <c r="C525" s="42"/>
      <c r="E525" s="16" t="str">
        <f>LOOKUP(C526,$P$52:$P$60,$Q$52:$Q$60)</f>
        <v>5/8"</v>
      </c>
      <c r="J525" s="37"/>
    </row>
    <row r="526" spans="1:10" ht="15" customHeight="1" x14ac:dyDescent="0.3">
      <c r="A526" s="40"/>
      <c r="B526" s="40" t="s">
        <v>112</v>
      </c>
      <c r="C526" s="43">
        <v>5</v>
      </c>
      <c r="D526" s="44" t="s">
        <v>113</v>
      </c>
      <c r="E526" s="12">
        <f>LOOKUP(C526,$P$52:$P$60,$R$52:$R$60)</f>
        <v>1.5874999999999999</v>
      </c>
      <c r="F526" s="4" t="s">
        <v>9</v>
      </c>
      <c r="G526" s="40" t="s">
        <v>114</v>
      </c>
      <c r="H526" s="12">
        <f>LOOKUP(C526,$P$52:$P$60,$S$52:$S$60)</f>
        <v>1.9793260902246004</v>
      </c>
      <c r="I526" s="4" t="s">
        <v>51</v>
      </c>
      <c r="J526" s="37"/>
    </row>
    <row r="527" spans="1:10" ht="15" customHeight="1" x14ac:dyDescent="0.3">
      <c r="B527" s="8"/>
      <c r="C527" s="73"/>
      <c r="D527" s="18"/>
      <c r="E527" s="18"/>
      <c r="J527" s="37"/>
    </row>
    <row r="528" spans="1:10" ht="15" customHeight="1" x14ac:dyDescent="0.3">
      <c r="B528" s="40"/>
      <c r="F528" s="30"/>
      <c r="G528" s="30"/>
      <c r="H528" s="30"/>
      <c r="I528" s="38"/>
      <c r="J528" s="37"/>
    </row>
    <row r="529" spans="1:10" ht="15" customHeight="1" x14ac:dyDescent="0.3">
      <c r="B529" s="69" t="s">
        <v>138</v>
      </c>
      <c r="C529" s="70">
        <f>C524/H526</f>
        <v>4.5470021561625256</v>
      </c>
      <c r="D529" s="49"/>
      <c r="E529" s="12"/>
      <c r="G529" s="49"/>
      <c r="H529" s="12"/>
      <c r="I529" s="38"/>
      <c r="J529" s="37"/>
    </row>
    <row r="530" spans="1:10" ht="15" customHeight="1" x14ac:dyDescent="0.3">
      <c r="B530" s="12"/>
      <c r="D530" s="49"/>
      <c r="E530" s="12"/>
      <c r="G530" s="49"/>
      <c r="H530" s="12"/>
      <c r="I530" s="38"/>
      <c r="J530" s="37"/>
    </row>
    <row r="531" spans="1:10" ht="15" customHeight="1" x14ac:dyDescent="0.3">
      <c r="B531" s="12"/>
      <c r="D531" s="49"/>
      <c r="E531" s="12"/>
      <c r="G531" s="49"/>
      <c r="H531" s="12"/>
      <c r="I531" s="38"/>
      <c r="J531" s="37"/>
    </row>
    <row r="532" spans="1:10" ht="15" customHeight="1" x14ac:dyDescent="0.3">
      <c r="B532" s="69" t="s">
        <v>139</v>
      </c>
      <c r="C532" s="17">
        <f>$C$44/C529/100</f>
        <v>0.21992512113606671</v>
      </c>
      <c r="D532" s="7" t="s">
        <v>0</v>
      </c>
      <c r="E532" s="12"/>
      <c r="G532" s="49"/>
      <c r="H532" s="12"/>
      <c r="I532" s="38"/>
      <c r="J532" s="37"/>
    </row>
    <row r="533" spans="1:10" ht="15" customHeight="1" x14ac:dyDescent="0.3">
      <c r="B533" s="69"/>
      <c r="C533" s="12"/>
      <c r="D533" s="7"/>
      <c r="E533" s="12"/>
      <c r="G533" s="49"/>
      <c r="H533" s="12"/>
      <c r="I533" s="38"/>
      <c r="J533" s="37"/>
    </row>
    <row r="534" spans="1:10" ht="15" customHeight="1" x14ac:dyDescent="0.3">
      <c r="B534" s="12" t="s">
        <v>140</v>
      </c>
      <c r="C534" s="89" t="s">
        <v>141</v>
      </c>
      <c r="D534" s="77" t="str">
        <f>E525</f>
        <v>5/8"</v>
      </c>
      <c r="E534" s="77" t="s">
        <v>54</v>
      </c>
      <c r="F534" s="78">
        <f>MIN(C532,0.45)</f>
        <v>0.21992512113606671</v>
      </c>
      <c r="G534" s="79" t="s">
        <v>0</v>
      </c>
      <c r="I534" s="38"/>
      <c r="J534" s="37"/>
    </row>
    <row r="535" spans="1:10" ht="15" customHeight="1" x14ac:dyDescent="0.3">
      <c r="B535" s="40"/>
      <c r="F535" s="30"/>
      <c r="G535" s="30"/>
      <c r="H535" s="30"/>
      <c r="I535" s="38"/>
      <c r="J535" s="37"/>
    </row>
    <row r="536" spans="1:10" ht="15" customHeight="1" x14ac:dyDescent="0.3">
      <c r="B536" s="40"/>
      <c r="F536" s="30"/>
      <c r="G536" s="30"/>
      <c r="H536" s="30"/>
      <c r="I536" s="38"/>
      <c r="J536" s="37"/>
    </row>
    <row r="537" spans="1:10" ht="15" customHeight="1" x14ac:dyDescent="0.3">
      <c r="B537" s="67" t="s">
        <v>170</v>
      </c>
      <c r="C537" s="92"/>
      <c r="D537" s="87"/>
      <c r="F537" s="30"/>
      <c r="G537" s="30"/>
      <c r="H537" s="30"/>
      <c r="I537" s="38"/>
      <c r="J537" s="37"/>
    </row>
    <row r="538" spans="1:10" ht="15" customHeight="1" x14ac:dyDescent="0.3">
      <c r="B538" s="40"/>
      <c r="E538" s="16" t="str">
        <f>LOOKUP(C539,$P$52:$P$60,$Q$52:$Q$60)</f>
        <v>5/8"</v>
      </c>
      <c r="F538" s="30"/>
      <c r="G538" s="30"/>
      <c r="H538" s="30"/>
      <c r="I538" s="38"/>
      <c r="J538" s="37"/>
    </row>
    <row r="539" spans="1:10" ht="15" customHeight="1" x14ac:dyDescent="0.3">
      <c r="A539" s="40"/>
      <c r="B539" s="40" t="s">
        <v>112</v>
      </c>
      <c r="C539" s="43">
        <v>5</v>
      </c>
      <c r="D539" s="44" t="s">
        <v>113</v>
      </c>
      <c r="E539" s="12">
        <f>LOOKUP(C539,$P$52:$P$60,$R$52:$R$60)</f>
        <v>1.5874999999999999</v>
      </c>
      <c r="F539" s="4" t="s">
        <v>9</v>
      </c>
      <c r="G539" s="40" t="s">
        <v>114</v>
      </c>
      <c r="H539" s="12">
        <f>LOOKUP(C539,$P$52:$P$60,$S$52:$S$60)</f>
        <v>1.9793260902246004</v>
      </c>
      <c r="I539" s="4" t="s">
        <v>51</v>
      </c>
    </row>
    <row r="540" spans="1:10" ht="15" customHeight="1" x14ac:dyDescent="0.3">
      <c r="B540" s="82"/>
      <c r="C540" s="83"/>
      <c r="D540" s="83"/>
      <c r="E540" s="84"/>
      <c r="F540" s="55"/>
      <c r="G540" s="82"/>
      <c r="H540" s="55"/>
      <c r="I540" s="56"/>
    </row>
    <row r="541" spans="1:10" ht="15" customHeight="1" x14ac:dyDescent="0.3">
      <c r="B541" s="40"/>
      <c r="C541" s="67"/>
      <c r="D541" s="67"/>
      <c r="E541" s="18"/>
      <c r="F541" s="18"/>
      <c r="G541" s="82"/>
      <c r="H541" s="55"/>
      <c r="I541" s="56"/>
    </row>
    <row r="542" spans="1:10" ht="15" customHeight="1" x14ac:dyDescent="0.3">
      <c r="B542" s="8" t="s">
        <v>53</v>
      </c>
      <c r="C542" s="21">
        <f>36*E539</f>
        <v>57.15</v>
      </c>
      <c r="D542" s="18" t="s">
        <v>9</v>
      </c>
      <c r="E542" s="86"/>
      <c r="F542" s="18"/>
      <c r="G542" s="54"/>
      <c r="H542" s="85"/>
      <c r="I542" s="54"/>
    </row>
    <row r="543" spans="1:10" x14ac:dyDescent="0.3">
      <c r="A543" s="49"/>
      <c r="B543" s="69"/>
      <c r="C543" s="12"/>
      <c r="D543" s="7"/>
      <c r="E543" s="12"/>
      <c r="G543" s="49"/>
      <c r="H543" s="12"/>
    </row>
    <row r="544" spans="1:10" x14ac:dyDescent="0.3">
      <c r="A544" s="49"/>
      <c r="B544" s="12" t="s">
        <v>140</v>
      </c>
      <c r="C544" s="89" t="s">
        <v>141</v>
      </c>
      <c r="D544" s="77" t="str">
        <f>E538</f>
        <v>5/8"</v>
      </c>
      <c r="E544" s="77" t="s">
        <v>54</v>
      </c>
      <c r="F544" s="78">
        <f>ROUND(C542,0)/100</f>
        <v>0.56999999999999995</v>
      </c>
      <c r="G544" s="79" t="s">
        <v>0</v>
      </c>
    </row>
    <row r="547" spans="4:11" x14ac:dyDescent="0.3">
      <c r="F547" s="110" t="str">
        <f>CONCATENATE(C33," m")</f>
        <v>0.2 m</v>
      </c>
    </row>
    <row r="552" spans="4:11" x14ac:dyDescent="0.3">
      <c r="D552" s="104" t="str">
        <f>CONCATENATE("Ø ",D304," @ ",ROUND(F304,2)," m")</f>
        <v>Ø 3/8" @ 0.27 m</v>
      </c>
      <c r="H552" s="102" t="str">
        <f>CONCATENATE("Ø ",D317," @ ",ROUND(F317,2)," m")</f>
        <v>Ø 3/8" @ 0.45 m</v>
      </c>
    </row>
    <row r="553" spans="4:11" x14ac:dyDescent="0.3">
      <c r="D553" s="40"/>
    </row>
    <row r="554" spans="4:11" x14ac:dyDescent="0.3">
      <c r="D554" s="40"/>
    </row>
    <row r="555" spans="4:11" x14ac:dyDescent="0.3">
      <c r="D555" s="106" t="str">
        <f>CONCATENATE("Ø ",D398," @ ",ROUND(F398,2)," m")</f>
        <v>Ø 1/2" @ 0.45 m</v>
      </c>
      <c r="H555" s="101" t="str">
        <f>CONCATENATE("Ø ",D225," @ ",ROUND(2*F225,2)," m")</f>
        <v>Ø 5/8" @ 0.28 m</v>
      </c>
      <c r="K555" s="108"/>
    </row>
    <row r="556" spans="4:11" x14ac:dyDescent="0.3">
      <c r="D556" s="40"/>
      <c r="K556" s="108"/>
    </row>
    <row r="557" spans="4:11" x14ac:dyDescent="0.3">
      <c r="D557" s="40"/>
      <c r="K557" s="108" t="str">
        <f>CONCATENATE(C6," m")</f>
        <v>5 m</v>
      </c>
    </row>
    <row r="558" spans="4:11" x14ac:dyDescent="0.3">
      <c r="D558" s="105" t="str">
        <f>CONCATENATE("Ø ",D340," @ ",ROUND(F340,2)," m")</f>
        <v>Ø 3/8" @ 0.16 m</v>
      </c>
      <c r="H558" s="103" t="str">
        <f>CONCATENATE("Ø ",D353," @ ",ROUND(F353,2)," m")</f>
        <v>Ø 3/8" @ 0.33 m</v>
      </c>
      <c r="K558" s="108"/>
    </row>
    <row r="559" spans="4:11" x14ac:dyDescent="0.3">
      <c r="K559" s="108"/>
    </row>
    <row r="560" spans="4:11" x14ac:dyDescent="0.3">
      <c r="K560" s="108"/>
    </row>
    <row r="561" spans="4:11" x14ac:dyDescent="0.3">
      <c r="H561" s="99" t="str">
        <f>CONCATENATE("Ø ",D225," @ ",ROUND(F225,2)," m")</f>
        <v>Ø 5/8" @ 0.14 m</v>
      </c>
      <c r="K561" s="108"/>
    </row>
    <row r="562" spans="4:11" x14ac:dyDescent="0.3">
      <c r="K562" s="108"/>
    </row>
    <row r="563" spans="4:11" x14ac:dyDescent="0.3">
      <c r="K563" s="109" t="str">
        <f>CONCATENATE(C271," m")</f>
        <v>1.45 m</v>
      </c>
    </row>
    <row r="564" spans="4:11" x14ac:dyDescent="0.3">
      <c r="D564" s="40" t="str">
        <f>CONCATENATE("Ø ",D375," @ ",ROUND(F375,2)," m")</f>
        <v>Ø 1/2" @ 0.21 m</v>
      </c>
      <c r="H564" s="4" t="str">
        <f>CONCATENATE("Ø ",D388," @ ",ROUND(F388,2)," m")</f>
        <v>Ø 3/8" @ 0.24 m</v>
      </c>
      <c r="K564" s="108"/>
    </row>
    <row r="565" spans="4:11" x14ac:dyDescent="0.3">
      <c r="K565" s="108"/>
    </row>
    <row r="566" spans="4:11" x14ac:dyDescent="0.3">
      <c r="H566" s="33" t="str">
        <f>CONCATENATE("Ø ",D497," @ ",ROUND(F497,2)," m")</f>
        <v>Ø 5/8" @ 0.23 m</v>
      </c>
      <c r="K566" s="108"/>
    </row>
    <row r="567" spans="4:11" x14ac:dyDescent="0.3">
      <c r="K567" s="108"/>
    </row>
    <row r="568" spans="4:11" x14ac:dyDescent="0.3">
      <c r="K568" s="108"/>
    </row>
    <row r="569" spans="4:11" x14ac:dyDescent="0.3">
      <c r="K569" s="129" t="str">
        <f>CONCATENATE(C96/100," m")</f>
        <v>0.5 m</v>
      </c>
    </row>
    <row r="570" spans="4:11" x14ac:dyDescent="0.3">
      <c r="K570" s="129"/>
    </row>
    <row r="571" spans="4:11" x14ac:dyDescent="0.3">
      <c r="K571" s="108"/>
    </row>
    <row r="572" spans="4:11" x14ac:dyDescent="0.3">
      <c r="K572" s="108"/>
    </row>
    <row r="574" spans="4:11" x14ac:dyDescent="0.3">
      <c r="D574" s="26" t="str">
        <f>CONCATENATE("Ø ",D448," @ ",ROUND(F448,2)," m")</f>
        <v>Ø 5/8" @ 0.26 m</v>
      </c>
      <c r="F574" s="4" t="str">
        <f>CONCATENATE("Ø ",D544," @ ",ROUND(F544,2)," m")</f>
        <v>Ø 5/8" @ 0.57 m</v>
      </c>
      <c r="I574" s="4" t="str">
        <f>CONCATENATE("Ø ",D534," @ ",ROUND(F534,2)," m")</f>
        <v>Ø 5/8" @ 0.22 m</v>
      </c>
    </row>
    <row r="577" spans="2:12" x14ac:dyDescent="0.3">
      <c r="D577" s="107" t="str">
        <f>CONCATENATE(C127," m")</f>
        <v>0.5 m</v>
      </c>
      <c r="E577" s="130" t="str">
        <f>CONCATENATE(C65/100," m")</f>
        <v>0.45 m</v>
      </c>
      <c r="F577" s="130"/>
      <c r="G577" s="108"/>
      <c r="H577" s="108" t="str">
        <f>CONCATENATE(C114-C65/100," m")</f>
        <v>1.75 m</v>
      </c>
    </row>
    <row r="581" spans="2:12" x14ac:dyDescent="0.3">
      <c r="B581" s="54"/>
      <c r="C581" s="119"/>
      <c r="D581" s="54"/>
      <c r="E581" s="54"/>
      <c r="F581" s="54"/>
      <c r="G581" s="54"/>
      <c r="H581" s="54"/>
      <c r="I581" s="54"/>
      <c r="J581" s="54"/>
      <c r="K581" s="54"/>
      <c r="L581" s="54"/>
    </row>
    <row r="582" spans="2:12" x14ac:dyDescent="0.3">
      <c r="B582" s="54"/>
      <c r="C582"/>
      <c r="D582" s="120"/>
      <c r="E582" s="120"/>
      <c r="F582" s="120"/>
      <c r="G582" s="120"/>
      <c r="H582" s="120"/>
      <c r="I582" s="120"/>
      <c r="J582" s="120"/>
      <c r="K582" s="54"/>
      <c r="L582" s="54"/>
    </row>
    <row r="583" spans="2:12" x14ac:dyDescent="0.3">
      <c r="B583" s="54"/>
      <c r="C583" s="120"/>
      <c r="D583" s="120"/>
      <c r="E583" s="120"/>
      <c r="F583" s="120"/>
      <c r="G583" s="120"/>
      <c r="H583" s="120"/>
      <c r="I583" s="120"/>
      <c r="J583" s="120"/>
      <c r="K583" s="54"/>
      <c r="L583" s="54"/>
    </row>
    <row r="584" spans="2:12" x14ac:dyDescent="0.3">
      <c r="B584" s="54"/>
      <c r="C584" s="120"/>
      <c r="D584" s="120"/>
      <c r="E584" s="120"/>
      <c r="F584" s="120"/>
      <c r="G584" s="120"/>
      <c r="H584" s="120"/>
      <c r="I584" s="120"/>
      <c r="J584" s="120"/>
      <c r="K584" s="54"/>
      <c r="L584" s="54"/>
    </row>
    <row r="585" spans="2:12" x14ac:dyDescent="0.3">
      <c r="B585" s="54"/>
      <c r="C585" s="120"/>
      <c r="D585" s="120"/>
      <c r="E585" s="120"/>
      <c r="F585" s="120"/>
      <c r="G585" s="120"/>
      <c r="H585" s="120"/>
      <c r="I585" s="120"/>
      <c r="J585" s="120"/>
      <c r="K585" s="54"/>
      <c r="L585" s="54"/>
    </row>
    <row r="586" spans="2:12" x14ac:dyDescent="0.3">
      <c r="B586" s="54"/>
      <c r="C586" s="120"/>
      <c r="D586" s="120"/>
      <c r="E586" s="120"/>
      <c r="F586" s="120"/>
      <c r="G586" s="120"/>
      <c r="H586" s="120"/>
      <c r="I586" s="120"/>
      <c r="J586" s="120"/>
      <c r="K586" s="54"/>
      <c r="L586" s="54"/>
    </row>
    <row r="587" spans="2:12" x14ac:dyDescent="0.3">
      <c r="B587" s="54"/>
      <c r="C587" s="120"/>
      <c r="D587" s="120"/>
      <c r="E587" s="120"/>
      <c r="F587" s="120"/>
      <c r="G587" s="120"/>
      <c r="H587" s="120"/>
      <c r="I587" s="120"/>
      <c r="J587" s="120"/>
      <c r="K587" s="54"/>
      <c r="L587" s="54"/>
    </row>
  </sheetData>
  <dataConsolidate/>
  <mergeCells count="33">
    <mergeCell ref="A1:M1"/>
    <mergeCell ref="M287:N287"/>
    <mergeCell ref="I288:J288"/>
    <mergeCell ref="P69:S69"/>
    <mergeCell ref="A127:B127"/>
    <mergeCell ref="M17:M18"/>
    <mergeCell ref="P82:S82"/>
    <mergeCell ref="P72:Q72"/>
    <mergeCell ref="P70:S70"/>
    <mergeCell ref="P71:Q71"/>
    <mergeCell ref="P76:Q76"/>
    <mergeCell ref="P81:S81"/>
    <mergeCell ref="P74:Q74"/>
    <mergeCell ref="P75:Q75"/>
    <mergeCell ref="P73:Q73"/>
    <mergeCell ref="J3:K3"/>
    <mergeCell ref="I20:I21"/>
    <mergeCell ref="K20:K21"/>
    <mergeCell ref="K9:K10"/>
    <mergeCell ref="P49:S49"/>
    <mergeCell ref="P47:S48"/>
    <mergeCell ref="L405:L406"/>
    <mergeCell ref="K569:K570"/>
    <mergeCell ref="E577:F577"/>
    <mergeCell ref="B131:B132"/>
    <mergeCell ref="C131:C132"/>
    <mergeCell ref="D131:D132"/>
    <mergeCell ref="E131:E132"/>
    <mergeCell ref="G291:H291"/>
    <mergeCell ref="G152:G153"/>
    <mergeCell ref="I137:J137"/>
    <mergeCell ref="I158:J158"/>
    <mergeCell ref="H286:H287"/>
  </mergeCells>
  <dataValidations count="1">
    <dataValidation type="list" allowBlank="1" showInputMessage="1" showErrorMessage="1" sqref="C58 C196 C308 C321 C357 C295 C286 C331 C344 C366 C379 C392 C419 C468 C526 C539" xr:uid="{00000000-0002-0000-0000-000000000000}">
      <formula1>$P$52:$P$60</formula1>
    </dataValidation>
  </dataValidations>
  <pageMargins left="0.7" right="0.7" top="0.75" bottom="0.75" header="0.3" footer="0.3"/>
  <pageSetup scale="55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43" r:id="rId4">
          <objectPr defaultSize="0" autoPict="0" r:id="rId5">
            <anchor moveWithCells="1" sizeWithCells="1">
              <from>
                <xdr:col>1</xdr:col>
                <xdr:colOff>38100</xdr:colOff>
                <xdr:row>230</xdr:row>
                <xdr:rowOff>0</xdr:rowOff>
              </from>
              <to>
                <xdr:col>4</xdr:col>
                <xdr:colOff>22860</xdr:colOff>
                <xdr:row>230</xdr:row>
                <xdr:rowOff>0</xdr:rowOff>
              </to>
            </anchor>
          </objectPr>
        </oleObject>
      </mc:Choice>
      <mc:Fallback>
        <oleObject progId="Equation.DSMT4" shapeId="1043" r:id="rId4"/>
      </mc:Fallback>
    </mc:AlternateContent>
    <mc:AlternateContent xmlns:mc="http://schemas.openxmlformats.org/markup-compatibility/2006">
      <mc:Choice Requires="x14">
        <oleObject progId="Equation.DSMT4" shapeId="1044" r:id="rId6">
          <objectPr defaultSize="0" autoPict="0" r:id="rId7">
            <anchor moveWithCells="1" sizeWithCells="1">
              <from>
                <xdr:col>6</xdr:col>
                <xdr:colOff>312420</xdr:colOff>
                <xdr:row>230</xdr:row>
                <xdr:rowOff>0</xdr:rowOff>
              </from>
              <to>
                <xdr:col>9</xdr:col>
                <xdr:colOff>220980</xdr:colOff>
                <xdr:row>230</xdr:row>
                <xdr:rowOff>0</xdr:rowOff>
              </to>
            </anchor>
          </objectPr>
        </oleObject>
      </mc:Choice>
      <mc:Fallback>
        <oleObject progId="Equation.DSMT4" shapeId="1044" r:id="rId6"/>
      </mc:Fallback>
    </mc:AlternateContent>
    <mc:AlternateContent xmlns:mc="http://schemas.openxmlformats.org/markup-compatibility/2006">
      <mc:Choice Requires="x14">
        <oleObject progId="Equation.DSMT4" shapeId="1045" r:id="rId8">
          <objectPr defaultSize="0" autoPict="0" r:id="rId9">
            <anchor moveWithCells="1" sizeWithCells="1">
              <from>
                <xdr:col>6</xdr:col>
                <xdr:colOff>266700</xdr:colOff>
                <xdr:row>230</xdr:row>
                <xdr:rowOff>0</xdr:rowOff>
              </from>
              <to>
                <xdr:col>10</xdr:col>
                <xdr:colOff>68580</xdr:colOff>
                <xdr:row>230</xdr:row>
                <xdr:rowOff>0</xdr:rowOff>
              </to>
            </anchor>
          </objectPr>
        </oleObject>
      </mc:Choice>
      <mc:Fallback>
        <oleObject progId="Equation.DSMT4" shapeId="1045" r:id="rId8"/>
      </mc:Fallback>
    </mc:AlternateContent>
    <mc:AlternateContent xmlns:mc="http://schemas.openxmlformats.org/markup-compatibility/2006">
      <mc:Choice Requires="x14">
        <oleObject progId="Equation.DSMT4" shapeId="1046" r:id="rId10">
          <objectPr defaultSize="0" autoPict="0" r:id="rId11">
            <anchor moveWithCells="1" sizeWithCells="1">
              <from>
                <xdr:col>6</xdr:col>
                <xdr:colOff>289560</xdr:colOff>
                <xdr:row>230</xdr:row>
                <xdr:rowOff>0</xdr:rowOff>
              </from>
              <to>
                <xdr:col>9</xdr:col>
                <xdr:colOff>0</xdr:colOff>
                <xdr:row>230</xdr:row>
                <xdr:rowOff>0</xdr:rowOff>
              </to>
            </anchor>
          </objectPr>
        </oleObject>
      </mc:Choice>
      <mc:Fallback>
        <oleObject progId="Equation.DSMT4" shapeId="1046" r:id="rId10"/>
      </mc:Fallback>
    </mc:AlternateContent>
    <mc:AlternateContent xmlns:mc="http://schemas.openxmlformats.org/markup-compatibility/2006">
      <mc:Choice Requires="x14">
        <oleObject progId="Equation.DSMT4" shapeId="1047" r:id="rId12">
          <objectPr defaultSize="0" autoPict="0" r:id="rId13">
            <anchor moveWithCells="1" sizeWithCells="1">
              <from>
                <xdr:col>1</xdr:col>
                <xdr:colOff>99060</xdr:colOff>
                <xdr:row>230</xdr:row>
                <xdr:rowOff>0</xdr:rowOff>
              </from>
              <to>
                <xdr:col>5</xdr:col>
                <xdr:colOff>350520</xdr:colOff>
                <xdr:row>230</xdr:row>
                <xdr:rowOff>0</xdr:rowOff>
              </to>
            </anchor>
          </objectPr>
        </oleObject>
      </mc:Choice>
      <mc:Fallback>
        <oleObject progId="Equation.DSMT4" shapeId="1047" r:id="rId12"/>
      </mc:Fallback>
    </mc:AlternateContent>
    <mc:AlternateContent xmlns:mc="http://schemas.openxmlformats.org/markup-compatibility/2006">
      <mc:Choice Requires="x14">
        <oleObject progId="Equation.DSMT4" shapeId="1048" r:id="rId14">
          <objectPr defaultSize="0" autoPict="0" r:id="rId15">
            <anchor moveWithCells="1" sizeWithCells="1">
              <from>
                <xdr:col>8</xdr:col>
                <xdr:colOff>60960</xdr:colOff>
                <xdr:row>230</xdr:row>
                <xdr:rowOff>0</xdr:rowOff>
              </from>
              <to>
                <xdr:col>10</xdr:col>
                <xdr:colOff>213360</xdr:colOff>
                <xdr:row>230</xdr:row>
                <xdr:rowOff>0</xdr:rowOff>
              </to>
            </anchor>
          </objectPr>
        </oleObject>
      </mc:Choice>
      <mc:Fallback>
        <oleObject progId="Equation.DSMT4" shapeId="1048" r:id="rId14"/>
      </mc:Fallback>
    </mc:AlternateContent>
    <mc:AlternateContent xmlns:mc="http://schemas.openxmlformats.org/markup-compatibility/2006">
      <mc:Choice Requires="x14">
        <oleObject progId="Equation.DSMT4" shapeId="1049" r:id="rId16">
          <objectPr defaultSize="0" autoPict="0" r:id="rId7">
            <anchor moveWithCells="1" sizeWithCells="1">
              <from>
                <xdr:col>6</xdr:col>
                <xdr:colOff>335280</xdr:colOff>
                <xdr:row>230</xdr:row>
                <xdr:rowOff>0</xdr:rowOff>
              </from>
              <to>
                <xdr:col>9</xdr:col>
                <xdr:colOff>236220</xdr:colOff>
                <xdr:row>230</xdr:row>
                <xdr:rowOff>0</xdr:rowOff>
              </to>
            </anchor>
          </objectPr>
        </oleObject>
      </mc:Choice>
      <mc:Fallback>
        <oleObject progId="Equation.DSMT4" shapeId="1049" r:id="rId16"/>
      </mc:Fallback>
    </mc:AlternateContent>
    <mc:AlternateContent xmlns:mc="http://schemas.openxmlformats.org/markup-compatibility/2006">
      <mc:Choice Requires="x14">
        <oleObject progId="Equation.DSMT4" shapeId="1050" r:id="rId17">
          <objectPr defaultSize="0" autoPict="0" r:id="rId9">
            <anchor moveWithCells="1" sizeWithCells="1">
              <from>
                <xdr:col>6</xdr:col>
                <xdr:colOff>274320</xdr:colOff>
                <xdr:row>230</xdr:row>
                <xdr:rowOff>0</xdr:rowOff>
              </from>
              <to>
                <xdr:col>10</xdr:col>
                <xdr:colOff>76200</xdr:colOff>
                <xdr:row>230</xdr:row>
                <xdr:rowOff>0</xdr:rowOff>
              </to>
            </anchor>
          </objectPr>
        </oleObject>
      </mc:Choice>
      <mc:Fallback>
        <oleObject progId="Equation.DSMT4" shapeId="1050" r:id="rId17"/>
      </mc:Fallback>
    </mc:AlternateContent>
    <mc:AlternateContent xmlns:mc="http://schemas.openxmlformats.org/markup-compatibility/2006">
      <mc:Choice Requires="x14">
        <oleObject progId="Equation.DSMT4" shapeId="1051" r:id="rId18">
          <objectPr defaultSize="0" autoPict="0" r:id="rId11">
            <anchor moveWithCells="1" sizeWithCells="1">
              <from>
                <xdr:col>6</xdr:col>
                <xdr:colOff>289560</xdr:colOff>
                <xdr:row>230</xdr:row>
                <xdr:rowOff>0</xdr:rowOff>
              </from>
              <to>
                <xdr:col>9</xdr:col>
                <xdr:colOff>0</xdr:colOff>
                <xdr:row>230</xdr:row>
                <xdr:rowOff>0</xdr:rowOff>
              </to>
            </anchor>
          </objectPr>
        </oleObject>
      </mc:Choice>
      <mc:Fallback>
        <oleObject progId="Equation.DSMT4" shapeId="1051" r:id="rId18"/>
      </mc:Fallback>
    </mc:AlternateContent>
    <mc:AlternateContent xmlns:mc="http://schemas.openxmlformats.org/markup-compatibility/2006">
      <mc:Choice Requires="x14">
        <oleObject progId="Equation.DSMT4" shapeId="1052" r:id="rId19">
          <objectPr defaultSize="0" autoPict="0" r:id="rId13">
            <anchor moveWithCells="1" sizeWithCells="1">
              <from>
                <xdr:col>1</xdr:col>
                <xdr:colOff>99060</xdr:colOff>
                <xdr:row>230</xdr:row>
                <xdr:rowOff>0</xdr:rowOff>
              </from>
              <to>
                <xdr:col>5</xdr:col>
                <xdr:colOff>350520</xdr:colOff>
                <xdr:row>230</xdr:row>
                <xdr:rowOff>0</xdr:rowOff>
              </to>
            </anchor>
          </objectPr>
        </oleObject>
      </mc:Choice>
      <mc:Fallback>
        <oleObject progId="Equation.DSMT4" shapeId="1052" r:id="rId19"/>
      </mc:Fallback>
    </mc:AlternateContent>
    <mc:AlternateContent xmlns:mc="http://schemas.openxmlformats.org/markup-compatibility/2006">
      <mc:Choice Requires="x14">
        <oleObject progId="Equation.DSMT4" shapeId="1053" r:id="rId20">
          <objectPr defaultSize="0" autoPict="0" r:id="rId15">
            <anchor moveWithCells="1" sizeWithCells="1">
              <from>
                <xdr:col>8</xdr:col>
                <xdr:colOff>60960</xdr:colOff>
                <xdr:row>230</xdr:row>
                <xdr:rowOff>0</xdr:rowOff>
              </from>
              <to>
                <xdr:col>10</xdr:col>
                <xdr:colOff>213360</xdr:colOff>
                <xdr:row>230</xdr:row>
                <xdr:rowOff>0</xdr:rowOff>
              </to>
            </anchor>
          </objectPr>
        </oleObject>
      </mc:Choice>
      <mc:Fallback>
        <oleObject progId="Equation.DSMT4" shapeId="1053" r:id="rId20"/>
      </mc:Fallback>
    </mc:AlternateContent>
    <mc:AlternateContent xmlns:mc="http://schemas.openxmlformats.org/markup-compatibility/2006">
      <mc:Choice Requires="x14">
        <oleObject progId="Equation.DSMT4" shapeId="1054" r:id="rId21">
          <objectPr defaultSize="0" autoPict="0" r:id="rId7">
            <anchor moveWithCells="1" sizeWithCells="1">
              <from>
                <xdr:col>6</xdr:col>
                <xdr:colOff>228600</xdr:colOff>
                <xdr:row>230</xdr:row>
                <xdr:rowOff>0</xdr:rowOff>
              </from>
              <to>
                <xdr:col>9</xdr:col>
                <xdr:colOff>137160</xdr:colOff>
                <xdr:row>230</xdr:row>
                <xdr:rowOff>0</xdr:rowOff>
              </to>
            </anchor>
          </objectPr>
        </oleObject>
      </mc:Choice>
      <mc:Fallback>
        <oleObject progId="Equation.DSMT4" shapeId="1054" r:id="rId21"/>
      </mc:Fallback>
    </mc:AlternateContent>
    <mc:AlternateContent xmlns:mc="http://schemas.openxmlformats.org/markup-compatibility/2006">
      <mc:Choice Requires="x14">
        <oleObject progId="Equation.DSMT4" shapeId="1055" r:id="rId22">
          <objectPr defaultSize="0" autoPict="0" r:id="rId11">
            <anchor moveWithCells="1" sizeWithCells="1">
              <from>
                <xdr:col>6</xdr:col>
                <xdr:colOff>289560</xdr:colOff>
                <xdr:row>230</xdr:row>
                <xdr:rowOff>0</xdr:rowOff>
              </from>
              <to>
                <xdr:col>9</xdr:col>
                <xdr:colOff>0</xdr:colOff>
                <xdr:row>230</xdr:row>
                <xdr:rowOff>0</xdr:rowOff>
              </to>
            </anchor>
          </objectPr>
        </oleObject>
      </mc:Choice>
      <mc:Fallback>
        <oleObject progId="Equation.DSMT4" shapeId="1055" r:id="rId22"/>
      </mc:Fallback>
    </mc:AlternateContent>
    <mc:AlternateContent xmlns:mc="http://schemas.openxmlformats.org/markup-compatibility/2006">
      <mc:Choice Requires="x14">
        <oleObject progId="Equation.DSMT4" shapeId="1056" r:id="rId23">
          <objectPr defaultSize="0" autoPict="0" r:id="rId13">
            <anchor moveWithCells="1" sizeWithCells="1">
              <from>
                <xdr:col>1</xdr:col>
                <xdr:colOff>99060</xdr:colOff>
                <xdr:row>230</xdr:row>
                <xdr:rowOff>0</xdr:rowOff>
              </from>
              <to>
                <xdr:col>5</xdr:col>
                <xdr:colOff>350520</xdr:colOff>
                <xdr:row>230</xdr:row>
                <xdr:rowOff>0</xdr:rowOff>
              </to>
            </anchor>
          </objectPr>
        </oleObject>
      </mc:Choice>
      <mc:Fallback>
        <oleObject progId="Equation.DSMT4" shapeId="1056" r:id="rId23"/>
      </mc:Fallback>
    </mc:AlternateContent>
    <mc:AlternateContent xmlns:mc="http://schemas.openxmlformats.org/markup-compatibility/2006">
      <mc:Choice Requires="x14">
        <oleObject progId="Equation.DSMT4" shapeId="1057" r:id="rId24">
          <objectPr defaultSize="0" autoPict="0" r:id="rId15">
            <anchor moveWithCells="1" sizeWithCells="1">
              <from>
                <xdr:col>8</xdr:col>
                <xdr:colOff>60960</xdr:colOff>
                <xdr:row>230</xdr:row>
                <xdr:rowOff>0</xdr:rowOff>
              </from>
              <to>
                <xdr:col>10</xdr:col>
                <xdr:colOff>213360</xdr:colOff>
                <xdr:row>230</xdr:row>
                <xdr:rowOff>0</xdr:rowOff>
              </to>
            </anchor>
          </objectPr>
        </oleObject>
      </mc:Choice>
      <mc:Fallback>
        <oleObject progId="Equation.DSMT4" shapeId="1057" r:id="rId24"/>
      </mc:Fallback>
    </mc:AlternateContent>
    <mc:AlternateContent xmlns:mc="http://schemas.openxmlformats.org/markup-compatibility/2006">
      <mc:Choice Requires="x14">
        <oleObject progId="Equation.DSMT4" shapeId="1058" r:id="rId25">
          <objectPr defaultSize="0" autoPict="0" r:id="rId26">
            <anchor moveWithCells="1" sizeWithCells="1">
              <from>
                <xdr:col>1</xdr:col>
                <xdr:colOff>68580</xdr:colOff>
                <xdr:row>230</xdr:row>
                <xdr:rowOff>0</xdr:rowOff>
              </from>
              <to>
                <xdr:col>5</xdr:col>
                <xdr:colOff>30480</xdr:colOff>
                <xdr:row>230</xdr:row>
                <xdr:rowOff>0</xdr:rowOff>
              </to>
            </anchor>
          </objectPr>
        </oleObject>
      </mc:Choice>
      <mc:Fallback>
        <oleObject progId="Equation.DSMT4" shapeId="1058" r:id="rId25"/>
      </mc:Fallback>
    </mc:AlternateContent>
    <mc:AlternateContent xmlns:mc="http://schemas.openxmlformats.org/markup-compatibility/2006">
      <mc:Choice Requires="x14">
        <oleObject progId="Equation.DSMT4" shapeId="1059" r:id="rId27">
          <objectPr defaultSize="0" autoPict="0" r:id="rId28">
            <anchor moveWithCells="1" sizeWithCells="1">
              <from>
                <xdr:col>7</xdr:col>
                <xdr:colOff>228600</xdr:colOff>
                <xdr:row>230</xdr:row>
                <xdr:rowOff>0</xdr:rowOff>
              </from>
              <to>
                <xdr:col>10</xdr:col>
                <xdr:colOff>289560</xdr:colOff>
                <xdr:row>230</xdr:row>
                <xdr:rowOff>0</xdr:rowOff>
              </to>
            </anchor>
          </objectPr>
        </oleObject>
      </mc:Choice>
      <mc:Fallback>
        <oleObject progId="Equation.DSMT4" shapeId="1059" r:id="rId27"/>
      </mc:Fallback>
    </mc:AlternateContent>
    <mc:AlternateContent xmlns:mc="http://schemas.openxmlformats.org/markup-compatibility/2006">
      <mc:Choice Requires="x14">
        <oleObject progId="Equation.DSMT4" shapeId="1060" r:id="rId29">
          <objectPr defaultSize="0" autoPict="0" r:id="rId30">
            <anchor moveWithCells="1" sizeWithCells="1">
              <from>
                <xdr:col>1</xdr:col>
                <xdr:colOff>68580</xdr:colOff>
                <xdr:row>230</xdr:row>
                <xdr:rowOff>0</xdr:rowOff>
              </from>
              <to>
                <xdr:col>3</xdr:col>
                <xdr:colOff>175260</xdr:colOff>
                <xdr:row>230</xdr:row>
                <xdr:rowOff>0</xdr:rowOff>
              </to>
            </anchor>
          </objectPr>
        </oleObject>
      </mc:Choice>
      <mc:Fallback>
        <oleObject progId="Equation.DSMT4" shapeId="1060" r:id="rId2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MURO VOLADIZO</vt:lpstr>
      <vt:lpstr>'MURO VOLADIZO'!fy</vt:lpstr>
      <vt:lpstr>'MURO VOLADIZO'!Print_Area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2024-04-22T12:51:23Z</dcterms:modified>
</cp:coreProperties>
</file>