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2.xml" ContentType="application/vnd.openxmlformats-officedocument.drawing+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4.xml" ContentType="application/vnd.openxmlformats-officedocument.drawing+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5.xml" ContentType="application/vnd.openxmlformats-officedocument.drawing+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6.xml" ContentType="application/vnd.openxmlformats-officedocument.drawing+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7.xml" ContentType="application/vnd.openxmlformats-officedocument.drawing+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28.xml" ContentType="application/vnd.openxmlformats-officedocument.drawing+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0" documentId="13_ncr:1_{1AF184C4-78C1-489D-9E27-77C1A9C26289}" xr6:coauthVersionLast="47" xr6:coauthVersionMax="47" xr10:uidLastSave="{00000000-0000-0000-0000-000000000000}"/>
  <bookViews>
    <workbookView xWindow="-120" yWindow="-120" windowWidth="29040" windowHeight="15840" activeTab="4" xr2:uid="{00000000-000D-0000-FFFF-FFFF00000000}"/>
  </bookViews>
  <sheets>
    <sheet name="Studies Selection Process" sheetId="2" r:id="rId1"/>
    <sheet name="Initial Search" sheetId="1" r:id="rId2"/>
    <sheet name="Feature Classification" sheetId="11" r:id="rId3"/>
    <sheet name="Feature Study" sheetId="4" r:id="rId4"/>
    <sheet name="Quality Assessment " sheetId="33" r:id="rId5"/>
    <sheet name="Approach Classification" sheetId="12" r:id="rId6"/>
    <sheet name="Systematic Mapping" sheetId="15" r:id="rId7"/>
    <sheet name="Fig 3. Data Source" sheetId="7" r:id="rId8"/>
    <sheet name="Fig 4. Publication Type" sheetId="51" r:id="rId9"/>
    <sheet name="Fig 5. and Fig6. QA Questions" sheetId="55" r:id="rId10"/>
    <sheet name="Fig 7. Publication Year" sheetId="8" r:id="rId11"/>
    <sheet name="Fig 9. SM Analysis" sheetId="17" r:id="rId12"/>
    <sheet name="Fig 10. CMFacetsArticles" sheetId="41" r:id="rId13"/>
    <sheet name="Fig 11. CMFacetsApproaches" sheetId="54" r:id="rId14"/>
    <sheet name="Fig 12. Contribution Facet" sheetId="36" r:id="rId15"/>
    <sheet name="Fig 13. ContributionYear" sheetId="38" r:id="rId16"/>
    <sheet name="Fig 14. Research Facet" sheetId="37" r:id="rId17"/>
    <sheet name="Fig 15. ResearchYear" sheetId="39" r:id="rId18"/>
    <sheet name="Fig 16. Tool Articles" sheetId="29" r:id="rId19"/>
    <sheet name="Fig 17. ConflictTypesbyApproach" sheetId="18" r:id="rId20"/>
    <sheet name="Fig 18. SemanticConflictbyAppro" sheetId="52" r:id="rId21"/>
    <sheet name="Fig 19. MV Characteristics" sheetId="35" r:id="rId22"/>
    <sheet name="Fig 20. MVCharCM" sheetId="42" r:id="rId23"/>
    <sheet name="Fig 21. CSpec" sheetId="22" r:id="rId24"/>
    <sheet name="Fig 22. CPrev" sheetId="23" r:id="rId25"/>
    <sheet name="Fig 23. CDet" sheetId="46" r:id="rId26"/>
    <sheet name="Fig 24. CDbyCType (old)" sheetId="49" r:id="rId27"/>
    <sheet name="Fig 24. CDbyCType" sheetId="53" r:id="rId28"/>
    <sheet name="Fig 25 &amp; 26. CRes" sheetId="25" r:id="rId29"/>
    <sheet name="Fig 27. CAware" sheetId="26" r:id="rId30"/>
    <sheet name="Fig 28. Limitation" sheetId="47" r:id="rId31"/>
    <sheet name="Fig 29. Future Direction" sheetId="48" r:id="rId32"/>
  </sheets>
  <definedNames>
    <definedName name="_xlnm._FilterDatabase" localSheetId="5" hidden="1">'Approach Classification'!$A$1:$CT$71</definedName>
    <definedName name="_xlnm._FilterDatabase" localSheetId="3" hidden="1">'Feature Study'!$A$1:$BC$184</definedName>
    <definedName name="_xlnm._FilterDatabase" localSheetId="15" hidden="1">'Fig 13. ContributionYear'!$Q$1:$S$106</definedName>
    <definedName name="_xlnm._FilterDatabase" localSheetId="17" hidden="1">'Fig 15. ResearchYear'!$Q$1:$S$66</definedName>
    <definedName name="_xlnm._FilterDatabase" localSheetId="22" hidden="1">'Fig 20. MVCharCM'!$Q$1:$S$121</definedName>
    <definedName name="_xlnm._FilterDatabase" localSheetId="27" hidden="1">'Fig 24. CDbyCType'!$Q$1:$S$121</definedName>
    <definedName name="_xlnm._FilterDatabase" localSheetId="26" hidden="1">'Fig 24. CDbyCType (old)'!$Q$1:$S$121</definedName>
    <definedName name="_xlnm._FilterDatabase" localSheetId="9" hidden="1">'Fig 5. and Fig6. QA Questions'!$A$1:$S$117</definedName>
    <definedName name="_xlnm._FilterDatabase" localSheetId="1" hidden="1">'Initial Search'!$A$1:$Z$374</definedName>
    <definedName name="_xlnm._FilterDatabase" localSheetId="4" hidden="1">'Quality Assessment '!$A$1:$S$117</definedName>
    <definedName name="_xlnm._FilterDatabase" localSheetId="6" hidden="1">'Systematic Mapping'!$A$1:$AA$114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16" i="55" l="1"/>
  <c r="M116" i="55"/>
  <c r="L116" i="55"/>
  <c r="K116" i="55"/>
  <c r="J116" i="55"/>
  <c r="I116" i="55"/>
  <c r="H116" i="55"/>
  <c r="R114" i="55"/>
  <c r="S114" i="55" s="1"/>
  <c r="G114" i="55"/>
  <c r="E114" i="55"/>
  <c r="D114" i="55"/>
  <c r="C114" i="55"/>
  <c r="B114" i="55"/>
  <c r="A114" i="55"/>
  <c r="R113" i="55"/>
  <c r="S113" i="55" s="1"/>
  <c r="G113" i="55"/>
  <c r="E113" i="55"/>
  <c r="D113" i="55"/>
  <c r="C113" i="55"/>
  <c r="B113" i="55"/>
  <c r="A113" i="55"/>
  <c r="R112" i="55"/>
  <c r="S112" i="55" s="1"/>
  <c r="G112" i="55"/>
  <c r="E112" i="55"/>
  <c r="D112" i="55"/>
  <c r="C112" i="55"/>
  <c r="B112" i="55"/>
  <c r="A112" i="55"/>
  <c r="R111" i="55"/>
  <c r="S111" i="55" s="1"/>
  <c r="G111" i="55"/>
  <c r="E111" i="55"/>
  <c r="D111" i="55"/>
  <c r="C111" i="55"/>
  <c r="B111" i="55"/>
  <c r="A111" i="55"/>
  <c r="R110" i="55"/>
  <c r="S110" i="55" s="1"/>
  <c r="G110" i="55"/>
  <c r="E110" i="55"/>
  <c r="D110" i="55"/>
  <c r="C110" i="55"/>
  <c r="B110" i="55"/>
  <c r="A110" i="55"/>
  <c r="R109" i="55"/>
  <c r="S109" i="55" s="1"/>
  <c r="G109" i="55"/>
  <c r="E109" i="55"/>
  <c r="D109" i="55"/>
  <c r="C109" i="55"/>
  <c r="B109" i="55"/>
  <c r="A109" i="55"/>
  <c r="R108" i="55"/>
  <c r="S108" i="55" s="1"/>
  <c r="G108" i="55"/>
  <c r="E108" i="55"/>
  <c r="D108" i="55"/>
  <c r="C108" i="55"/>
  <c r="B108" i="55"/>
  <c r="A108" i="55"/>
  <c r="R107" i="55"/>
  <c r="S107" i="55" s="1"/>
  <c r="G107" i="55"/>
  <c r="E107" i="55"/>
  <c r="D107" i="55"/>
  <c r="C107" i="55"/>
  <c r="B107" i="55"/>
  <c r="A107" i="55"/>
  <c r="R106" i="55"/>
  <c r="S106" i="55" s="1"/>
  <c r="G106" i="55"/>
  <c r="E106" i="55"/>
  <c r="D106" i="55"/>
  <c r="C106" i="55"/>
  <c r="B106" i="55"/>
  <c r="A106" i="55"/>
  <c r="R105" i="55"/>
  <c r="S105" i="55" s="1"/>
  <c r="G105" i="55"/>
  <c r="E105" i="55"/>
  <c r="D105" i="55"/>
  <c r="C105" i="55"/>
  <c r="B105" i="55"/>
  <c r="A105" i="55"/>
  <c r="R104" i="55"/>
  <c r="S104" i="55" s="1"/>
  <c r="G104" i="55"/>
  <c r="E104" i="55"/>
  <c r="D104" i="55"/>
  <c r="C104" i="55"/>
  <c r="B104" i="55"/>
  <c r="A104" i="55"/>
  <c r="R103" i="55"/>
  <c r="S103" i="55" s="1"/>
  <c r="G103" i="55"/>
  <c r="E103" i="55"/>
  <c r="D103" i="55"/>
  <c r="C103" i="55"/>
  <c r="B103" i="55"/>
  <c r="A103" i="55"/>
  <c r="R102" i="55"/>
  <c r="S102" i="55" s="1"/>
  <c r="G102" i="55"/>
  <c r="E102" i="55"/>
  <c r="D102" i="55"/>
  <c r="C102" i="55"/>
  <c r="B102" i="55"/>
  <c r="A102" i="55"/>
  <c r="R101" i="55"/>
  <c r="S101" i="55" s="1"/>
  <c r="G101" i="55"/>
  <c r="E101" i="55"/>
  <c r="D101" i="55"/>
  <c r="C101" i="55"/>
  <c r="B101" i="55"/>
  <c r="A101" i="55"/>
  <c r="R100" i="55"/>
  <c r="S100" i="55" s="1"/>
  <c r="G100" i="55"/>
  <c r="E100" i="55"/>
  <c r="D100" i="55"/>
  <c r="C100" i="55"/>
  <c r="B100" i="55"/>
  <c r="A100" i="55"/>
  <c r="R99" i="55"/>
  <c r="S99" i="55" s="1"/>
  <c r="G99" i="55"/>
  <c r="E99" i="55"/>
  <c r="D99" i="55"/>
  <c r="C99" i="55"/>
  <c r="B99" i="55"/>
  <c r="A99" i="55"/>
  <c r="R98" i="55"/>
  <c r="S98" i="55" s="1"/>
  <c r="G98" i="55"/>
  <c r="E98" i="55"/>
  <c r="D98" i="55"/>
  <c r="C98" i="55"/>
  <c r="B98" i="55"/>
  <c r="A98" i="55"/>
  <c r="R97" i="55"/>
  <c r="S97" i="55" s="1"/>
  <c r="G97" i="55"/>
  <c r="E97" i="55"/>
  <c r="D97" i="55"/>
  <c r="C97" i="55"/>
  <c r="B97" i="55"/>
  <c r="A97" i="55"/>
  <c r="R96" i="55"/>
  <c r="S96" i="55" s="1"/>
  <c r="G96" i="55"/>
  <c r="E96" i="55"/>
  <c r="D96" i="55"/>
  <c r="C96" i="55"/>
  <c r="B96" i="55"/>
  <c r="A96" i="55"/>
  <c r="R95" i="55"/>
  <c r="S95" i="55" s="1"/>
  <c r="G95" i="55"/>
  <c r="E95" i="55"/>
  <c r="D95" i="55"/>
  <c r="C95" i="55"/>
  <c r="B95" i="55"/>
  <c r="A95" i="55"/>
  <c r="R94" i="55"/>
  <c r="S94" i="55" s="1"/>
  <c r="G94" i="55"/>
  <c r="E94" i="55"/>
  <c r="D94" i="55"/>
  <c r="C94" i="55"/>
  <c r="B94" i="55"/>
  <c r="A94" i="55"/>
  <c r="R93" i="55"/>
  <c r="S93" i="55" s="1"/>
  <c r="G93" i="55"/>
  <c r="E93" i="55"/>
  <c r="D93" i="55"/>
  <c r="C93" i="55"/>
  <c r="B93" i="55"/>
  <c r="A93" i="55"/>
  <c r="R92" i="55"/>
  <c r="S92" i="55" s="1"/>
  <c r="G92" i="55"/>
  <c r="E92" i="55"/>
  <c r="D92" i="55"/>
  <c r="C92" i="55"/>
  <c r="B92" i="55"/>
  <c r="A92" i="55"/>
  <c r="R91" i="55"/>
  <c r="S91" i="55" s="1"/>
  <c r="G91" i="55"/>
  <c r="E91" i="55"/>
  <c r="D91" i="55"/>
  <c r="C91" i="55"/>
  <c r="B91" i="55"/>
  <c r="A91" i="55"/>
  <c r="R90" i="55"/>
  <c r="S90" i="55" s="1"/>
  <c r="G90" i="55"/>
  <c r="E90" i="55"/>
  <c r="D90" i="55"/>
  <c r="C90" i="55"/>
  <c r="B90" i="55"/>
  <c r="A90" i="55"/>
  <c r="R89" i="55"/>
  <c r="S89" i="55" s="1"/>
  <c r="G89" i="55"/>
  <c r="E89" i="55"/>
  <c r="D89" i="55"/>
  <c r="C89" i="55"/>
  <c r="B89" i="55"/>
  <c r="A89" i="55"/>
  <c r="R88" i="55"/>
  <c r="S88" i="55" s="1"/>
  <c r="G88" i="55"/>
  <c r="E88" i="55"/>
  <c r="D88" i="55"/>
  <c r="C88" i="55"/>
  <c r="B88" i="55"/>
  <c r="A88" i="55"/>
  <c r="R87" i="55"/>
  <c r="S87" i="55" s="1"/>
  <c r="G87" i="55"/>
  <c r="E87" i="55"/>
  <c r="D87" i="55"/>
  <c r="C87" i="55"/>
  <c r="B87" i="55"/>
  <c r="A87" i="55"/>
  <c r="R86" i="55"/>
  <c r="S86" i="55" s="1"/>
  <c r="G86" i="55"/>
  <c r="E86" i="55"/>
  <c r="D86" i="55"/>
  <c r="C86" i="55"/>
  <c r="B86" i="55"/>
  <c r="A86" i="55"/>
  <c r="R85" i="55"/>
  <c r="S85" i="55" s="1"/>
  <c r="G85" i="55"/>
  <c r="E85" i="55"/>
  <c r="D85" i="55"/>
  <c r="C85" i="55"/>
  <c r="B85" i="55"/>
  <c r="A85" i="55"/>
  <c r="R84" i="55"/>
  <c r="S84" i="55" s="1"/>
  <c r="G84" i="55"/>
  <c r="E84" i="55"/>
  <c r="D84" i="55"/>
  <c r="C84" i="55"/>
  <c r="B84" i="55"/>
  <c r="A84" i="55"/>
  <c r="R83" i="55"/>
  <c r="S83" i="55" s="1"/>
  <c r="G83" i="55"/>
  <c r="E83" i="55"/>
  <c r="D83" i="55"/>
  <c r="C83" i="55"/>
  <c r="B83" i="55"/>
  <c r="A83" i="55"/>
  <c r="R82" i="55"/>
  <c r="S82" i="55" s="1"/>
  <c r="G82" i="55"/>
  <c r="E82" i="55"/>
  <c r="D82" i="55"/>
  <c r="C82" i="55"/>
  <c r="B82" i="55"/>
  <c r="A82" i="55"/>
  <c r="R81" i="55"/>
  <c r="S81" i="55" s="1"/>
  <c r="G81" i="55"/>
  <c r="E81" i="55"/>
  <c r="D81" i="55"/>
  <c r="C81" i="55"/>
  <c r="B81" i="55"/>
  <c r="A81" i="55"/>
  <c r="R80" i="55"/>
  <c r="S80" i="55" s="1"/>
  <c r="G80" i="55"/>
  <c r="E80" i="55"/>
  <c r="D80" i="55"/>
  <c r="C80" i="55"/>
  <c r="B80" i="55"/>
  <c r="A80" i="55"/>
  <c r="R79" i="55"/>
  <c r="S79" i="55" s="1"/>
  <c r="G79" i="55"/>
  <c r="E79" i="55"/>
  <c r="D79" i="55"/>
  <c r="C79" i="55"/>
  <c r="B79" i="55"/>
  <c r="A79" i="55"/>
  <c r="R78" i="55"/>
  <c r="S78" i="55" s="1"/>
  <c r="G78" i="55"/>
  <c r="E78" i="55"/>
  <c r="D78" i="55"/>
  <c r="C78" i="55"/>
  <c r="B78" i="55"/>
  <c r="A78" i="55"/>
  <c r="R77" i="55"/>
  <c r="S77" i="55" s="1"/>
  <c r="G77" i="55"/>
  <c r="E77" i="55"/>
  <c r="D77" i="55"/>
  <c r="C77" i="55"/>
  <c r="B77" i="55"/>
  <c r="A77" i="55"/>
  <c r="R76" i="55"/>
  <c r="S76" i="55" s="1"/>
  <c r="G76" i="55"/>
  <c r="E76" i="55"/>
  <c r="D76" i="55"/>
  <c r="C76" i="55"/>
  <c r="B76" i="55"/>
  <c r="A76" i="55"/>
  <c r="R75" i="55"/>
  <c r="S75" i="55" s="1"/>
  <c r="G75" i="55"/>
  <c r="E75" i="55"/>
  <c r="D75" i="55"/>
  <c r="C75" i="55"/>
  <c r="B75" i="55"/>
  <c r="A75" i="55"/>
  <c r="R74" i="55"/>
  <c r="S74" i="55" s="1"/>
  <c r="G74" i="55"/>
  <c r="E74" i="55"/>
  <c r="D74" i="55"/>
  <c r="C74" i="55"/>
  <c r="B74" i="55"/>
  <c r="A74" i="55"/>
  <c r="R73" i="55"/>
  <c r="S73" i="55" s="1"/>
  <c r="G73" i="55"/>
  <c r="E73" i="55"/>
  <c r="D73" i="55"/>
  <c r="C73" i="55"/>
  <c r="B73" i="55"/>
  <c r="A73" i="55"/>
  <c r="R72" i="55"/>
  <c r="S72" i="55" s="1"/>
  <c r="G72" i="55"/>
  <c r="E72" i="55"/>
  <c r="D72" i="55"/>
  <c r="C72" i="55"/>
  <c r="B72" i="55"/>
  <c r="A72" i="55"/>
  <c r="R71" i="55"/>
  <c r="S71" i="55" s="1"/>
  <c r="G71" i="55"/>
  <c r="E71" i="55"/>
  <c r="D71" i="55"/>
  <c r="C71" i="55"/>
  <c r="B71" i="55"/>
  <c r="A71" i="55"/>
  <c r="R70" i="55"/>
  <c r="S70" i="55" s="1"/>
  <c r="G70" i="55"/>
  <c r="E70" i="55"/>
  <c r="D70" i="55"/>
  <c r="C70" i="55"/>
  <c r="B70" i="55"/>
  <c r="A70" i="55"/>
  <c r="R69" i="55"/>
  <c r="S69" i="55" s="1"/>
  <c r="G69" i="55"/>
  <c r="E69" i="55"/>
  <c r="D69" i="55"/>
  <c r="C69" i="55"/>
  <c r="B69" i="55"/>
  <c r="A69" i="55"/>
  <c r="R68" i="55"/>
  <c r="S68" i="55" s="1"/>
  <c r="G68" i="55"/>
  <c r="E68" i="55"/>
  <c r="D68" i="55"/>
  <c r="C68" i="55"/>
  <c r="B68" i="55"/>
  <c r="A68" i="55"/>
  <c r="R67" i="55"/>
  <c r="S67" i="55" s="1"/>
  <c r="G67" i="55"/>
  <c r="E67" i="55"/>
  <c r="D67" i="55"/>
  <c r="C67" i="55"/>
  <c r="B67" i="55"/>
  <c r="A67" i="55"/>
  <c r="R66" i="55"/>
  <c r="S66" i="55" s="1"/>
  <c r="G66" i="55"/>
  <c r="E66" i="55"/>
  <c r="D66" i="55"/>
  <c r="C66" i="55"/>
  <c r="B66" i="55"/>
  <c r="A66" i="55"/>
  <c r="R65" i="55"/>
  <c r="S65" i="55" s="1"/>
  <c r="G65" i="55"/>
  <c r="E65" i="55"/>
  <c r="D65" i="55"/>
  <c r="C65" i="55"/>
  <c r="B65" i="55"/>
  <c r="A65" i="55"/>
  <c r="R64" i="55"/>
  <c r="S64" i="55" s="1"/>
  <c r="G64" i="55"/>
  <c r="E64" i="55"/>
  <c r="D64" i="55"/>
  <c r="C64" i="55"/>
  <c r="B64" i="55"/>
  <c r="A64" i="55"/>
  <c r="R63" i="55"/>
  <c r="S63" i="55" s="1"/>
  <c r="G63" i="55"/>
  <c r="E63" i="55"/>
  <c r="D63" i="55"/>
  <c r="C63" i="55"/>
  <c r="B63" i="55"/>
  <c r="A63" i="55"/>
  <c r="R62" i="55"/>
  <c r="S62" i="55" s="1"/>
  <c r="G62" i="55"/>
  <c r="E62" i="55"/>
  <c r="D62" i="55"/>
  <c r="C62" i="55"/>
  <c r="B62" i="55"/>
  <c r="A62" i="55"/>
  <c r="R61" i="55"/>
  <c r="S61" i="55" s="1"/>
  <c r="G61" i="55"/>
  <c r="E61" i="55"/>
  <c r="D61" i="55"/>
  <c r="C61" i="55"/>
  <c r="B61" i="55"/>
  <c r="A61" i="55"/>
  <c r="R60" i="55"/>
  <c r="S60" i="55" s="1"/>
  <c r="G60" i="55"/>
  <c r="E60" i="55"/>
  <c r="D60" i="55"/>
  <c r="C60" i="55"/>
  <c r="B60" i="55"/>
  <c r="A60" i="55"/>
  <c r="R59" i="55"/>
  <c r="S59" i="55" s="1"/>
  <c r="G59" i="55"/>
  <c r="E59" i="55"/>
  <c r="D59" i="55"/>
  <c r="C59" i="55"/>
  <c r="B59" i="55"/>
  <c r="A59" i="55"/>
  <c r="R58" i="55"/>
  <c r="S58" i="55" s="1"/>
  <c r="G58" i="55"/>
  <c r="E58" i="55"/>
  <c r="D58" i="55"/>
  <c r="C58" i="55"/>
  <c r="B58" i="55"/>
  <c r="A58" i="55"/>
  <c r="R57" i="55"/>
  <c r="S57" i="55" s="1"/>
  <c r="G57" i="55"/>
  <c r="E57" i="55"/>
  <c r="D57" i="55"/>
  <c r="C57" i="55"/>
  <c r="B57" i="55"/>
  <c r="A57" i="55"/>
  <c r="R56" i="55"/>
  <c r="S56" i="55" s="1"/>
  <c r="G56" i="55"/>
  <c r="E56" i="55"/>
  <c r="D56" i="55"/>
  <c r="C56" i="55"/>
  <c r="B56" i="55"/>
  <c r="A56" i="55"/>
  <c r="R55" i="55"/>
  <c r="S55" i="55" s="1"/>
  <c r="G55" i="55"/>
  <c r="E55" i="55"/>
  <c r="D55" i="55"/>
  <c r="C55" i="55"/>
  <c r="B55" i="55"/>
  <c r="A55" i="55"/>
  <c r="R54" i="55"/>
  <c r="S54" i="55" s="1"/>
  <c r="G54" i="55"/>
  <c r="E54" i="55"/>
  <c r="D54" i="55"/>
  <c r="C54" i="55"/>
  <c r="B54" i="55"/>
  <c r="A54" i="55"/>
  <c r="R53" i="55"/>
  <c r="S53" i="55" s="1"/>
  <c r="G53" i="55"/>
  <c r="E53" i="55"/>
  <c r="D53" i="55"/>
  <c r="C53" i="55"/>
  <c r="B53" i="55"/>
  <c r="A53" i="55"/>
  <c r="R52" i="55"/>
  <c r="S52" i="55" s="1"/>
  <c r="G52" i="55"/>
  <c r="E52" i="55"/>
  <c r="D52" i="55"/>
  <c r="C52" i="55"/>
  <c r="B52" i="55"/>
  <c r="A52" i="55"/>
  <c r="R51" i="55"/>
  <c r="S51" i="55" s="1"/>
  <c r="G51" i="55"/>
  <c r="E51" i="55"/>
  <c r="D51" i="55"/>
  <c r="C51" i="55"/>
  <c r="B51" i="55"/>
  <c r="A51" i="55"/>
  <c r="R50" i="55"/>
  <c r="S50" i="55" s="1"/>
  <c r="G50" i="55"/>
  <c r="E50" i="55"/>
  <c r="D50" i="55"/>
  <c r="C50" i="55"/>
  <c r="B50" i="55"/>
  <c r="A50" i="55"/>
  <c r="R49" i="55"/>
  <c r="S49" i="55" s="1"/>
  <c r="G49" i="55"/>
  <c r="E49" i="55"/>
  <c r="D49" i="55"/>
  <c r="C49" i="55"/>
  <c r="B49" i="55"/>
  <c r="A49" i="55"/>
  <c r="R48" i="55"/>
  <c r="S48" i="55" s="1"/>
  <c r="G48" i="55"/>
  <c r="E48" i="55"/>
  <c r="D48" i="55"/>
  <c r="C48" i="55"/>
  <c r="B48" i="55"/>
  <c r="A48" i="55"/>
  <c r="R47" i="55"/>
  <c r="S47" i="55" s="1"/>
  <c r="G47" i="55"/>
  <c r="E47" i="55"/>
  <c r="D47" i="55"/>
  <c r="C47" i="55"/>
  <c r="B47" i="55"/>
  <c r="A47" i="55"/>
  <c r="R46" i="55"/>
  <c r="S46" i="55" s="1"/>
  <c r="G46" i="55"/>
  <c r="E46" i="55"/>
  <c r="D46" i="55"/>
  <c r="C46" i="55"/>
  <c r="B46" i="55"/>
  <c r="A46" i="55"/>
  <c r="R45" i="55"/>
  <c r="S45" i="55" s="1"/>
  <c r="G45" i="55"/>
  <c r="E45" i="55"/>
  <c r="D45" i="55"/>
  <c r="C45" i="55"/>
  <c r="B45" i="55"/>
  <c r="A45" i="55"/>
  <c r="R44" i="55"/>
  <c r="S44" i="55" s="1"/>
  <c r="G44" i="55"/>
  <c r="E44" i="55"/>
  <c r="D44" i="55"/>
  <c r="C44" i="55"/>
  <c r="B44" i="55"/>
  <c r="A44" i="55"/>
  <c r="R43" i="55"/>
  <c r="S43" i="55" s="1"/>
  <c r="G43" i="55"/>
  <c r="E43" i="55"/>
  <c r="D43" i="55"/>
  <c r="C43" i="55"/>
  <c r="B43" i="55"/>
  <c r="A43" i="55"/>
  <c r="R42" i="55"/>
  <c r="S42" i="55" s="1"/>
  <c r="G42" i="55"/>
  <c r="E42" i="55"/>
  <c r="D42" i="55"/>
  <c r="C42" i="55"/>
  <c r="B42" i="55"/>
  <c r="A42" i="55"/>
  <c r="R41" i="55"/>
  <c r="S41" i="55" s="1"/>
  <c r="G41" i="55"/>
  <c r="E41" i="55"/>
  <c r="D41" i="55"/>
  <c r="C41" i="55"/>
  <c r="B41" i="55"/>
  <c r="A41" i="55"/>
  <c r="R40" i="55"/>
  <c r="S40" i="55" s="1"/>
  <c r="G40" i="55"/>
  <c r="E40" i="55"/>
  <c r="D40" i="55"/>
  <c r="C40" i="55"/>
  <c r="B40" i="55"/>
  <c r="A40" i="55"/>
  <c r="R39" i="55"/>
  <c r="S39" i="55" s="1"/>
  <c r="G39" i="55"/>
  <c r="E39" i="55"/>
  <c r="D39" i="55"/>
  <c r="C39" i="55"/>
  <c r="B39" i="55"/>
  <c r="A39" i="55"/>
  <c r="S38" i="55"/>
  <c r="R38" i="55"/>
  <c r="G38" i="55"/>
  <c r="E38" i="55"/>
  <c r="D38" i="55"/>
  <c r="C38" i="55"/>
  <c r="B38" i="55"/>
  <c r="A38" i="55"/>
  <c r="R37" i="55"/>
  <c r="S37" i="55" s="1"/>
  <c r="G37" i="55"/>
  <c r="E37" i="55"/>
  <c r="D37" i="55"/>
  <c r="C37" i="55"/>
  <c r="B37" i="55"/>
  <c r="A37" i="55"/>
  <c r="R36" i="55"/>
  <c r="S36" i="55" s="1"/>
  <c r="G36" i="55"/>
  <c r="E36" i="55"/>
  <c r="D36" i="55"/>
  <c r="C36" i="55"/>
  <c r="B36" i="55"/>
  <c r="A36" i="55"/>
  <c r="R35" i="55"/>
  <c r="S35" i="55" s="1"/>
  <c r="G35" i="55"/>
  <c r="E35" i="55"/>
  <c r="D35" i="55"/>
  <c r="C35" i="55"/>
  <c r="B35" i="55"/>
  <c r="A35" i="55"/>
  <c r="R34" i="55"/>
  <c r="S34" i="55" s="1"/>
  <c r="G34" i="55"/>
  <c r="E34" i="55"/>
  <c r="D34" i="55"/>
  <c r="C34" i="55"/>
  <c r="B34" i="55"/>
  <c r="A34" i="55"/>
  <c r="R33" i="55"/>
  <c r="S33" i="55" s="1"/>
  <c r="G33" i="55"/>
  <c r="E33" i="55"/>
  <c r="D33" i="55"/>
  <c r="C33" i="55"/>
  <c r="B33" i="55"/>
  <c r="A33" i="55"/>
  <c r="R32" i="55"/>
  <c r="S32" i="55" s="1"/>
  <c r="G32" i="55"/>
  <c r="E32" i="55"/>
  <c r="D32" i="55"/>
  <c r="C32" i="55"/>
  <c r="B32" i="55"/>
  <c r="A32" i="55"/>
  <c r="R31" i="55"/>
  <c r="S31" i="55" s="1"/>
  <c r="G31" i="55"/>
  <c r="E31" i="55"/>
  <c r="D31" i="55"/>
  <c r="C31" i="55"/>
  <c r="B31" i="55"/>
  <c r="A31" i="55"/>
  <c r="R30" i="55"/>
  <c r="S30" i="55" s="1"/>
  <c r="G30" i="55"/>
  <c r="E30" i="55"/>
  <c r="D30" i="55"/>
  <c r="C30" i="55"/>
  <c r="B30" i="55"/>
  <c r="A30" i="55"/>
  <c r="R29" i="55"/>
  <c r="S29" i="55" s="1"/>
  <c r="G29" i="55"/>
  <c r="E29" i="55"/>
  <c r="D29" i="55"/>
  <c r="C29" i="55"/>
  <c r="B29" i="55"/>
  <c r="A29" i="55"/>
  <c r="R28" i="55"/>
  <c r="S28" i="55" s="1"/>
  <c r="G28" i="55"/>
  <c r="E28" i="55"/>
  <c r="D28" i="55"/>
  <c r="C28" i="55"/>
  <c r="B28" i="55"/>
  <c r="A28" i="55"/>
  <c r="R27" i="55"/>
  <c r="S27" i="55" s="1"/>
  <c r="G27" i="55"/>
  <c r="E27" i="55"/>
  <c r="D27" i="55"/>
  <c r="C27" i="55"/>
  <c r="B27" i="55"/>
  <c r="A27" i="55"/>
  <c r="R26" i="55"/>
  <c r="S26" i="55" s="1"/>
  <c r="G26" i="55"/>
  <c r="E26" i="55"/>
  <c r="D26" i="55"/>
  <c r="C26" i="55"/>
  <c r="B26" i="55"/>
  <c r="A26" i="55"/>
  <c r="R25" i="55"/>
  <c r="S25" i="55" s="1"/>
  <c r="G25" i="55"/>
  <c r="E25" i="55"/>
  <c r="D25" i="55"/>
  <c r="C25" i="55"/>
  <c r="B25" i="55"/>
  <c r="A25" i="55"/>
  <c r="R24" i="55"/>
  <c r="S24" i="55" s="1"/>
  <c r="G24" i="55"/>
  <c r="E24" i="55"/>
  <c r="D24" i="55"/>
  <c r="C24" i="55"/>
  <c r="B24" i="55"/>
  <c r="A24" i="55"/>
  <c r="R23" i="55"/>
  <c r="S23" i="55" s="1"/>
  <c r="G23" i="55"/>
  <c r="E23" i="55"/>
  <c r="D23" i="55"/>
  <c r="C23" i="55"/>
  <c r="B23" i="55"/>
  <c r="A23" i="55"/>
  <c r="R22" i="55"/>
  <c r="S22" i="55" s="1"/>
  <c r="G22" i="55"/>
  <c r="E22" i="55"/>
  <c r="D22" i="55"/>
  <c r="C22" i="55"/>
  <c r="B22" i="55"/>
  <c r="A22" i="55"/>
  <c r="R21" i="55"/>
  <c r="S21" i="55" s="1"/>
  <c r="G21" i="55"/>
  <c r="E21" i="55"/>
  <c r="D21" i="55"/>
  <c r="C21" i="55"/>
  <c r="B21" i="55"/>
  <c r="A21" i="55"/>
  <c r="R20" i="55"/>
  <c r="S20" i="55" s="1"/>
  <c r="G20" i="55"/>
  <c r="E20" i="55"/>
  <c r="D20" i="55"/>
  <c r="C20" i="55"/>
  <c r="B20" i="55"/>
  <c r="A20" i="55"/>
  <c r="R19" i="55"/>
  <c r="S19" i="55" s="1"/>
  <c r="G19" i="55"/>
  <c r="E19" i="55"/>
  <c r="D19" i="55"/>
  <c r="C19" i="55"/>
  <c r="B19" i="55"/>
  <c r="A19" i="55"/>
  <c r="R18" i="55"/>
  <c r="S18" i="55" s="1"/>
  <c r="G18" i="55"/>
  <c r="E18" i="55"/>
  <c r="D18" i="55"/>
  <c r="C18" i="55"/>
  <c r="B18" i="55"/>
  <c r="A18" i="55"/>
  <c r="R17" i="55"/>
  <c r="S17" i="55" s="1"/>
  <c r="G17" i="55"/>
  <c r="E17" i="55"/>
  <c r="D17" i="55"/>
  <c r="C17" i="55"/>
  <c r="B17" i="55"/>
  <c r="A17" i="55"/>
  <c r="R16" i="55"/>
  <c r="S16" i="55" s="1"/>
  <c r="G16" i="55"/>
  <c r="E16" i="55"/>
  <c r="D16" i="55"/>
  <c r="C16" i="55"/>
  <c r="B16" i="55"/>
  <c r="A16" i="55"/>
  <c r="AB15" i="55"/>
  <c r="AA15" i="55"/>
  <c r="Z15" i="55"/>
  <c r="S15" i="55"/>
  <c r="R15" i="55"/>
  <c r="G15" i="55"/>
  <c r="E15" i="55"/>
  <c r="D15" i="55"/>
  <c r="C15" i="55"/>
  <c r="B15" i="55"/>
  <c r="A15" i="55"/>
  <c r="AB14" i="55"/>
  <c r="Y14" i="55" s="1"/>
  <c r="AA14" i="55"/>
  <c r="Z14" i="55"/>
  <c r="R14" i="55"/>
  <c r="S14" i="55" s="1"/>
  <c r="G14" i="55"/>
  <c r="E14" i="55"/>
  <c r="D14" i="55"/>
  <c r="C14" i="55"/>
  <c r="B14" i="55"/>
  <c r="A14" i="55"/>
  <c r="AB13" i="55"/>
  <c r="AA13" i="55"/>
  <c r="Z13" i="55"/>
  <c r="Y13" i="55"/>
  <c r="X13" i="55" s="1"/>
  <c r="S13" i="55"/>
  <c r="R13" i="55"/>
  <c r="G13" i="55"/>
  <c r="E13" i="55"/>
  <c r="D13" i="55"/>
  <c r="C13" i="55"/>
  <c r="B13" i="55"/>
  <c r="A13" i="55"/>
  <c r="AB12" i="55"/>
  <c r="Y12" i="55" s="1"/>
  <c r="W12" i="55" s="1"/>
  <c r="AA12" i="55"/>
  <c r="Z12" i="55"/>
  <c r="R12" i="55"/>
  <c r="S12" i="55" s="1"/>
  <c r="G12" i="55"/>
  <c r="E12" i="55"/>
  <c r="D12" i="55"/>
  <c r="C12" i="55"/>
  <c r="B12" i="55"/>
  <c r="A12" i="55"/>
  <c r="AB11" i="55"/>
  <c r="AA11" i="55"/>
  <c r="Y11" i="55" s="1"/>
  <c r="Z11" i="55"/>
  <c r="R11" i="55"/>
  <c r="S11" i="55" s="1"/>
  <c r="G11" i="55"/>
  <c r="E11" i="55"/>
  <c r="D11" i="55"/>
  <c r="C11" i="55"/>
  <c r="B11" i="55"/>
  <c r="A11" i="55"/>
  <c r="AB10" i="55"/>
  <c r="AA10" i="55"/>
  <c r="Z10" i="55"/>
  <c r="R10" i="55"/>
  <c r="S10" i="55" s="1"/>
  <c r="G10" i="55"/>
  <c r="E10" i="55"/>
  <c r="D10" i="55"/>
  <c r="C10" i="55"/>
  <c r="B10" i="55"/>
  <c r="A10" i="55"/>
  <c r="AB9" i="55"/>
  <c r="Y9" i="55" s="1"/>
  <c r="V9" i="55" s="1"/>
  <c r="AA9" i="55"/>
  <c r="Z9" i="55"/>
  <c r="R9" i="55"/>
  <c r="S9" i="55" s="1"/>
  <c r="G9" i="55"/>
  <c r="E9" i="55"/>
  <c r="D9" i="55"/>
  <c r="C9" i="55"/>
  <c r="B9" i="55"/>
  <c r="A9" i="55"/>
  <c r="AB8" i="55"/>
  <c r="AA8" i="55"/>
  <c r="Y8" i="55" s="1"/>
  <c r="Z8" i="55"/>
  <c r="R8" i="55"/>
  <c r="S8" i="55" s="1"/>
  <c r="G8" i="55"/>
  <c r="E8" i="55"/>
  <c r="D8" i="55"/>
  <c r="C8" i="55"/>
  <c r="B8" i="55"/>
  <c r="A8" i="55"/>
  <c r="AB7" i="55"/>
  <c r="AA7" i="55"/>
  <c r="Y7" i="55" s="1"/>
  <c r="X7" i="55" s="1"/>
  <c r="Z7" i="55"/>
  <c r="R7" i="55"/>
  <c r="S7" i="55" s="1"/>
  <c r="G7" i="55"/>
  <c r="E7" i="55"/>
  <c r="D7" i="55"/>
  <c r="C7" i="55"/>
  <c r="B7" i="55"/>
  <c r="A7" i="55"/>
  <c r="AB6" i="55"/>
  <c r="AA6" i="55"/>
  <c r="Z6" i="55"/>
  <c r="V6" i="55" s="1"/>
  <c r="Y6" i="55"/>
  <c r="X6" i="55" s="1"/>
  <c r="S6" i="55"/>
  <c r="R6" i="55"/>
  <c r="G6" i="55"/>
  <c r="E6" i="55"/>
  <c r="D6" i="55"/>
  <c r="C6" i="55"/>
  <c r="B6" i="55"/>
  <c r="A6" i="55"/>
  <c r="S5" i="55"/>
  <c r="R5" i="55"/>
  <c r="G5" i="55"/>
  <c r="E5" i="55"/>
  <c r="D5" i="55"/>
  <c r="C5" i="55"/>
  <c r="B5" i="55"/>
  <c r="A5" i="55"/>
  <c r="S4" i="55"/>
  <c r="R4" i="55"/>
  <c r="G4" i="55"/>
  <c r="E4" i="55"/>
  <c r="D4" i="55"/>
  <c r="C4" i="55"/>
  <c r="B4" i="55"/>
  <c r="A4" i="55"/>
  <c r="S3" i="55"/>
  <c r="R3" i="55"/>
  <c r="G3" i="55"/>
  <c r="E3" i="55"/>
  <c r="D3" i="55"/>
  <c r="C3" i="55"/>
  <c r="B3" i="55"/>
  <c r="A3" i="55"/>
  <c r="B6" i="22"/>
  <c r="C5" i="22"/>
  <c r="B5" i="22"/>
  <c r="X8" i="55" l="1"/>
  <c r="W9" i="55"/>
  <c r="X11" i="55"/>
  <c r="V11" i="55"/>
  <c r="V8" i="55"/>
  <c r="V13" i="55"/>
  <c r="X12" i="55"/>
  <c r="W13" i="55"/>
  <c r="R116" i="55"/>
  <c r="R117" i="55" s="1"/>
  <c r="W38" i="55"/>
  <c r="Y10" i="55"/>
  <c r="S119" i="55"/>
  <c r="W7" i="55"/>
  <c r="W11" i="55"/>
  <c r="V12" i="55"/>
  <c r="V14" i="55"/>
  <c r="W37" i="55"/>
  <c r="K117" i="55"/>
  <c r="X9" i="55"/>
  <c r="W14" i="55"/>
  <c r="S118" i="55"/>
  <c r="W8" i="55"/>
  <c r="X14" i="55"/>
  <c r="M117" i="55"/>
  <c r="W6" i="55"/>
  <c r="V7" i="55"/>
  <c r="Y15" i="55"/>
  <c r="V15" i="55" s="1"/>
  <c r="B6" i="54"/>
  <c r="C6" i="54" s="1"/>
  <c r="B5" i="54"/>
  <c r="C5" i="54" s="1"/>
  <c r="B4" i="54"/>
  <c r="C4" i="54" s="1"/>
  <c r="B3" i="54"/>
  <c r="C3" i="54" s="1"/>
  <c r="B2" i="54"/>
  <c r="C2" i="54" s="1"/>
  <c r="S14" i="53"/>
  <c r="S10" i="53"/>
  <c r="S6" i="53"/>
  <c r="S15" i="53"/>
  <c r="S11" i="53"/>
  <c r="S7" i="53"/>
  <c r="S16" i="53"/>
  <c r="S12" i="53"/>
  <c r="S8" i="53"/>
  <c r="S17" i="53"/>
  <c r="S13" i="53"/>
  <c r="S9" i="53"/>
  <c r="S5" i="53"/>
  <c r="S4" i="53"/>
  <c r="S3" i="53"/>
  <c r="S2" i="53"/>
  <c r="B5" i="52"/>
  <c r="B4" i="52"/>
  <c r="B3" i="52"/>
  <c r="H117" i="55" l="1"/>
  <c r="W15" i="55"/>
  <c r="J117" i="55"/>
  <c r="X15" i="55"/>
  <c r="I117" i="55"/>
  <c r="W10" i="55"/>
  <c r="V10" i="55"/>
  <c r="X10" i="55"/>
  <c r="N117" i="55"/>
  <c r="L117" i="55"/>
  <c r="C5" i="52"/>
  <c r="C4" i="52"/>
  <c r="C3" i="52"/>
  <c r="C75" i="12"/>
  <c r="C78" i="12" s="1"/>
  <c r="C73" i="12"/>
  <c r="Q73" i="12"/>
  <c r="T73" i="12"/>
  <c r="CF73" i="12"/>
  <c r="BB75" i="12"/>
  <c r="BB78" i="12" s="1"/>
  <c r="BB73" i="12"/>
  <c r="C7" i="7"/>
  <c r="D7" i="7"/>
  <c r="D6" i="7"/>
  <c r="C6" i="7"/>
  <c r="D5" i="7"/>
  <c r="C5" i="7"/>
  <c r="D4" i="7"/>
  <c r="C4" i="7"/>
  <c r="D3" i="7"/>
  <c r="C3" i="7"/>
  <c r="D2" i="7"/>
  <c r="C2" i="7"/>
  <c r="C165" i="4"/>
  <c r="A86" i="33"/>
  <c r="X75" i="12"/>
  <c r="V75" i="12"/>
  <c r="U75" i="12"/>
  <c r="S75" i="12"/>
  <c r="R75" i="12"/>
  <c r="M75" i="12"/>
  <c r="L75" i="12"/>
  <c r="K75" i="12"/>
  <c r="J75" i="12"/>
  <c r="I75" i="12"/>
  <c r="H75" i="12"/>
  <c r="G75" i="12"/>
  <c r="F75" i="12"/>
  <c r="E75" i="12"/>
  <c r="D75" i="12"/>
  <c r="CI75" i="12"/>
  <c r="CI77" i="12" s="1"/>
  <c r="B6" i="23"/>
  <c r="B5" i="23"/>
  <c r="B7" i="23"/>
  <c r="B4" i="23"/>
  <c r="B5" i="18"/>
  <c r="B4" i="51"/>
  <c r="B3" i="51"/>
  <c r="B2" i="51"/>
  <c r="B34" i="7"/>
  <c r="K7" i="2"/>
  <c r="J7" i="2"/>
  <c r="B7" i="7" s="1"/>
  <c r="K6" i="2"/>
  <c r="J6" i="2"/>
  <c r="K5" i="2"/>
  <c r="J5" i="2"/>
  <c r="K4" i="2"/>
  <c r="J4" i="2"/>
  <c r="K3" i="2"/>
  <c r="J3" i="2"/>
  <c r="K2" i="2"/>
  <c r="J2" i="2"/>
  <c r="C29" i="7"/>
  <c r="S2" i="49"/>
  <c r="BE75" i="12"/>
  <c r="BF75" i="12"/>
  <c r="BF77" i="12" s="1"/>
  <c r="S9" i="49"/>
  <c r="S8" i="49"/>
  <c r="S7" i="49"/>
  <c r="S6" i="49"/>
  <c r="S5" i="49"/>
  <c r="S4" i="49"/>
  <c r="S3" i="49"/>
  <c r="H116" i="33"/>
  <c r="Z15" i="33"/>
  <c r="Z14" i="33"/>
  <c r="Z13" i="33"/>
  <c r="Z12" i="33"/>
  <c r="Z11" i="33"/>
  <c r="Z10" i="33"/>
  <c r="Z9" i="33"/>
  <c r="Z8" i="33"/>
  <c r="Z7" i="33"/>
  <c r="Z6" i="33"/>
  <c r="AA15" i="33"/>
  <c r="AA14" i="33"/>
  <c r="AA13" i="33"/>
  <c r="AA12" i="33"/>
  <c r="AA11" i="33"/>
  <c r="AA10" i="33"/>
  <c r="AA9" i="33"/>
  <c r="AA8" i="33"/>
  <c r="AA7" i="33"/>
  <c r="AA6" i="33"/>
  <c r="AB15" i="33"/>
  <c r="AB14" i="33"/>
  <c r="AB13" i="33"/>
  <c r="AB12" i="33"/>
  <c r="AB11" i="33"/>
  <c r="AB10" i="33"/>
  <c r="AB9" i="33"/>
  <c r="AB8" i="33"/>
  <c r="AB7" i="33"/>
  <c r="AB6" i="33"/>
  <c r="G19" i="4"/>
  <c r="F166" i="4"/>
  <c r="C77" i="12" l="1"/>
  <c r="C5" i="18"/>
  <c r="B3" i="18"/>
  <c r="C3" i="18" s="1"/>
  <c r="B4" i="18"/>
  <c r="C4" i="18" s="1"/>
  <c r="BB77" i="12"/>
  <c r="BE77" i="12"/>
  <c r="B6" i="51"/>
  <c r="C4" i="51" s="1"/>
  <c r="J8" i="2"/>
  <c r="K10" i="2" s="1"/>
  <c r="K8" i="2"/>
  <c r="G9" i="4"/>
  <c r="G20" i="4"/>
  <c r="C4" i="23"/>
  <c r="C5" i="23"/>
  <c r="BE73" i="12"/>
  <c r="BE78" i="12" s="1"/>
  <c r="BF73" i="12"/>
  <c r="BF78" i="12" s="1"/>
  <c r="S2" i="42"/>
  <c r="D112" i="15"/>
  <c r="C105" i="33"/>
  <c r="C104" i="33"/>
  <c r="D105" i="15"/>
  <c r="D104" i="15"/>
  <c r="G137" i="4"/>
  <c r="C86" i="33"/>
  <c r="D86" i="15"/>
  <c r="C3" i="51" l="1"/>
  <c r="C2" i="51"/>
  <c r="K11" i="2"/>
  <c r="K12" i="2" s="1"/>
  <c r="L10" i="2"/>
  <c r="H114" i="15"/>
  <c r="H113" i="15"/>
  <c r="H112" i="15"/>
  <c r="H111" i="15"/>
  <c r="H110" i="15"/>
  <c r="H108" i="15"/>
  <c r="H107" i="15"/>
  <c r="H106" i="15"/>
  <c r="H105" i="15"/>
  <c r="H104" i="15"/>
  <c r="H103" i="15"/>
  <c r="H102" i="15"/>
  <c r="H101" i="15"/>
  <c r="H100" i="15"/>
  <c r="H99" i="15"/>
  <c r="H98" i="15"/>
  <c r="H97" i="15"/>
  <c r="H96" i="15"/>
  <c r="H95" i="15"/>
  <c r="H94" i="15"/>
  <c r="H93" i="15"/>
  <c r="H92" i="15"/>
  <c r="H91" i="15"/>
  <c r="H90" i="15"/>
  <c r="H89" i="15"/>
  <c r="H88" i="15"/>
  <c r="H87" i="15"/>
  <c r="H86" i="15"/>
  <c r="H109" i="15"/>
  <c r="A114" i="15"/>
  <c r="A113" i="15"/>
  <c r="A112" i="15"/>
  <c r="A111" i="15"/>
  <c r="A110" i="15"/>
  <c r="A108" i="15"/>
  <c r="A107" i="15"/>
  <c r="A106" i="15"/>
  <c r="A105" i="15"/>
  <c r="A104" i="15"/>
  <c r="A103" i="15"/>
  <c r="A102" i="15"/>
  <c r="A101" i="15"/>
  <c r="A100" i="15"/>
  <c r="A99" i="15"/>
  <c r="A98" i="15"/>
  <c r="A97" i="15"/>
  <c r="A96" i="15"/>
  <c r="A95" i="15"/>
  <c r="A94" i="15"/>
  <c r="A93" i="15"/>
  <c r="A92" i="15"/>
  <c r="A91" i="15"/>
  <c r="A90" i="15"/>
  <c r="A89" i="15"/>
  <c r="A88" i="15"/>
  <c r="A87" i="15"/>
  <c r="A86" i="15"/>
  <c r="A109" i="15"/>
  <c r="B114" i="15"/>
  <c r="C114" i="15"/>
  <c r="D114" i="15"/>
  <c r="E114" i="15"/>
  <c r="F114" i="15"/>
  <c r="F113" i="15"/>
  <c r="E113" i="15"/>
  <c r="D113" i="15"/>
  <c r="C113" i="15"/>
  <c r="B113" i="15"/>
  <c r="F112" i="15"/>
  <c r="E112" i="15"/>
  <c r="C112" i="15"/>
  <c r="B112" i="15"/>
  <c r="F111" i="15"/>
  <c r="E111" i="15"/>
  <c r="D111" i="15"/>
  <c r="C111" i="15"/>
  <c r="B111" i="15"/>
  <c r="F110" i="15"/>
  <c r="E110" i="15"/>
  <c r="D110" i="15"/>
  <c r="C110" i="15"/>
  <c r="B110" i="15"/>
  <c r="D109" i="15"/>
  <c r="F108" i="15"/>
  <c r="E108" i="15"/>
  <c r="D108" i="15"/>
  <c r="C108" i="15"/>
  <c r="B108" i="15"/>
  <c r="F107" i="15"/>
  <c r="E107" i="15"/>
  <c r="D107" i="15"/>
  <c r="C107" i="15"/>
  <c r="B107" i="15"/>
  <c r="F106" i="15"/>
  <c r="E106" i="15"/>
  <c r="D106" i="15"/>
  <c r="C106" i="15"/>
  <c r="B106" i="15"/>
  <c r="F105" i="15"/>
  <c r="E105" i="15"/>
  <c r="C105" i="15"/>
  <c r="B105" i="15"/>
  <c r="F104" i="15"/>
  <c r="E104" i="15"/>
  <c r="C104" i="15"/>
  <c r="B104" i="15"/>
  <c r="F103" i="15"/>
  <c r="E103" i="15"/>
  <c r="D103" i="15"/>
  <c r="C103" i="15"/>
  <c r="B103" i="15"/>
  <c r="F102" i="15"/>
  <c r="E102" i="15"/>
  <c r="D102" i="15"/>
  <c r="C102" i="15"/>
  <c r="B102" i="15"/>
  <c r="F101" i="15"/>
  <c r="E101" i="15"/>
  <c r="D101" i="15"/>
  <c r="C101" i="15"/>
  <c r="B101" i="15"/>
  <c r="F100" i="15"/>
  <c r="E100" i="15"/>
  <c r="D100" i="15"/>
  <c r="C100" i="15"/>
  <c r="B100" i="15"/>
  <c r="F99" i="15"/>
  <c r="E99" i="15"/>
  <c r="D99" i="15"/>
  <c r="C99" i="15"/>
  <c r="B99" i="15"/>
  <c r="F98" i="15"/>
  <c r="E98" i="15"/>
  <c r="D98" i="15"/>
  <c r="C98" i="15"/>
  <c r="B98" i="15"/>
  <c r="F97" i="15"/>
  <c r="E97" i="15"/>
  <c r="D97" i="15"/>
  <c r="C97" i="15"/>
  <c r="B97" i="15"/>
  <c r="F96" i="15"/>
  <c r="E96" i="15"/>
  <c r="D96" i="15"/>
  <c r="C96" i="15"/>
  <c r="B96" i="15"/>
  <c r="F95" i="15"/>
  <c r="E95" i="15"/>
  <c r="D95" i="15"/>
  <c r="C95" i="15"/>
  <c r="B95" i="15"/>
  <c r="F94" i="15"/>
  <c r="E94" i="15"/>
  <c r="D94" i="15"/>
  <c r="C94" i="15"/>
  <c r="B94" i="15"/>
  <c r="F93" i="15"/>
  <c r="E93" i="15"/>
  <c r="D93" i="15"/>
  <c r="C93" i="15"/>
  <c r="B93" i="15"/>
  <c r="F92" i="15"/>
  <c r="E92" i="15"/>
  <c r="D92" i="15"/>
  <c r="C92" i="15"/>
  <c r="B92" i="15"/>
  <c r="F91" i="15"/>
  <c r="E91" i="15"/>
  <c r="D91" i="15"/>
  <c r="C91" i="15"/>
  <c r="B91" i="15"/>
  <c r="F90" i="15"/>
  <c r="E90" i="15"/>
  <c r="D90" i="15"/>
  <c r="C90" i="15"/>
  <c r="B90" i="15"/>
  <c r="F89" i="15"/>
  <c r="E89" i="15"/>
  <c r="D89" i="15"/>
  <c r="C89" i="15"/>
  <c r="B89" i="15"/>
  <c r="F88" i="15"/>
  <c r="E88" i="15"/>
  <c r="D88" i="15"/>
  <c r="C88" i="15"/>
  <c r="B88" i="15"/>
  <c r="F87" i="15"/>
  <c r="E87" i="15"/>
  <c r="D87" i="15"/>
  <c r="C87" i="15"/>
  <c r="B87" i="15"/>
  <c r="F86" i="15"/>
  <c r="E86" i="15"/>
  <c r="C86" i="15"/>
  <c r="B86" i="15"/>
  <c r="B109" i="15"/>
  <c r="C109" i="15"/>
  <c r="E109" i="15"/>
  <c r="F109" i="15"/>
  <c r="D54" i="15"/>
  <c r="H54" i="15"/>
  <c r="C54" i="15"/>
  <c r="E54" i="15"/>
  <c r="F54" i="15"/>
  <c r="B54" i="15"/>
  <c r="B11" i="48" l="1"/>
  <c r="C11" i="48" s="1"/>
  <c r="G92" i="33"/>
  <c r="N11" i="2"/>
  <c r="N7" i="2"/>
  <c r="N6" i="2"/>
  <c r="N5" i="2"/>
  <c r="N4" i="2"/>
  <c r="N3" i="2"/>
  <c r="N2" i="2"/>
  <c r="M7" i="2"/>
  <c r="D34" i="7" s="1"/>
  <c r="M6" i="2"/>
  <c r="D33" i="7" s="1"/>
  <c r="M5" i="2"/>
  <c r="D32" i="7" s="1"/>
  <c r="M4" i="2"/>
  <c r="D31" i="7" s="1"/>
  <c r="M3" i="2"/>
  <c r="D30" i="7" s="1"/>
  <c r="M2" i="2"/>
  <c r="D29" i="7" s="1"/>
  <c r="N116" i="33"/>
  <c r="M116" i="33"/>
  <c r="L116" i="33"/>
  <c r="K116" i="33"/>
  <c r="J116" i="33"/>
  <c r="I116" i="33"/>
  <c r="R95" i="33"/>
  <c r="S95" i="33" s="1"/>
  <c r="C95" i="33"/>
  <c r="A95" i="33"/>
  <c r="B95" i="33"/>
  <c r="D95" i="33"/>
  <c r="E95" i="33"/>
  <c r="G95" i="33"/>
  <c r="C183" i="4"/>
  <c r="D183" i="4"/>
  <c r="E183" i="4"/>
  <c r="F183" i="4"/>
  <c r="G183" i="4"/>
  <c r="R114" i="33"/>
  <c r="S114" i="33" s="1"/>
  <c r="G114" i="33"/>
  <c r="E114" i="33"/>
  <c r="D114" i="33"/>
  <c r="C114" i="33"/>
  <c r="B114" i="33"/>
  <c r="A114" i="33"/>
  <c r="G182" i="4"/>
  <c r="F182" i="4"/>
  <c r="E182" i="4"/>
  <c r="D182" i="4"/>
  <c r="C182" i="4"/>
  <c r="R53" i="33"/>
  <c r="S53" i="33" s="1"/>
  <c r="G54" i="33"/>
  <c r="G53" i="33"/>
  <c r="E54" i="33"/>
  <c r="E53" i="33"/>
  <c r="D54" i="33"/>
  <c r="D53" i="33"/>
  <c r="C54" i="33"/>
  <c r="C53" i="33"/>
  <c r="A54" i="33"/>
  <c r="B54" i="33"/>
  <c r="B53" i="33"/>
  <c r="A53" i="33"/>
  <c r="G181" i="4"/>
  <c r="F181" i="4"/>
  <c r="E181" i="4"/>
  <c r="D181" i="4"/>
  <c r="C181" i="4"/>
  <c r="C180" i="4"/>
  <c r="D180" i="4"/>
  <c r="E180" i="4"/>
  <c r="F180" i="4"/>
  <c r="G180" i="4"/>
  <c r="R110" i="33"/>
  <c r="S110" i="33" s="1"/>
  <c r="G110" i="33"/>
  <c r="E110" i="33"/>
  <c r="D110" i="33"/>
  <c r="C110" i="33"/>
  <c r="B110" i="33"/>
  <c r="A110" i="33"/>
  <c r="G179" i="4"/>
  <c r="F179" i="4"/>
  <c r="E179" i="4"/>
  <c r="D179" i="4"/>
  <c r="C179" i="4"/>
  <c r="B2" i="8"/>
  <c r="C2" i="8"/>
  <c r="D2" i="8"/>
  <c r="R113" i="33"/>
  <c r="S113" i="33" s="1"/>
  <c r="G113" i="33"/>
  <c r="E113" i="33"/>
  <c r="D113" i="33"/>
  <c r="B113" i="33"/>
  <c r="A113" i="33"/>
  <c r="C113" i="33"/>
  <c r="AB15" i="11"/>
  <c r="G178" i="4"/>
  <c r="F178" i="4"/>
  <c r="E178" i="4"/>
  <c r="D178" i="4"/>
  <c r="C178" i="4"/>
  <c r="A112" i="33"/>
  <c r="B112" i="33"/>
  <c r="D112" i="33"/>
  <c r="E112" i="33"/>
  <c r="G112" i="33"/>
  <c r="C112" i="33"/>
  <c r="G177" i="4"/>
  <c r="F177" i="4"/>
  <c r="E177" i="4"/>
  <c r="D177" i="4"/>
  <c r="C177" i="4"/>
  <c r="R112" i="33"/>
  <c r="S112" i="33" s="1"/>
  <c r="R111" i="33"/>
  <c r="S111" i="33" s="1"/>
  <c r="A111" i="33"/>
  <c r="G111" i="33"/>
  <c r="E111" i="33"/>
  <c r="D111" i="33"/>
  <c r="C111" i="33"/>
  <c r="B111" i="33"/>
  <c r="G176" i="4"/>
  <c r="F176" i="4"/>
  <c r="E176" i="4"/>
  <c r="D176" i="4"/>
  <c r="C176" i="4"/>
  <c r="R98" i="33"/>
  <c r="S98" i="33" s="1"/>
  <c r="B123" i="4"/>
  <c r="R108" i="33"/>
  <c r="S108" i="33" s="1"/>
  <c r="A108" i="33"/>
  <c r="C108" i="33"/>
  <c r="B108" i="33"/>
  <c r="D108" i="33"/>
  <c r="E108" i="33"/>
  <c r="G108" i="33"/>
  <c r="CI73" i="12"/>
  <c r="CI78" i="12" s="1"/>
  <c r="G94" i="33"/>
  <c r="G93" i="33"/>
  <c r="E94" i="33"/>
  <c r="E93" i="33"/>
  <c r="E92" i="33"/>
  <c r="D94" i="33"/>
  <c r="D93" i="33"/>
  <c r="D92" i="33"/>
  <c r="C92" i="33"/>
  <c r="C93" i="33"/>
  <c r="C94" i="33"/>
  <c r="A94" i="33"/>
  <c r="A93" i="33"/>
  <c r="A92" i="33"/>
  <c r="B94" i="33"/>
  <c r="B93" i="33"/>
  <c r="B92" i="33"/>
  <c r="A90" i="33"/>
  <c r="B90" i="33"/>
  <c r="C90" i="33"/>
  <c r="D90" i="33"/>
  <c r="E90" i="33"/>
  <c r="G90" i="33"/>
  <c r="R91" i="33"/>
  <c r="S91" i="33" s="1"/>
  <c r="R92" i="33"/>
  <c r="S92" i="33" s="1"/>
  <c r="R93" i="33"/>
  <c r="S93" i="33" s="1"/>
  <c r="G91" i="33"/>
  <c r="E91" i="33"/>
  <c r="D91" i="33"/>
  <c r="C91" i="33"/>
  <c r="B91" i="33"/>
  <c r="A91" i="33"/>
  <c r="G175" i="4"/>
  <c r="G174" i="4"/>
  <c r="F175" i="4"/>
  <c r="F174" i="4"/>
  <c r="E175" i="4"/>
  <c r="E174" i="4"/>
  <c r="D175" i="4"/>
  <c r="D174" i="4"/>
  <c r="C175" i="4"/>
  <c r="C174" i="4"/>
  <c r="C173" i="4"/>
  <c r="D173" i="4"/>
  <c r="E173" i="4"/>
  <c r="F173" i="4"/>
  <c r="G173" i="4"/>
  <c r="G98" i="33"/>
  <c r="E98" i="33"/>
  <c r="D98" i="33"/>
  <c r="C98" i="33"/>
  <c r="B98" i="33"/>
  <c r="A98" i="33"/>
  <c r="C172" i="4"/>
  <c r="D172" i="4"/>
  <c r="E172" i="4"/>
  <c r="F172" i="4"/>
  <c r="G172" i="4"/>
  <c r="G171" i="4"/>
  <c r="F171" i="4"/>
  <c r="E171" i="4"/>
  <c r="D171" i="4"/>
  <c r="C171" i="4"/>
  <c r="R109" i="33"/>
  <c r="S109" i="33" s="1"/>
  <c r="G109" i="33"/>
  <c r="E109" i="33"/>
  <c r="D109" i="33"/>
  <c r="B109" i="33"/>
  <c r="A109" i="33"/>
  <c r="C109" i="33"/>
  <c r="B100" i="4"/>
  <c r="D100" i="4"/>
  <c r="E100" i="4"/>
  <c r="F100" i="4"/>
  <c r="G100" i="4"/>
  <c r="G74" i="4"/>
  <c r="G73" i="4"/>
  <c r="G72" i="4"/>
  <c r="G71" i="4"/>
  <c r="G70" i="4"/>
  <c r="AB18" i="11" s="1"/>
  <c r="G68" i="4"/>
  <c r="G67" i="4"/>
  <c r="G66" i="4"/>
  <c r="G65" i="4"/>
  <c r="G64" i="4"/>
  <c r="G63" i="4"/>
  <c r="G60" i="4"/>
  <c r="G58" i="4"/>
  <c r="G57" i="4"/>
  <c r="G54" i="4"/>
  <c r="G55" i="4"/>
  <c r="G50" i="4"/>
  <c r="G47" i="4"/>
  <c r="G46" i="4"/>
  <c r="G45" i="4"/>
  <c r="G44" i="4"/>
  <c r="G42" i="4"/>
  <c r="G40" i="4"/>
  <c r="G39" i="4"/>
  <c r="G37" i="4"/>
  <c r="G36" i="4"/>
  <c r="AB17" i="11" s="1"/>
  <c r="G35" i="4"/>
  <c r="G32" i="4"/>
  <c r="G29" i="4"/>
  <c r="G26" i="4"/>
  <c r="G21" i="4"/>
  <c r="G18" i="4"/>
  <c r="G10" i="4"/>
  <c r="G8" i="4"/>
  <c r="G133" i="4"/>
  <c r="AT19" i="11" s="1"/>
  <c r="G170" i="4"/>
  <c r="F170" i="4"/>
  <c r="E170" i="4"/>
  <c r="D170" i="4"/>
  <c r="C170" i="4"/>
  <c r="U2" i="8"/>
  <c r="V2" i="8"/>
  <c r="E107" i="33"/>
  <c r="R107" i="33"/>
  <c r="S107" i="33" s="1"/>
  <c r="G107" i="33"/>
  <c r="D107" i="33"/>
  <c r="A107" i="33"/>
  <c r="C107" i="33"/>
  <c r="B107" i="33"/>
  <c r="G169" i="4"/>
  <c r="F169" i="4"/>
  <c r="E169" i="4"/>
  <c r="D169" i="4"/>
  <c r="C169" i="4"/>
  <c r="B169" i="4"/>
  <c r="R105" i="33"/>
  <c r="S105" i="33" s="1"/>
  <c r="R106" i="33"/>
  <c r="S106" i="33" s="1"/>
  <c r="C106" i="33"/>
  <c r="A106" i="33"/>
  <c r="B106" i="33"/>
  <c r="D106" i="33"/>
  <c r="E106" i="33"/>
  <c r="G106" i="33"/>
  <c r="G168" i="4"/>
  <c r="F168" i="4"/>
  <c r="E168" i="4"/>
  <c r="D168" i="4"/>
  <c r="C168" i="4"/>
  <c r="B168" i="4"/>
  <c r="R104" i="33"/>
  <c r="S104" i="33" s="1"/>
  <c r="G105" i="33"/>
  <c r="G104" i="33"/>
  <c r="E104" i="33"/>
  <c r="E105" i="33"/>
  <c r="D105" i="33"/>
  <c r="D104" i="33"/>
  <c r="A104" i="33"/>
  <c r="A105" i="33"/>
  <c r="B105" i="33"/>
  <c r="B104" i="33"/>
  <c r="G167" i="4"/>
  <c r="F167" i="4"/>
  <c r="E167" i="4"/>
  <c r="D167" i="4"/>
  <c r="C167" i="4"/>
  <c r="B167" i="4"/>
  <c r="R103" i="33"/>
  <c r="S103" i="33" s="1"/>
  <c r="A103" i="33"/>
  <c r="B103" i="33"/>
  <c r="C103" i="33"/>
  <c r="D103" i="33"/>
  <c r="E103" i="33"/>
  <c r="G103" i="33"/>
  <c r="R102" i="33"/>
  <c r="S102" i="33" s="1"/>
  <c r="A102" i="33"/>
  <c r="G102" i="33"/>
  <c r="E102" i="33"/>
  <c r="D102" i="33"/>
  <c r="C102" i="33"/>
  <c r="B102" i="33"/>
  <c r="F163" i="4"/>
  <c r="R101" i="33"/>
  <c r="S101" i="33" s="1"/>
  <c r="C101" i="33"/>
  <c r="A101" i="33"/>
  <c r="B101" i="33"/>
  <c r="D101" i="33"/>
  <c r="E101" i="33"/>
  <c r="G101" i="33"/>
  <c r="R100" i="33"/>
  <c r="S100" i="33" s="1"/>
  <c r="G100" i="33"/>
  <c r="E100" i="33"/>
  <c r="D100" i="33"/>
  <c r="C100" i="33"/>
  <c r="B100" i="33"/>
  <c r="A100" i="33"/>
  <c r="G162" i="4"/>
  <c r="F162" i="4"/>
  <c r="E162" i="4"/>
  <c r="D162" i="4"/>
  <c r="B162" i="4"/>
  <c r="C162" i="4"/>
  <c r="R99" i="33"/>
  <c r="S99" i="33" s="1"/>
  <c r="C99" i="33"/>
  <c r="A99" i="33"/>
  <c r="B99" i="33"/>
  <c r="D99" i="33"/>
  <c r="E99" i="33"/>
  <c r="G99" i="33"/>
  <c r="B137" i="4"/>
  <c r="R97" i="33"/>
  <c r="S97" i="33" s="1"/>
  <c r="G97" i="33"/>
  <c r="E97" i="33"/>
  <c r="D97" i="33"/>
  <c r="B97" i="33"/>
  <c r="C97" i="33"/>
  <c r="A97" i="33"/>
  <c r="G161" i="4"/>
  <c r="F161" i="4"/>
  <c r="E161" i="4"/>
  <c r="D161" i="4"/>
  <c r="B161" i="4"/>
  <c r="C161" i="4"/>
  <c r="F2" i="8"/>
  <c r="E2" i="8"/>
  <c r="R96" i="33"/>
  <c r="S96" i="33" s="1"/>
  <c r="C96" i="33"/>
  <c r="A96" i="33"/>
  <c r="B96" i="33"/>
  <c r="D96" i="33"/>
  <c r="E96" i="33"/>
  <c r="G96" i="33"/>
  <c r="G14" i="4"/>
  <c r="R90" i="33"/>
  <c r="S90" i="33" s="1"/>
  <c r="R94" i="33"/>
  <c r="S94" i="33" s="1"/>
  <c r="G83" i="4"/>
  <c r="G160" i="4"/>
  <c r="F160" i="4"/>
  <c r="E160" i="4"/>
  <c r="D160" i="4"/>
  <c r="C160" i="4"/>
  <c r="B160" i="4"/>
  <c r="R89" i="33"/>
  <c r="G89" i="33"/>
  <c r="E89" i="33"/>
  <c r="D89" i="33"/>
  <c r="A89" i="33"/>
  <c r="C89" i="33"/>
  <c r="B89" i="33"/>
  <c r="R88" i="33"/>
  <c r="S88" i="33" s="1"/>
  <c r="A88" i="33"/>
  <c r="B88" i="33"/>
  <c r="C88" i="33"/>
  <c r="D88" i="33"/>
  <c r="E88" i="33"/>
  <c r="G88" i="33"/>
  <c r="G159" i="4"/>
  <c r="F159" i="4"/>
  <c r="E159" i="4"/>
  <c r="D159" i="4"/>
  <c r="C159" i="4"/>
  <c r="B159" i="4"/>
  <c r="R87" i="33"/>
  <c r="S87" i="33" s="1"/>
  <c r="G87" i="33"/>
  <c r="E87" i="33"/>
  <c r="D87" i="33"/>
  <c r="C87" i="33"/>
  <c r="B133" i="4"/>
  <c r="B87" i="33"/>
  <c r="A87" i="33"/>
  <c r="R86" i="33"/>
  <c r="G86" i="33"/>
  <c r="E86" i="33"/>
  <c r="D86" i="33"/>
  <c r="B86" i="33"/>
  <c r="G158" i="4"/>
  <c r="F158" i="4"/>
  <c r="E158" i="4"/>
  <c r="B158" i="4"/>
  <c r="C158" i="4"/>
  <c r="D158" i="4"/>
  <c r="G157" i="4"/>
  <c r="F157" i="4"/>
  <c r="E157" i="4"/>
  <c r="D157" i="4"/>
  <c r="C157" i="4"/>
  <c r="B157" i="4"/>
  <c r="D163" i="4"/>
  <c r="E163" i="4"/>
  <c r="G163" i="4"/>
  <c r="D164" i="4"/>
  <c r="E164" i="4"/>
  <c r="F164" i="4"/>
  <c r="G164" i="4"/>
  <c r="D165" i="4"/>
  <c r="E165" i="4"/>
  <c r="F165" i="4"/>
  <c r="G165" i="4"/>
  <c r="D166" i="4"/>
  <c r="E166" i="4"/>
  <c r="G166" i="4"/>
  <c r="C163" i="4"/>
  <c r="C164" i="4"/>
  <c r="C166" i="4"/>
  <c r="B163" i="4"/>
  <c r="B164" i="4"/>
  <c r="B165" i="4"/>
  <c r="B166" i="4"/>
  <c r="G79" i="4"/>
  <c r="G78" i="4"/>
  <c r="G77" i="4"/>
  <c r="G6" i="4"/>
  <c r="G7" i="4"/>
  <c r="G11" i="4"/>
  <c r="G12" i="4"/>
  <c r="G13" i="4"/>
  <c r="G15" i="4"/>
  <c r="G16" i="4"/>
  <c r="G17" i="4"/>
  <c r="G22" i="4"/>
  <c r="G23" i="4"/>
  <c r="G24" i="4"/>
  <c r="G25" i="4"/>
  <c r="G27" i="4"/>
  <c r="G28" i="4"/>
  <c r="G30" i="4"/>
  <c r="G31" i="4"/>
  <c r="G33" i="4"/>
  <c r="G34" i="4"/>
  <c r="G38" i="4"/>
  <c r="G41" i="4"/>
  <c r="G43" i="4"/>
  <c r="G48" i="4"/>
  <c r="G49" i="4"/>
  <c r="G51" i="4"/>
  <c r="G52" i="4"/>
  <c r="G53" i="4"/>
  <c r="G56" i="4"/>
  <c r="G59" i="4"/>
  <c r="G61" i="4"/>
  <c r="G62" i="4"/>
  <c r="G69" i="4"/>
  <c r="G75" i="4"/>
  <c r="G76" i="4"/>
  <c r="AB21" i="11" l="1"/>
  <c r="AX36" i="11"/>
  <c r="AT20" i="11"/>
  <c r="M8" i="2"/>
  <c r="N10" i="2" s="1"/>
  <c r="N12" i="2" s="1"/>
  <c r="AB16" i="11"/>
  <c r="AB19" i="11"/>
  <c r="AB9" i="11"/>
  <c r="AB22" i="11"/>
  <c r="AN6" i="11"/>
  <c r="Z10" i="11"/>
  <c r="Z9" i="11"/>
  <c r="S89" i="33"/>
  <c r="S86" i="33"/>
  <c r="B7" i="46"/>
  <c r="C7" i="46" s="1"/>
  <c r="B6" i="46"/>
  <c r="C6" i="46" s="1"/>
  <c r="B5" i="46"/>
  <c r="C5" i="46" s="1"/>
  <c r="B4" i="46"/>
  <c r="C4" i="46" s="1"/>
  <c r="B3" i="46"/>
  <c r="C3" i="46" s="1"/>
  <c r="S81" i="42"/>
  <c r="S121" i="42"/>
  <c r="S111" i="42"/>
  <c r="S106" i="42"/>
  <c r="S101" i="42"/>
  <c r="S91" i="42"/>
  <c r="S86" i="42"/>
  <c r="S71" i="42"/>
  <c r="S66" i="42"/>
  <c r="S56" i="42"/>
  <c r="S51" i="42"/>
  <c r="S41" i="42"/>
  <c r="S36" i="42"/>
  <c r="S26" i="42"/>
  <c r="S21" i="42"/>
  <c r="S16" i="42"/>
  <c r="S11" i="42"/>
  <c r="S6" i="42"/>
  <c r="S120" i="42"/>
  <c r="S110" i="42"/>
  <c r="S105" i="42"/>
  <c r="S100" i="42"/>
  <c r="S90" i="42"/>
  <c r="S85" i="42"/>
  <c r="S80" i="42"/>
  <c r="S70" i="42"/>
  <c r="S65" i="42"/>
  <c r="S55" i="42"/>
  <c r="S50" i="42"/>
  <c r="S40" i="42"/>
  <c r="S35" i="42"/>
  <c r="S25" i="42"/>
  <c r="S20" i="42"/>
  <c r="S15" i="42"/>
  <c r="S10" i="42"/>
  <c r="S5" i="42"/>
  <c r="S119" i="42"/>
  <c r="S109" i="42"/>
  <c r="S104" i="42"/>
  <c r="S99" i="42"/>
  <c r="S89" i="42"/>
  <c r="S84" i="42"/>
  <c r="S79" i="42"/>
  <c r="S69" i="42"/>
  <c r="S64" i="42"/>
  <c r="S54" i="42"/>
  <c r="S49" i="42"/>
  <c r="S39" i="42"/>
  <c r="S34" i="42"/>
  <c r="S24" i="42"/>
  <c r="S19" i="42"/>
  <c r="S14" i="42"/>
  <c r="S9" i="42"/>
  <c r="S4" i="42"/>
  <c r="S118" i="42"/>
  <c r="S108" i="42"/>
  <c r="S103" i="42"/>
  <c r="S98" i="42"/>
  <c r="S88" i="42"/>
  <c r="S83" i="42"/>
  <c r="S78" i="42"/>
  <c r="S68" i="42"/>
  <c r="S63" i="42"/>
  <c r="S53" i="42"/>
  <c r="S48" i="42"/>
  <c r="S38" i="42"/>
  <c r="S33" i="42"/>
  <c r="S23" i="42"/>
  <c r="S18" i="42"/>
  <c r="S13" i="42"/>
  <c r="S8" i="42"/>
  <c r="S3" i="42"/>
  <c r="S7" i="42"/>
  <c r="S117" i="42"/>
  <c r="S107" i="42"/>
  <c r="S102" i="42"/>
  <c r="S97" i="42"/>
  <c r="S87" i="42"/>
  <c r="S82" i="42"/>
  <c r="S77" i="42"/>
  <c r="S67" i="42"/>
  <c r="S62" i="42"/>
  <c r="S52" i="42"/>
  <c r="S47" i="42"/>
  <c r="S37" i="42"/>
  <c r="S32" i="42"/>
  <c r="S22" i="42"/>
  <c r="S17" i="42"/>
  <c r="S12" i="42"/>
  <c r="B6" i="41" l="1"/>
  <c r="C6" i="41" s="1"/>
  <c r="B5" i="41"/>
  <c r="C5" i="41" s="1"/>
  <c r="B4" i="41"/>
  <c r="C4" i="41" s="1"/>
  <c r="B3" i="41"/>
  <c r="C3" i="41" s="1"/>
  <c r="B2" i="41"/>
  <c r="C2" i="41" s="1"/>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B6" i="36"/>
  <c r="C6" i="36" s="1"/>
  <c r="B5" i="36"/>
  <c r="C5" i="36" s="1"/>
  <c r="B4" i="36"/>
  <c r="C4" i="36" s="1"/>
  <c r="B3" i="36"/>
  <c r="C3" i="36" s="1"/>
  <c r="B2" i="36"/>
  <c r="B4" i="37"/>
  <c r="B2" i="37"/>
  <c r="B3" i="37"/>
  <c r="B36" i="35"/>
  <c r="C36" i="35" s="1"/>
  <c r="B35" i="35"/>
  <c r="C35" i="35" s="1"/>
  <c r="B32" i="35"/>
  <c r="C32" i="35" s="1"/>
  <c r="B31" i="35"/>
  <c r="C31" i="35" s="1"/>
  <c r="B30" i="35"/>
  <c r="C30" i="35" s="1"/>
  <c r="B27" i="35"/>
  <c r="C27" i="35" s="1"/>
  <c r="B26" i="35"/>
  <c r="B25" i="35" s="1"/>
  <c r="C25" i="35" s="1"/>
  <c r="B21" i="35"/>
  <c r="C21" i="35" s="1"/>
  <c r="B16" i="35"/>
  <c r="C16" i="35" s="1"/>
  <c r="B11" i="35"/>
  <c r="C11" i="35" s="1"/>
  <c r="B10" i="35"/>
  <c r="C10" i="35" s="1"/>
  <c r="B7" i="35"/>
  <c r="C7" i="35" s="1"/>
  <c r="B6" i="35"/>
  <c r="C6" i="35" s="1"/>
  <c r="B5" i="35"/>
  <c r="C5" i="35" s="1"/>
  <c r="B4" i="35"/>
  <c r="C4" i="35" s="1"/>
  <c r="B3" i="35"/>
  <c r="C3" i="35" s="1"/>
  <c r="C30" i="7"/>
  <c r="C31" i="7"/>
  <c r="C32" i="7"/>
  <c r="C34" i="7"/>
  <c r="G6" i="2"/>
  <c r="C33" i="7"/>
  <c r="R85" i="33"/>
  <c r="S85" i="33" s="1"/>
  <c r="G85" i="33"/>
  <c r="E85" i="33"/>
  <c r="D85" i="33"/>
  <c r="C85" i="33"/>
  <c r="B85" i="33"/>
  <c r="A85" i="33"/>
  <c r="R84" i="33"/>
  <c r="S84" i="33" s="1"/>
  <c r="G84" i="33"/>
  <c r="E84" i="33"/>
  <c r="D84" i="33"/>
  <c r="C84" i="33"/>
  <c r="B84" i="33"/>
  <c r="A84" i="33"/>
  <c r="R83" i="33"/>
  <c r="S83" i="33" s="1"/>
  <c r="G83" i="33"/>
  <c r="E83" i="33"/>
  <c r="D83" i="33"/>
  <c r="C83" i="33"/>
  <c r="B83" i="33"/>
  <c r="A83" i="33"/>
  <c r="R82" i="33"/>
  <c r="S82" i="33" s="1"/>
  <c r="G82" i="33"/>
  <c r="E82" i="33"/>
  <c r="D82" i="33"/>
  <c r="C82" i="33"/>
  <c r="B82" i="33"/>
  <c r="A82" i="33"/>
  <c r="R81" i="33"/>
  <c r="S81" i="33" s="1"/>
  <c r="G81" i="33"/>
  <c r="E81" i="33"/>
  <c r="D81" i="33"/>
  <c r="C81" i="33"/>
  <c r="B81" i="33"/>
  <c r="A81" i="33"/>
  <c r="R80" i="33"/>
  <c r="S80" i="33" s="1"/>
  <c r="G80" i="33"/>
  <c r="E80" i="33"/>
  <c r="D80" i="33"/>
  <c r="C80" i="33"/>
  <c r="B80" i="33"/>
  <c r="A80" i="33"/>
  <c r="R79" i="33"/>
  <c r="S79" i="33" s="1"/>
  <c r="G79" i="33"/>
  <c r="E79" i="33"/>
  <c r="D79" i="33"/>
  <c r="C79" i="33"/>
  <c r="B79" i="33"/>
  <c r="A79" i="33"/>
  <c r="R78" i="33"/>
  <c r="S78" i="33" s="1"/>
  <c r="G78" i="33"/>
  <c r="E78" i="33"/>
  <c r="D78" i="33"/>
  <c r="C78" i="33"/>
  <c r="B78" i="33"/>
  <c r="A78" i="33"/>
  <c r="R77" i="33"/>
  <c r="S77" i="33" s="1"/>
  <c r="G77" i="33"/>
  <c r="E77" i="33"/>
  <c r="D77" i="33"/>
  <c r="C77" i="33"/>
  <c r="B77" i="33"/>
  <c r="A77" i="33"/>
  <c r="R76" i="33"/>
  <c r="S76" i="33" s="1"/>
  <c r="G76" i="33"/>
  <c r="E76" i="33"/>
  <c r="D76" i="33"/>
  <c r="C76" i="33"/>
  <c r="B76" i="33"/>
  <c r="A76" i="33"/>
  <c r="R75" i="33"/>
  <c r="S75" i="33" s="1"/>
  <c r="G75" i="33"/>
  <c r="E75" i="33"/>
  <c r="D75" i="33"/>
  <c r="C75" i="33"/>
  <c r="B75" i="33"/>
  <c r="A75" i="33"/>
  <c r="R74" i="33"/>
  <c r="S74" i="33" s="1"/>
  <c r="G74" i="33"/>
  <c r="E74" i="33"/>
  <c r="D74" i="33"/>
  <c r="C74" i="33"/>
  <c r="B74" i="33"/>
  <c r="A74" i="33"/>
  <c r="R73" i="33"/>
  <c r="S73" i="33" s="1"/>
  <c r="G73" i="33"/>
  <c r="E73" i="33"/>
  <c r="D73" i="33"/>
  <c r="C73" i="33"/>
  <c r="B73" i="33"/>
  <c r="A73" i="33"/>
  <c r="R72" i="33"/>
  <c r="S72" i="33" s="1"/>
  <c r="G72" i="33"/>
  <c r="E72" i="33"/>
  <c r="D72" i="33"/>
  <c r="C72" i="33"/>
  <c r="B72" i="33"/>
  <c r="A72" i="33"/>
  <c r="R71" i="33"/>
  <c r="S71" i="33" s="1"/>
  <c r="G71" i="33"/>
  <c r="E71" i="33"/>
  <c r="D71" i="33"/>
  <c r="C71" i="33"/>
  <c r="B71" i="33"/>
  <c r="A71" i="33"/>
  <c r="R70" i="33"/>
  <c r="S70" i="33" s="1"/>
  <c r="G70" i="33"/>
  <c r="E70" i="33"/>
  <c r="D70" i="33"/>
  <c r="C70" i="33"/>
  <c r="B70" i="33"/>
  <c r="A70" i="33"/>
  <c r="R69" i="33"/>
  <c r="S69" i="33" s="1"/>
  <c r="G69" i="33"/>
  <c r="E69" i="33"/>
  <c r="D69" i="33"/>
  <c r="C69" i="33"/>
  <c r="B69" i="33"/>
  <c r="A69" i="33"/>
  <c r="R68" i="33"/>
  <c r="S68" i="33" s="1"/>
  <c r="G68" i="33"/>
  <c r="E68" i="33"/>
  <c r="D68" i="33"/>
  <c r="C68" i="33"/>
  <c r="B68" i="33"/>
  <c r="A68" i="33"/>
  <c r="R67" i="33"/>
  <c r="S67" i="33" s="1"/>
  <c r="G67" i="33"/>
  <c r="E67" i="33"/>
  <c r="D67" i="33"/>
  <c r="C67" i="33"/>
  <c r="B67" i="33"/>
  <c r="A67" i="33"/>
  <c r="R66" i="33"/>
  <c r="S66" i="33" s="1"/>
  <c r="G66" i="33"/>
  <c r="E66" i="33"/>
  <c r="D66" i="33"/>
  <c r="C66" i="33"/>
  <c r="B66" i="33"/>
  <c r="A66" i="33"/>
  <c r="R65" i="33"/>
  <c r="S65" i="33" s="1"/>
  <c r="G65" i="33"/>
  <c r="E65" i="33"/>
  <c r="D65" i="33"/>
  <c r="C65" i="33"/>
  <c r="B65" i="33"/>
  <c r="A65" i="33"/>
  <c r="R64" i="33"/>
  <c r="S64" i="33" s="1"/>
  <c r="G64" i="33"/>
  <c r="E64" i="33"/>
  <c r="D64" i="33"/>
  <c r="C64" i="33"/>
  <c r="B64" i="33"/>
  <c r="A64" i="33"/>
  <c r="R63" i="33"/>
  <c r="S63" i="33" s="1"/>
  <c r="G63" i="33"/>
  <c r="E63" i="33"/>
  <c r="D63" i="33"/>
  <c r="C63" i="33"/>
  <c r="B63" i="33"/>
  <c r="A63" i="33"/>
  <c r="R62" i="33"/>
  <c r="S62" i="33" s="1"/>
  <c r="G62" i="33"/>
  <c r="E62" i="33"/>
  <c r="D62" i="33"/>
  <c r="C62" i="33"/>
  <c r="B62" i="33"/>
  <c r="A62" i="33"/>
  <c r="R61" i="33"/>
  <c r="S61" i="33" s="1"/>
  <c r="G61" i="33"/>
  <c r="E61" i="33"/>
  <c r="D61" i="33"/>
  <c r="C61" i="33"/>
  <c r="B61" i="33"/>
  <c r="A61" i="33"/>
  <c r="R60" i="33"/>
  <c r="S60" i="33" s="1"/>
  <c r="G60" i="33"/>
  <c r="E60" i="33"/>
  <c r="D60" i="33"/>
  <c r="C60" i="33"/>
  <c r="B60" i="33"/>
  <c r="A60" i="33"/>
  <c r="R59" i="33"/>
  <c r="S59" i="33" s="1"/>
  <c r="G59" i="33"/>
  <c r="E59" i="33"/>
  <c r="D59" i="33"/>
  <c r="C59" i="33"/>
  <c r="B59" i="33"/>
  <c r="A59" i="33"/>
  <c r="R58" i="33"/>
  <c r="S58" i="33" s="1"/>
  <c r="G58" i="33"/>
  <c r="E58" i="33"/>
  <c r="D58" i="33"/>
  <c r="C58" i="33"/>
  <c r="B58" i="33"/>
  <c r="A58" i="33"/>
  <c r="R57" i="33"/>
  <c r="S57" i="33" s="1"/>
  <c r="G57" i="33"/>
  <c r="E57" i="33"/>
  <c r="D57" i="33"/>
  <c r="C57" i="33"/>
  <c r="B57" i="33"/>
  <c r="A57" i="33"/>
  <c r="R56" i="33"/>
  <c r="S56" i="33" s="1"/>
  <c r="G56" i="33"/>
  <c r="E56" i="33"/>
  <c r="D56" i="33"/>
  <c r="C56" i="33"/>
  <c r="B56" i="33"/>
  <c r="A56" i="33"/>
  <c r="R55" i="33"/>
  <c r="S55" i="33" s="1"/>
  <c r="G55" i="33"/>
  <c r="E55" i="33"/>
  <c r="D55" i="33"/>
  <c r="C55" i="33"/>
  <c r="B55" i="33"/>
  <c r="A55" i="33"/>
  <c r="R54" i="33"/>
  <c r="S54" i="33" s="1"/>
  <c r="R52" i="33"/>
  <c r="S52" i="33" s="1"/>
  <c r="G52" i="33"/>
  <c r="E52" i="33"/>
  <c r="D52" i="33"/>
  <c r="C52" i="33"/>
  <c r="B52" i="33"/>
  <c r="A52" i="33"/>
  <c r="R51" i="33"/>
  <c r="S51" i="33" s="1"/>
  <c r="G51" i="33"/>
  <c r="E51" i="33"/>
  <c r="D51" i="33"/>
  <c r="C51" i="33"/>
  <c r="B51" i="33"/>
  <c r="A51" i="33"/>
  <c r="R50" i="33"/>
  <c r="S50" i="33" s="1"/>
  <c r="G50" i="33"/>
  <c r="E50" i="33"/>
  <c r="D50" i="33"/>
  <c r="C50" i="33"/>
  <c r="B50" i="33"/>
  <c r="A50" i="33"/>
  <c r="R49" i="33"/>
  <c r="S49" i="33" s="1"/>
  <c r="G49" i="33"/>
  <c r="E49" i="33"/>
  <c r="D49" i="33"/>
  <c r="C49" i="33"/>
  <c r="B49" i="33"/>
  <c r="A49" i="33"/>
  <c r="R48" i="33"/>
  <c r="S48" i="33" s="1"/>
  <c r="G48" i="33"/>
  <c r="E48" i="33"/>
  <c r="D48" i="33"/>
  <c r="C48" i="33"/>
  <c r="B48" i="33"/>
  <c r="A48" i="33"/>
  <c r="R47" i="33"/>
  <c r="S47" i="33" s="1"/>
  <c r="G47" i="33"/>
  <c r="E47" i="33"/>
  <c r="D47" i="33"/>
  <c r="C47" i="33"/>
  <c r="B47" i="33"/>
  <c r="A47" i="33"/>
  <c r="R46" i="33"/>
  <c r="S46" i="33" s="1"/>
  <c r="G46" i="33"/>
  <c r="E46" i="33"/>
  <c r="D46" i="33"/>
  <c r="C46" i="33"/>
  <c r="B46" i="33"/>
  <c r="A46" i="33"/>
  <c r="R45" i="33"/>
  <c r="S45" i="33" s="1"/>
  <c r="G45" i="33"/>
  <c r="E45" i="33"/>
  <c r="D45" i="33"/>
  <c r="C45" i="33"/>
  <c r="B45" i="33"/>
  <c r="A45" i="33"/>
  <c r="R44" i="33"/>
  <c r="S44" i="33" s="1"/>
  <c r="G44" i="33"/>
  <c r="E44" i="33"/>
  <c r="D44" i="33"/>
  <c r="C44" i="33"/>
  <c r="B44" i="33"/>
  <c r="A44" i="33"/>
  <c r="R43" i="33"/>
  <c r="S43" i="33" s="1"/>
  <c r="G43" i="33"/>
  <c r="E43" i="33"/>
  <c r="D43" i="33"/>
  <c r="C43" i="33"/>
  <c r="B43" i="33"/>
  <c r="A43" i="33"/>
  <c r="R42" i="33"/>
  <c r="S42" i="33" s="1"/>
  <c r="G42" i="33"/>
  <c r="E42" i="33"/>
  <c r="D42" i="33"/>
  <c r="C42" i="33"/>
  <c r="B42" i="33"/>
  <c r="A42" i="33"/>
  <c r="R41" i="33"/>
  <c r="S41" i="33" s="1"/>
  <c r="G41" i="33"/>
  <c r="E41" i="33"/>
  <c r="D41" i="33"/>
  <c r="C41" i="33"/>
  <c r="B41" i="33"/>
  <c r="A41" i="33"/>
  <c r="R40" i="33"/>
  <c r="S40" i="33" s="1"/>
  <c r="G40" i="33"/>
  <c r="E40" i="33"/>
  <c r="D40" i="33"/>
  <c r="C40" i="33"/>
  <c r="B40" i="33"/>
  <c r="A40" i="33"/>
  <c r="R39" i="33"/>
  <c r="S39" i="33" s="1"/>
  <c r="G39" i="33"/>
  <c r="E39" i="33"/>
  <c r="D39" i="33"/>
  <c r="C39" i="33"/>
  <c r="B39" i="33"/>
  <c r="A39" i="33"/>
  <c r="R38" i="33"/>
  <c r="S38" i="33" s="1"/>
  <c r="G38" i="33"/>
  <c r="E38" i="33"/>
  <c r="D38" i="33"/>
  <c r="C38" i="33"/>
  <c r="B38" i="33"/>
  <c r="A38" i="33"/>
  <c r="R37" i="33"/>
  <c r="S37" i="33" s="1"/>
  <c r="G37" i="33"/>
  <c r="E37" i="33"/>
  <c r="D37" i="33"/>
  <c r="C37" i="33"/>
  <c r="B37" i="33"/>
  <c r="A37" i="33"/>
  <c r="R36" i="33"/>
  <c r="S36" i="33" s="1"/>
  <c r="G36" i="33"/>
  <c r="E36" i="33"/>
  <c r="D36" i="33"/>
  <c r="C36" i="33"/>
  <c r="B36" i="33"/>
  <c r="A36" i="33"/>
  <c r="R35" i="33"/>
  <c r="S35" i="33" s="1"/>
  <c r="G35" i="33"/>
  <c r="E35" i="33"/>
  <c r="D35" i="33"/>
  <c r="C35" i="33"/>
  <c r="B35" i="33"/>
  <c r="A35" i="33"/>
  <c r="R34" i="33"/>
  <c r="S34" i="33" s="1"/>
  <c r="G34" i="33"/>
  <c r="E34" i="33"/>
  <c r="D34" i="33"/>
  <c r="C34" i="33"/>
  <c r="B34" i="33"/>
  <c r="A34" i="33"/>
  <c r="R33" i="33"/>
  <c r="S33" i="33" s="1"/>
  <c r="G33" i="33"/>
  <c r="E33" i="33"/>
  <c r="D33" i="33"/>
  <c r="C33" i="33"/>
  <c r="B33" i="33"/>
  <c r="A33" i="33"/>
  <c r="R32" i="33"/>
  <c r="S32" i="33" s="1"/>
  <c r="G32" i="33"/>
  <c r="E32" i="33"/>
  <c r="D32" i="33"/>
  <c r="C32" i="33"/>
  <c r="B32" i="33"/>
  <c r="A32" i="33"/>
  <c r="R31" i="33"/>
  <c r="S31" i="33" s="1"/>
  <c r="G31" i="33"/>
  <c r="E31" i="33"/>
  <c r="D31" i="33"/>
  <c r="C31" i="33"/>
  <c r="B31" i="33"/>
  <c r="A31" i="33"/>
  <c r="R30" i="33"/>
  <c r="S30" i="33" s="1"/>
  <c r="G30" i="33"/>
  <c r="E30" i="33"/>
  <c r="D30" i="33"/>
  <c r="C30" i="33"/>
  <c r="B30" i="33"/>
  <c r="A30" i="33"/>
  <c r="R29" i="33"/>
  <c r="S29" i="33" s="1"/>
  <c r="G29" i="33"/>
  <c r="E29" i="33"/>
  <c r="D29" i="33"/>
  <c r="C29" i="33"/>
  <c r="B29" i="33"/>
  <c r="A29" i="33"/>
  <c r="R28" i="33"/>
  <c r="S28" i="33" s="1"/>
  <c r="G28" i="33"/>
  <c r="E28" i="33"/>
  <c r="D28" i="33"/>
  <c r="C28" i="33"/>
  <c r="B28" i="33"/>
  <c r="A28" i="33"/>
  <c r="R27" i="33"/>
  <c r="S27" i="33" s="1"/>
  <c r="G27" i="33"/>
  <c r="E27" i="33"/>
  <c r="D27" i="33"/>
  <c r="C27" i="33"/>
  <c r="B27" i="33"/>
  <c r="A27" i="33"/>
  <c r="R26" i="33"/>
  <c r="S26" i="33" s="1"/>
  <c r="G26" i="33"/>
  <c r="E26" i="33"/>
  <c r="D26" i="33"/>
  <c r="C26" i="33"/>
  <c r="B26" i="33"/>
  <c r="A26" i="33"/>
  <c r="R25" i="33"/>
  <c r="S25" i="33" s="1"/>
  <c r="G25" i="33"/>
  <c r="E25" i="33"/>
  <c r="D25" i="33"/>
  <c r="C25" i="33"/>
  <c r="B25" i="33"/>
  <c r="A25" i="33"/>
  <c r="R24" i="33"/>
  <c r="S24" i="33" s="1"/>
  <c r="G24" i="33"/>
  <c r="E24" i="33"/>
  <c r="D24" i="33"/>
  <c r="C24" i="33"/>
  <c r="B24" i="33"/>
  <c r="A24" i="33"/>
  <c r="R23" i="33"/>
  <c r="S23" i="33" s="1"/>
  <c r="G23" i="33"/>
  <c r="E23" i="33"/>
  <c r="D23" i="33"/>
  <c r="C23" i="33"/>
  <c r="B23" i="33"/>
  <c r="A23" i="33"/>
  <c r="R22" i="33"/>
  <c r="S22" i="33" s="1"/>
  <c r="G22" i="33"/>
  <c r="E22" i="33"/>
  <c r="D22" i="33"/>
  <c r="C22" i="33"/>
  <c r="B22" i="33"/>
  <c r="A22" i="33"/>
  <c r="R21" i="33"/>
  <c r="S21" i="33" s="1"/>
  <c r="G21" i="33"/>
  <c r="E21" i="33"/>
  <c r="D21" i="33"/>
  <c r="C21" i="33"/>
  <c r="B21" i="33"/>
  <c r="A21" i="33"/>
  <c r="R20" i="33"/>
  <c r="S20" i="33" s="1"/>
  <c r="G20" i="33"/>
  <c r="E20" i="33"/>
  <c r="D20" i="33"/>
  <c r="C20" i="33"/>
  <c r="B20" i="33"/>
  <c r="A20" i="33"/>
  <c r="R19" i="33"/>
  <c r="S19" i="33" s="1"/>
  <c r="G19" i="33"/>
  <c r="E19" i="33"/>
  <c r="D19" i="33"/>
  <c r="C19" i="33"/>
  <c r="B19" i="33"/>
  <c r="A19" i="33"/>
  <c r="R18" i="33"/>
  <c r="S18" i="33" s="1"/>
  <c r="G18" i="33"/>
  <c r="E18" i="33"/>
  <c r="D18" i="33"/>
  <c r="C18" i="33"/>
  <c r="B18" i="33"/>
  <c r="A18" i="33"/>
  <c r="R17" i="33"/>
  <c r="S17" i="33" s="1"/>
  <c r="G17" i="33"/>
  <c r="E17" i="33"/>
  <c r="D17" i="33"/>
  <c r="C17" i="33"/>
  <c r="B17" i="33"/>
  <c r="A17" i="33"/>
  <c r="R16" i="33"/>
  <c r="S16" i="33" s="1"/>
  <c r="G16" i="33"/>
  <c r="E16" i="33"/>
  <c r="D16" i="33"/>
  <c r="C16" i="33"/>
  <c r="B16" i="33"/>
  <c r="A16" i="33"/>
  <c r="R15" i="33"/>
  <c r="S15" i="33" s="1"/>
  <c r="G15" i="33"/>
  <c r="E15" i="33"/>
  <c r="D15" i="33"/>
  <c r="C15" i="33"/>
  <c r="B15" i="33"/>
  <c r="A15" i="33"/>
  <c r="R14" i="33"/>
  <c r="S14" i="33" s="1"/>
  <c r="G14" i="33"/>
  <c r="E14" i="33"/>
  <c r="D14" i="33"/>
  <c r="C14" i="33"/>
  <c r="B14" i="33"/>
  <c r="A14" i="33"/>
  <c r="R13" i="33"/>
  <c r="S13" i="33" s="1"/>
  <c r="G13" i="33"/>
  <c r="E13" i="33"/>
  <c r="D13" i="33"/>
  <c r="C13" i="33"/>
  <c r="B13" i="33"/>
  <c r="A13" i="33"/>
  <c r="R12" i="33"/>
  <c r="S12" i="33" s="1"/>
  <c r="G12" i="33"/>
  <c r="E12" i="33"/>
  <c r="D12" i="33"/>
  <c r="C12" i="33"/>
  <c r="B12" i="33"/>
  <c r="A12" i="33"/>
  <c r="R11" i="33"/>
  <c r="S11" i="33" s="1"/>
  <c r="G11" i="33"/>
  <c r="E11" i="33"/>
  <c r="D11" i="33"/>
  <c r="C11" i="33"/>
  <c r="B11" i="33"/>
  <c r="A11" i="33"/>
  <c r="R10" i="33"/>
  <c r="S10" i="33" s="1"/>
  <c r="G10" i="33"/>
  <c r="E10" i="33"/>
  <c r="D10" i="33"/>
  <c r="C10" i="33"/>
  <c r="B10" i="33"/>
  <c r="A10" i="33"/>
  <c r="R9" i="33"/>
  <c r="S9" i="33" s="1"/>
  <c r="G9" i="33"/>
  <c r="E9" i="33"/>
  <c r="D9" i="33"/>
  <c r="C9" i="33"/>
  <c r="B9" i="33"/>
  <c r="A9" i="33"/>
  <c r="R8" i="33"/>
  <c r="S8" i="33" s="1"/>
  <c r="G8" i="33"/>
  <c r="E8" i="33"/>
  <c r="D8" i="33"/>
  <c r="C8" i="33"/>
  <c r="B8" i="33"/>
  <c r="A8" i="33"/>
  <c r="R7" i="33"/>
  <c r="S7" i="33" s="1"/>
  <c r="G7" i="33"/>
  <c r="E7" i="33"/>
  <c r="D7" i="33"/>
  <c r="C7" i="33"/>
  <c r="B7" i="33"/>
  <c r="A7" i="33"/>
  <c r="R6" i="33"/>
  <c r="S6" i="33" s="1"/>
  <c r="G6" i="33"/>
  <c r="E6" i="33"/>
  <c r="D6" i="33"/>
  <c r="C6" i="33"/>
  <c r="B6" i="33"/>
  <c r="A6" i="33"/>
  <c r="R5" i="33"/>
  <c r="S5" i="33" s="1"/>
  <c r="G5" i="33"/>
  <c r="E5" i="33"/>
  <c r="D5" i="33"/>
  <c r="C5" i="33"/>
  <c r="B5" i="33"/>
  <c r="A5" i="33"/>
  <c r="R4" i="33"/>
  <c r="S4" i="33" s="1"/>
  <c r="G4" i="33"/>
  <c r="E4" i="33"/>
  <c r="D4" i="33"/>
  <c r="C4" i="33"/>
  <c r="B4" i="33"/>
  <c r="A4" i="33"/>
  <c r="R3" i="33"/>
  <c r="G3" i="33"/>
  <c r="E3" i="33"/>
  <c r="D3" i="33"/>
  <c r="C3" i="33"/>
  <c r="B3" i="33"/>
  <c r="A3" i="33"/>
  <c r="W38" i="33" l="1"/>
  <c r="W37" i="33"/>
  <c r="S102" i="38"/>
  <c r="S97" i="38"/>
  <c r="S18" i="38"/>
  <c r="S16" i="38"/>
  <c r="S24" i="38"/>
  <c r="S59" i="39"/>
  <c r="S9" i="39"/>
  <c r="S13" i="38"/>
  <c r="S21" i="38"/>
  <c r="S23" i="38"/>
  <c r="S16" i="39"/>
  <c r="S8" i="39"/>
  <c r="S15" i="39"/>
  <c r="S19" i="38"/>
  <c r="S8" i="38"/>
  <c r="S101" i="38"/>
  <c r="S25" i="38"/>
  <c r="S7" i="39"/>
  <c r="S14" i="38"/>
  <c r="S17" i="38"/>
  <c r="S100" i="38"/>
  <c r="S26" i="38"/>
  <c r="S14" i="39"/>
  <c r="S6" i="39"/>
  <c r="S10" i="39"/>
  <c r="S9" i="38"/>
  <c r="S12" i="38"/>
  <c r="S99" i="38"/>
  <c r="S22" i="38"/>
  <c r="S13" i="39"/>
  <c r="S2" i="39"/>
  <c r="S20" i="38"/>
  <c r="S7" i="38"/>
  <c r="S98" i="38"/>
  <c r="S61" i="39"/>
  <c r="S12" i="39"/>
  <c r="S5" i="39"/>
  <c r="S10" i="38"/>
  <c r="S62" i="39"/>
  <c r="S15" i="38"/>
  <c r="S2" i="38"/>
  <c r="S60" i="39"/>
  <c r="S11" i="39"/>
  <c r="S11" i="38"/>
  <c r="S119" i="33"/>
  <c r="R116" i="33"/>
  <c r="B20" i="35"/>
  <c r="S51" i="39"/>
  <c r="S24" i="39"/>
  <c r="S27" i="39"/>
  <c r="S32" i="38"/>
  <c r="S72" i="38"/>
  <c r="S68" i="38"/>
  <c r="S28" i="38"/>
  <c r="S34" i="38"/>
  <c r="S74" i="38"/>
  <c r="S35" i="38"/>
  <c r="S75" i="38"/>
  <c r="S36" i="38"/>
  <c r="S76" i="38"/>
  <c r="S29" i="39"/>
  <c r="S53" i="39"/>
  <c r="S31" i="39"/>
  <c r="S55" i="39"/>
  <c r="S30" i="39"/>
  <c r="S54" i="39"/>
  <c r="S37" i="38"/>
  <c r="S77" i="38"/>
  <c r="S73" i="38"/>
  <c r="S33" i="38"/>
  <c r="S39" i="38"/>
  <c r="S79" i="38"/>
  <c r="S40" i="38"/>
  <c r="S80" i="38"/>
  <c r="S41" i="38"/>
  <c r="S81" i="38"/>
  <c r="S32" i="39"/>
  <c r="S56" i="39"/>
  <c r="S34" i="39"/>
  <c r="S58" i="39"/>
  <c r="S33" i="39"/>
  <c r="S57" i="39"/>
  <c r="S42" i="38"/>
  <c r="S82" i="38"/>
  <c r="S78" i="38"/>
  <c r="S38" i="38"/>
  <c r="S44" i="38"/>
  <c r="S84" i="38"/>
  <c r="S45" i="38"/>
  <c r="S85" i="38"/>
  <c r="S46" i="38"/>
  <c r="S86" i="38"/>
  <c r="S35" i="39"/>
  <c r="S37" i="39"/>
  <c r="S64" i="39"/>
  <c r="S36" i="39"/>
  <c r="S63" i="39"/>
  <c r="S47" i="38"/>
  <c r="S87" i="38"/>
  <c r="S83" i="38"/>
  <c r="S43" i="38"/>
  <c r="S49" i="38"/>
  <c r="S89" i="38"/>
  <c r="S50" i="38"/>
  <c r="S90" i="38"/>
  <c r="S51" i="38"/>
  <c r="S91" i="38"/>
  <c r="S38" i="39"/>
  <c r="S4" i="39"/>
  <c r="S40" i="39"/>
  <c r="S3" i="39"/>
  <c r="S39" i="39"/>
  <c r="S52" i="38"/>
  <c r="S92" i="38"/>
  <c r="S88" i="38"/>
  <c r="S48" i="38"/>
  <c r="S54" i="38"/>
  <c r="S94" i="38"/>
  <c r="S55" i="38"/>
  <c r="S95" i="38"/>
  <c r="S56" i="38"/>
  <c r="S96" i="38"/>
  <c r="S17" i="39"/>
  <c r="S41" i="39"/>
  <c r="S19" i="39"/>
  <c r="S43" i="39"/>
  <c r="S18" i="39"/>
  <c r="S42" i="39"/>
  <c r="S57" i="38"/>
  <c r="S93" i="38"/>
  <c r="S53" i="38"/>
  <c r="S59" i="38"/>
  <c r="S104" i="38"/>
  <c r="S60" i="38"/>
  <c r="S105" i="38"/>
  <c r="S61" i="38"/>
  <c r="S106" i="38"/>
  <c r="S20" i="39"/>
  <c r="S44" i="39"/>
  <c r="S22" i="39"/>
  <c r="S46" i="39"/>
  <c r="S21" i="39"/>
  <c r="S45" i="39"/>
  <c r="S62" i="38"/>
  <c r="S58" i="38"/>
  <c r="S103" i="38"/>
  <c r="S4" i="38"/>
  <c r="S64" i="38"/>
  <c r="S5" i="38"/>
  <c r="S65" i="38"/>
  <c r="S6" i="38"/>
  <c r="S66" i="38"/>
  <c r="S23" i="39"/>
  <c r="S47" i="39"/>
  <c r="S25" i="39"/>
  <c r="S49" i="39"/>
  <c r="S48" i="39"/>
  <c r="S27" i="38"/>
  <c r="S67" i="38"/>
  <c r="S63" i="38"/>
  <c r="S3" i="38"/>
  <c r="S29" i="38"/>
  <c r="S69" i="38"/>
  <c r="S30" i="38"/>
  <c r="S70" i="38"/>
  <c r="S31" i="38"/>
  <c r="S71" i="38"/>
  <c r="S26" i="39"/>
  <c r="S50" i="39"/>
  <c r="S28" i="39"/>
  <c r="S52" i="39"/>
  <c r="B6" i="37"/>
  <c r="C3" i="37" s="1"/>
  <c r="B19" i="35"/>
  <c r="C19" i="35" s="1"/>
  <c r="B14" i="35"/>
  <c r="C14" i="35" s="1"/>
  <c r="C26" i="35"/>
  <c r="B15" i="35"/>
  <c r="C15" i="35" s="1"/>
  <c r="B24" i="35"/>
  <c r="C24" i="35" s="1"/>
  <c r="Y7" i="33"/>
  <c r="X7" i="33" s="1"/>
  <c r="Y11" i="33"/>
  <c r="X11" i="33" s="1"/>
  <c r="Y15" i="33"/>
  <c r="W15" i="33" s="1"/>
  <c r="Y14" i="33"/>
  <c r="X14" i="33" s="1"/>
  <c r="Y8" i="33"/>
  <c r="X8" i="33" s="1"/>
  <c r="Y13" i="33"/>
  <c r="X13" i="33" s="1"/>
  <c r="Y10" i="33"/>
  <c r="Y6" i="33"/>
  <c r="X6" i="33" s="1"/>
  <c r="Y9" i="33"/>
  <c r="V9" i="33" s="1"/>
  <c r="Y12" i="33"/>
  <c r="S3" i="33"/>
  <c r="S118" i="33" s="1"/>
  <c r="V10" i="33" l="1"/>
  <c r="X10" i="33"/>
  <c r="V12" i="33"/>
  <c r="X12" i="33"/>
  <c r="L117" i="33"/>
  <c r="H117" i="33"/>
  <c r="C20" i="35"/>
  <c r="D20" i="35"/>
  <c r="V15" i="33"/>
  <c r="C2" i="37"/>
  <c r="C4" i="37"/>
  <c r="C2" i="36"/>
  <c r="X15" i="33"/>
  <c r="V11" i="33"/>
  <c r="W7" i="33"/>
  <c r="V7" i="33"/>
  <c r="W11" i="33"/>
  <c r="W12" i="33"/>
  <c r="W8" i="33"/>
  <c r="V8" i="33"/>
  <c r="W13" i="33"/>
  <c r="R117" i="33"/>
  <c r="K117" i="33"/>
  <c r="W10" i="33"/>
  <c r="V13" i="33"/>
  <c r="V14" i="33"/>
  <c r="W14" i="33"/>
  <c r="N117" i="33"/>
  <c r="J117" i="33"/>
  <c r="V6" i="33"/>
  <c r="I117" i="33"/>
  <c r="M117" i="33"/>
  <c r="W6" i="33"/>
  <c r="X9" i="33"/>
  <c r="W9" i="33"/>
  <c r="N75" i="12"/>
  <c r="N77" i="12" s="1"/>
  <c r="O75" i="12"/>
  <c r="P75" i="12"/>
  <c r="P77" i="12" s="1"/>
  <c r="N73" i="12"/>
  <c r="O73" i="12"/>
  <c r="P73" i="12"/>
  <c r="O77" i="12" l="1"/>
  <c r="N78" i="12"/>
  <c r="O78" i="12"/>
  <c r="P78" i="12"/>
  <c r="BQ75" i="12"/>
  <c r="BQ77" i="12" s="1"/>
  <c r="Q75" i="12"/>
  <c r="Q77" i="12" s="1"/>
  <c r="AF75" i="12"/>
  <c r="AJ75" i="12"/>
  <c r="AJ77" i="12" s="1"/>
  <c r="AN75" i="12"/>
  <c r="AQ75" i="12"/>
  <c r="AQ77" i="12" s="1"/>
  <c r="AU75" i="12"/>
  <c r="AU77" i="12" s="1"/>
  <c r="AX75" i="12"/>
  <c r="BC75" i="12"/>
  <c r="BI75" i="12"/>
  <c r="BI77" i="12" s="1"/>
  <c r="BN75" i="12"/>
  <c r="BN77" i="12" s="1"/>
  <c r="BR75" i="12"/>
  <c r="BU75" i="12"/>
  <c r="BU77" i="12" s="1"/>
  <c r="BX75" i="12"/>
  <c r="BX77" i="12" s="1"/>
  <c r="CB75" i="12"/>
  <c r="CB77" i="12" s="1"/>
  <c r="CJ75" i="12"/>
  <c r="CM75" i="12"/>
  <c r="CM77" i="12" s="1"/>
  <c r="CQ75" i="12"/>
  <c r="B74" i="12"/>
  <c r="E77" i="12"/>
  <c r="X77" i="12"/>
  <c r="Y75" i="12"/>
  <c r="Y77" i="12" s="1"/>
  <c r="Z75" i="12"/>
  <c r="Z77" i="12" s="1"/>
  <c r="AA75" i="12"/>
  <c r="AA77" i="12" s="1"/>
  <c r="AB75" i="12"/>
  <c r="AB77" i="12" s="1"/>
  <c r="AC75" i="12"/>
  <c r="AD75" i="12"/>
  <c r="AE75" i="12"/>
  <c r="AG75" i="12"/>
  <c r="AG77" i="12" s="1"/>
  <c r="AH75" i="12"/>
  <c r="AH77" i="12" s="1"/>
  <c r="AI75" i="12"/>
  <c r="AI77" i="12" s="1"/>
  <c r="AK75" i="12"/>
  <c r="AK77" i="12" s="1"/>
  <c r="AL75" i="12"/>
  <c r="AL77" i="12" s="1"/>
  <c r="AM75" i="12"/>
  <c r="AO75" i="12"/>
  <c r="AP75" i="12"/>
  <c r="AR75" i="12"/>
  <c r="AS75" i="12"/>
  <c r="AT75" i="12"/>
  <c r="AV75" i="12"/>
  <c r="AV77" i="12" s="1"/>
  <c r="AW75" i="12"/>
  <c r="AW77" i="12" s="1"/>
  <c r="AY75" i="12"/>
  <c r="AZ75" i="12"/>
  <c r="AZ77" i="12" s="1"/>
  <c r="BA75" i="12"/>
  <c r="BD75" i="12"/>
  <c r="BG75" i="12"/>
  <c r="BG77" i="12" s="1"/>
  <c r="BH75" i="12"/>
  <c r="BH77" i="12" s="1"/>
  <c r="BJ75" i="12"/>
  <c r="BJ77" i="12" s="1"/>
  <c r="BK75" i="12"/>
  <c r="BK77" i="12" s="1"/>
  <c r="BL75" i="12"/>
  <c r="BM75" i="12"/>
  <c r="BO75" i="12"/>
  <c r="BO77" i="12" s="1"/>
  <c r="BP75" i="12"/>
  <c r="BP77" i="12" s="1"/>
  <c r="BS75" i="12"/>
  <c r="BT75" i="12"/>
  <c r="BT77" i="12" s="1"/>
  <c r="BV75" i="12"/>
  <c r="BW75" i="12"/>
  <c r="BW77" i="12" s="1"/>
  <c r="BY75" i="12"/>
  <c r="BZ75" i="12"/>
  <c r="CA75" i="12"/>
  <c r="CC75" i="12"/>
  <c r="CD75" i="12"/>
  <c r="CE75" i="12"/>
  <c r="CE77" i="12" s="1"/>
  <c r="CF75" i="12"/>
  <c r="CF77" i="12" s="1"/>
  <c r="CG75" i="12"/>
  <c r="CH75" i="12"/>
  <c r="CK75" i="12"/>
  <c r="CL75" i="12"/>
  <c r="CN75" i="12"/>
  <c r="CN77" i="12" s="1"/>
  <c r="CO75" i="12"/>
  <c r="CO77" i="12" s="1"/>
  <c r="CP75" i="12"/>
  <c r="CP77" i="12" s="1"/>
  <c r="H77" i="12"/>
  <c r="M77" i="12"/>
  <c r="R77" i="12"/>
  <c r="S77" i="12"/>
  <c r="T75" i="12"/>
  <c r="T78" i="12" s="1"/>
  <c r="W75" i="12"/>
  <c r="W78" i="12" s="1"/>
  <c r="G77" i="12"/>
  <c r="F77" i="12"/>
  <c r="B6" i="26"/>
  <c r="C6" i="26" s="1"/>
  <c r="B5" i="26"/>
  <c r="C5" i="26" s="1"/>
  <c r="B4" i="26"/>
  <c r="C4" i="26" s="1"/>
  <c r="B3" i="26"/>
  <c r="C3" i="26" s="1"/>
  <c r="B11" i="25"/>
  <c r="C11" i="25" s="1"/>
  <c r="B10" i="25"/>
  <c r="C10" i="25" s="1"/>
  <c r="B9" i="25"/>
  <c r="C9" i="25" s="1"/>
  <c r="B6" i="25"/>
  <c r="C6" i="25" s="1"/>
  <c r="B5" i="25"/>
  <c r="C5" i="25" s="1"/>
  <c r="B4" i="25"/>
  <c r="C4" i="25" s="1"/>
  <c r="B3" i="25"/>
  <c r="C3" i="25" s="1"/>
  <c r="B8" i="23"/>
  <c r="C8" i="23" s="1"/>
  <c r="C7" i="23"/>
  <c r="C6" i="23"/>
  <c r="B3" i="23"/>
  <c r="C3" i="23" s="1"/>
  <c r="B7" i="22"/>
  <c r="C7" i="22" s="1"/>
  <c r="C6" i="22"/>
  <c r="B4" i="22"/>
  <c r="C4" i="22" s="1"/>
  <c r="B3" i="22"/>
  <c r="C3" i="22" s="1"/>
  <c r="BR73" i="12"/>
  <c r="F3" i="17"/>
  <c r="E49" i="17" s="1"/>
  <c r="E3" i="17"/>
  <c r="E41" i="17" s="1"/>
  <c r="D3" i="17"/>
  <c r="E33" i="17" s="1"/>
  <c r="C3" i="17"/>
  <c r="E25" i="17" s="1"/>
  <c r="B3" i="17"/>
  <c r="E17" i="17" s="1"/>
  <c r="F2" i="17"/>
  <c r="E48" i="17" s="1"/>
  <c r="E2" i="17"/>
  <c r="E40" i="17" s="1"/>
  <c r="D2" i="17"/>
  <c r="E32" i="17" s="1"/>
  <c r="C2" i="17"/>
  <c r="E24" i="17" s="1"/>
  <c r="B2" i="17"/>
  <c r="E16" i="17" s="1"/>
  <c r="F11" i="17"/>
  <c r="E55" i="17" s="1"/>
  <c r="E11" i="17"/>
  <c r="E47" i="17" s="1"/>
  <c r="D11" i="17"/>
  <c r="E39" i="17" s="1"/>
  <c r="C11" i="17"/>
  <c r="E31" i="17" s="1"/>
  <c r="B11" i="17"/>
  <c r="E23" i="17" s="1"/>
  <c r="F10" i="17"/>
  <c r="E54" i="17" s="1"/>
  <c r="E10" i="17"/>
  <c r="E46" i="17" s="1"/>
  <c r="D10" i="17"/>
  <c r="E38" i="17" s="1"/>
  <c r="C10" i="17"/>
  <c r="E30" i="17" s="1"/>
  <c r="B10" i="17"/>
  <c r="E22" i="17" s="1"/>
  <c r="F9" i="17"/>
  <c r="E53" i="17" s="1"/>
  <c r="E9" i="17"/>
  <c r="E45" i="17" s="1"/>
  <c r="D9" i="17"/>
  <c r="E37" i="17" s="1"/>
  <c r="C9" i="17"/>
  <c r="E29" i="17" s="1"/>
  <c r="B9" i="17"/>
  <c r="E21" i="17" s="1"/>
  <c r="F8" i="17"/>
  <c r="E52" i="17" s="1"/>
  <c r="E8" i="17"/>
  <c r="E44" i="17" s="1"/>
  <c r="D8" i="17"/>
  <c r="E36" i="17" s="1"/>
  <c r="C8" i="17"/>
  <c r="E28" i="17" s="1"/>
  <c r="B8" i="17"/>
  <c r="E20" i="17" s="1"/>
  <c r="F7" i="17"/>
  <c r="E51" i="17" s="1"/>
  <c r="E7" i="17"/>
  <c r="E43" i="17" s="1"/>
  <c r="D7" i="17"/>
  <c r="E35" i="17" s="1"/>
  <c r="C7" i="17"/>
  <c r="E27" i="17" s="1"/>
  <c r="B7" i="17"/>
  <c r="E19" i="17" s="1"/>
  <c r="F5" i="17"/>
  <c r="E5" i="17"/>
  <c r="D5" i="17"/>
  <c r="C5" i="17"/>
  <c r="B5" i="17"/>
  <c r="F4" i="17"/>
  <c r="E50" i="17" s="1"/>
  <c r="E4" i="17"/>
  <c r="E42" i="17" s="1"/>
  <c r="D4" i="17"/>
  <c r="E34" i="17" s="1"/>
  <c r="C4" i="17"/>
  <c r="E26" i="17" s="1"/>
  <c r="B4" i="17"/>
  <c r="E18" i="17" s="1"/>
  <c r="E156" i="4"/>
  <c r="CQ73" i="12"/>
  <c r="CP73" i="12"/>
  <c r="CO73" i="12"/>
  <c r="CN73" i="12"/>
  <c r="CM73" i="12"/>
  <c r="CL73" i="12"/>
  <c r="CK73" i="12"/>
  <c r="CJ73" i="12"/>
  <c r="CH73" i="12"/>
  <c r="CG73" i="12"/>
  <c r="CE73" i="12"/>
  <c r="CD73" i="12"/>
  <c r="CC73" i="12"/>
  <c r="CB73" i="12"/>
  <c r="CA73" i="12"/>
  <c r="BZ73" i="12"/>
  <c r="BY73" i="12"/>
  <c r="BX73" i="12"/>
  <c r="BW73" i="12"/>
  <c r="BV73" i="12"/>
  <c r="BU73" i="12"/>
  <c r="BT73" i="12"/>
  <c r="BS73" i="12"/>
  <c r="BQ73" i="12"/>
  <c r="BP73" i="12"/>
  <c r="BO73" i="12"/>
  <c r="BN73" i="12"/>
  <c r="BM73" i="12"/>
  <c r="BL73" i="12"/>
  <c r="BK73" i="12"/>
  <c r="BJ73" i="12"/>
  <c r="BI73" i="12"/>
  <c r="BH73" i="12"/>
  <c r="BG73" i="12"/>
  <c r="BD73" i="12"/>
  <c r="BC73" i="12"/>
  <c r="BA73" i="12"/>
  <c r="AZ73" i="12"/>
  <c r="AY73" i="12"/>
  <c r="AX73" i="12"/>
  <c r="AW73" i="12"/>
  <c r="AV73" i="12"/>
  <c r="AU73" i="12"/>
  <c r="AT73" i="12"/>
  <c r="AS73" i="12"/>
  <c r="AR73" i="12"/>
  <c r="AQ73" i="12"/>
  <c r="AP73" i="12"/>
  <c r="AO73" i="12"/>
  <c r="AN73" i="12"/>
  <c r="AM73" i="12"/>
  <c r="AL73" i="12"/>
  <c r="AK73" i="12"/>
  <c r="AJ73" i="12"/>
  <c r="AI73" i="12"/>
  <c r="AH73" i="12"/>
  <c r="AG73" i="12"/>
  <c r="AF73" i="12"/>
  <c r="AE73" i="12"/>
  <c r="AD73" i="12"/>
  <c r="AB73" i="12"/>
  <c r="AA73" i="12"/>
  <c r="Y73" i="12"/>
  <c r="X73" i="12"/>
  <c r="V73" i="12"/>
  <c r="U73" i="12"/>
  <c r="S73" i="12"/>
  <c r="R73" i="12"/>
  <c r="M73" i="12"/>
  <c r="L73" i="12"/>
  <c r="K73" i="12"/>
  <c r="J73" i="12"/>
  <c r="H73" i="12"/>
  <c r="G73" i="12"/>
  <c r="F73" i="12"/>
  <c r="E73" i="12"/>
  <c r="D73" i="12"/>
  <c r="F85" i="15"/>
  <c r="F84" i="15"/>
  <c r="F83" i="15"/>
  <c r="E85" i="15"/>
  <c r="E84" i="15"/>
  <c r="E83" i="15"/>
  <c r="C85" i="15"/>
  <c r="C84" i="15"/>
  <c r="C83" i="15"/>
  <c r="B85" i="15"/>
  <c r="B84" i="15"/>
  <c r="B83" i="15"/>
  <c r="H85" i="15"/>
  <c r="H84" i="15"/>
  <c r="H83" i="15"/>
  <c r="D83" i="15"/>
  <c r="D84" i="15"/>
  <c r="D85" i="15"/>
  <c r="H82" i="15"/>
  <c r="F82" i="15"/>
  <c r="E82" i="15"/>
  <c r="D82" i="15"/>
  <c r="B82" i="15"/>
  <c r="C82" i="15"/>
  <c r="Y82" i="15"/>
  <c r="Z82" i="15" s="1"/>
  <c r="B156" i="4"/>
  <c r="B155" i="4"/>
  <c r="C156" i="4"/>
  <c r="C155" i="4"/>
  <c r="D156" i="4"/>
  <c r="D155" i="4"/>
  <c r="E155" i="4"/>
  <c r="F156" i="4"/>
  <c r="F155" i="4"/>
  <c r="G156" i="4"/>
  <c r="G155" i="4"/>
  <c r="G154" i="4"/>
  <c r="F154" i="4"/>
  <c r="E154" i="4"/>
  <c r="D154" i="4"/>
  <c r="C154" i="4"/>
  <c r="B154" i="4"/>
  <c r="F60" i="15"/>
  <c r="E60" i="15"/>
  <c r="D60" i="15"/>
  <c r="C60" i="15"/>
  <c r="B60" i="15"/>
  <c r="H60" i="15"/>
  <c r="G153" i="4"/>
  <c r="F153" i="4"/>
  <c r="E153" i="4"/>
  <c r="D153" i="4"/>
  <c r="C153" i="4"/>
  <c r="B153" i="4"/>
  <c r="F74" i="15"/>
  <c r="C76" i="12" l="1"/>
  <c r="C87" i="12"/>
  <c r="BB76" i="12"/>
  <c r="Z87" i="12"/>
  <c r="BE76" i="12"/>
  <c r="CI76" i="12"/>
  <c r="BF76" i="12"/>
  <c r="AB87" i="12"/>
  <c r="AS87" i="12"/>
  <c r="AK87" i="12"/>
  <c r="D87" i="12"/>
  <c r="M87" i="12"/>
  <c r="BA87" i="12"/>
  <c r="G87" i="12"/>
  <c r="AF87" i="12"/>
  <c r="AV87" i="12"/>
  <c r="BG87" i="12"/>
  <c r="BX87" i="12"/>
  <c r="BL76" i="12"/>
  <c r="AY76" i="12"/>
  <c r="AC76" i="12"/>
  <c r="AN87" i="12"/>
  <c r="BO87" i="12"/>
  <c r="AM76" i="12"/>
  <c r="R87" i="12"/>
  <c r="AD87" i="12"/>
  <c r="AL87" i="12"/>
  <c r="AT87" i="12"/>
  <c r="BC87" i="12"/>
  <c r="BM87" i="12"/>
  <c r="BV87" i="12"/>
  <c r="CD87" i="12"/>
  <c r="CN87" i="12"/>
  <c r="E87" i="12"/>
  <c r="F78" i="12"/>
  <c r="S87" i="12"/>
  <c r="AE87" i="12"/>
  <c r="AM87" i="12"/>
  <c r="AU87" i="12"/>
  <c r="BD87" i="12"/>
  <c r="BN87" i="12"/>
  <c r="BW87" i="12"/>
  <c r="CE87" i="12"/>
  <c r="CO87" i="12"/>
  <c r="P76" i="12"/>
  <c r="H87" i="12"/>
  <c r="V87" i="12"/>
  <c r="AG87" i="12"/>
  <c r="AO87" i="12"/>
  <c r="AW87" i="12"/>
  <c r="BH87" i="12"/>
  <c r="BP87" i="12"/>
  <c r="O76" i="12"/>
  <c r="P87" i="12"/>
  <c r="J87" i="12"/>
  <c r="AH87" i="12"/>
  <c r="K87" i="12"/>
  <c r="AI87" i="12"/>
  <c r="AQ87" i="12"/>
  <c r="AY87" i="12"/>
  <c r="BJ87" i="12"/>
  <c r="BS87" i="12"/>
  <c r="O87" i="12"/>
  <c r="X87" i="12"/>
  <c r="Y87" i="12"/>
  <c r="L87" i="12"/>
  <c r="AA87" i="12"/>
  <c r="AJ87" i="12"/>
  <c r="AR87" i="12"/>
  <c r="AZ87" i="12"/>
  <c r="BK87" i="12"/>
  <c r="BT87" i="12"/>
  <c r="CB87" i="12"/>
  <c r="CL87" i="12"/>
  <c r="N76" i="12"/>
  <c r="N87" i="12"/>
  <c r="AP87" i="12"/>
  <c r="AX87" i="12"/>
  <c r="BI87" i="12"/>
  <c r="BQ87" i="12"/>
  <c r="BZ87" i="12"/>
  <c r="CJ87" i="12"/>
  <c r="CD76" i="12"/>
  <c r="BS76" i="12"/>
  <c r="CA87" i="12"/>
  <c r="CK87" i="12"/>
  <c r="BL87" i="12"/>
  <c r="BU87" i="12"/>
  <c r="CC87" i="12"/>
  <c r="CM87" i="12"/>
  <c r="Q87" i="12"/>
  <c r="U76" i="12"/>
  <c r="I76" i="12"/>
  <c r="CG76" i="12"/>
  <c r="CQ76" i="12"/>
  <c r="U87" i="12"/>
  <c r="CG87" i="12"/>
  <c r="CP87" i="12"/>
  <c r="BR87" i="12"/>
  <c r="F87" i="12"/>
  <c r="BY87" i="12"/>
  <c r="CH87" i="12"/>
  <c r="CQ87" i="12"/>
  <c r="AT76" i="12"/>
  <c r="CF87" i="12"/>
  <c r="W87" i="12"/>
  <c r="AC87" i="12"/>
  <c r="T87" i="12"/>
  <c r="I87" i="12"/>
  <c r="CJ76" i="12"/>
  <c r="D76" i="12"/>
  <c r="K78" i="12"/>
  <c r="BQ76" i="12"/>
  <c r="CJ77" i="12"/>
  <c r="CC78" i="12"/>
  <c r="AS78" i="12"/>
  <c r="BG76" i="12"/>
  <c r="BS77" i="12"/>
  <c r="L78" i="12"/>
  <c r="CL78" i="12"/>
  <c r="CA78" i="12"/>
  <c r="BD78" i="12"/>
  <c r="AR78" i="12"/>
  <c r="AS76" i="12"/>
  <c r="CM78" i="12"/>
  <c r="CK78" i="12"/>
  <c r="BZ78" i="12"/>
  <c r="BA78" i="12"/>
  <c r="AP78" i="12"/>
  <c r="AE78" i="12"/>
  <c r="AH76" i="12"/>
  <c r="CD78" i="12"/>
  <c r="BS78" i="12"/>
  <c r="V78" i="12"/>
  <c r="J78" i="12"/>
  <c r="CH78" i="12"/>
  <c r="BY78" i="12"/>
  <c r="BM78" i="12"/>
  <c r="AZ78" i="12"/>
  <c r="AO78" i="12"/>
  <c r="AD78" i="12"/>
  <c r="Z76" i="12"/>
  <c r="BH78" i="12"/>
  <c r="AI78" i="12"/>
  <c r="Y76" i="12"/>
  <c r="AT78" i="12"/>
  <c r="BV78" i="12"/>
  <c r="BK78" i="12"/>
  <c r="AB78" i="12"/>
  <c r="CN76" i="12"/>
  <c r="M76" i="12"/>
  <c r="Z78" i="12"/>
  <c r="T77" i="12"/>
  <c r="CC76" i="12"/>
  <c r="R78" i="12"/>
  <c r="BC78" i="12"/>
  <c r="D77" i="12"/>
  <c r="I77" i="12"/>
  <c r="E76" i="12"/>
  <c r="CF76" i="12"/>
  <c r="BV76" i="12"/>
  <c r="BK76" i="12"/>
  <c r="AW76" i="12"/>
  <c r="AL76" i="12"/>
  <c r="AB76" i="12"/>
  <c r="T76" i="12"/>
  <c r="H76" i="12"/>
  <c r="CP78" i="12"/>
  <c r="CG78" i="12"/>
  <c r="BW78" i="12"/>
  <c r="BL78" i="12"/>
  <c r="AY78" i="12"/>
  <c r="AM78" i="12"/>
  <c r="AC78" i="12"/>
  <c r="U78" i="12"/>
  <c r="I78" i="12"/>
  <c r="BR76" i="12"/>
  <c r="AJ78" i="12"/>
  <c r="CD77" i="12"/>
  <c r="BV77" i="12"/>
  <c r="BD77" i="12"/>
  <c r="AM77" i="12"/>
  <c r="AE77" i="12"/>
  <c r="W77" i="12"/>
  <c r="L77" i="12"/>
  <c r="CA77" i="12"/>
  <c r="CP76" i="12"/>
  <c r="CE76" i="12"/>
  <c r="BT76" i="12"/>
  <c r="BJ76" i="12"/>
  <c r="AV76" i="12"/>
  <c r="AK76" i="12"/>
  <c r="AA76" i="12"/>
  <c r="S76" i="12"/>
  <c r="G76" i="12"/>
  <c r="CO78" i="12"/>
  <c r="CF78" i="12"/>
  <c r="AW78" i="12"/>
  <c r="AL78" i="12"/>
  <c r="H78" i="12"/>
  <c r="BN78" i="12"/>
  <c r="AF78" i="12"/>
  <c r="CL77" i="12"/>
  <c r="CC77" i="12"/>
  <c r="BM77" i="12"/>
  <c r="BC77" i="12"/>
  <c r="AT77" i="12"/>
  <c r="AD77" i="12"/>
  <c r="V77" i="12"/>
  <c r="K77" i="12"/>
  <c r="AR77" i="12"/>
  <c r="CO76" i="12"/>
  <c r="BH76" i="12"/>
  <c r="AI76" i="12"/>
  <c r="R76" i="12"/>
  <c r="F76" i="12"/>
  <c r="CN78" i="12"/>
  <c r="CE78" i="12"/>
  <c r="BT78" i="12"/>
  <c r="BJ78" i="12"/>
  <c r="AV78" i="12"/>
  <c r="AK78" i="12"/>
  <c r="AA78" i="12"/>
  <c r="S78" i="12"/>
  <c r="G78" i="12"/>
  <c r="CK77" i="12"/>
  <c r="BL77" i="12"/>
  <c r="BA77" i="12"/>
  <c r="AS77" i="12"/>
  <c r="AC77" i="12"/>
  <c r="U77" i="12"/>
  <c r="J77" i="12"/>
  <c r="CL76" i="12"/>
  <c r="CA76" i="12"/>
  <c r="BP76" i="12"/>
  <c r="BD76" i="12"/>
  <c r="AR76" i="12"/>
  <c r="AG76" i="12"/>
  <c r="X76" i="12"/>
  <c r="L76" i="12"/>
  <c r="CM76" i="12"/>
  <c r="BQ78" i="12"/>
  <c r="BG78" i="12"/>
  <c r="AH78" i="12"/>
  <c r="Y78" i="12"/>
  <c r="M78" i="12"/>
  <c r="E78" i="12"/>
  <c r="AX78" i="12"/>
  <c r="CQ77" i="12"/>
  <c r="CH77" i="12"/>
  <c r="BZ77" i="12"/>
  <c r="BR77" i="12"/>
  <c r="AY77" i="12"/>
  <c r="CK76" i="12"/>
  <c r="BZ76" i="12"/>
  <c r="BO76" i="12"/>
  <c r="BA76" i="12"/>
  <c r="AP76" i="12"/>
  <c r="AE76" i="12"/>
  <c r="W76" i="12"/>
  <c r="K76" i="12"/>
  <c r="BP78" i="12"/>
  <c r="AG78" i="12"/>
  <c r="X78" i="12"/>
  <c r="CB78" i="12"/>
  <c r="AU76" i="12"/>
  <c r="CG77" i="12"/>
  <c r="BY77" i="12"/>
  <c r="AX77" i="12"/>
  <c r="AP77" i="12"/>
  <c r="CH76" i="12"/>
  <c r="BY76" i="12"/>
  <c r="BM76" i="12"/>
  <c r="AZ76" i="12"/>
  <c r="AO76" i="12"/>
  <c r="AD76" i="12"/>
  <c r="V76" i="12"/>
  <c r="J76" i="12"/>
  <c r="D78" i="12"/>
  <c r="CJ78" i="12"/>
  <c r="BO78" i="12"/>
  <c r="AO77" i="12"/>
  <c r="BW76" i="12"/>
  <c r="CQ78" i="12"/>
  <c r="BU78" i="12"/>
  <c r="AN78" i="12"/>
  <c r="AN77" i="12"/>
  <c r="AF77" i="12"/>
  <c r="Q78" i="12"/>
  <c r="Q76" i="12"/>
  <c r="AF76" i="12"/>
  <c r="AJ76" i="12"/>
  <c r="AN76" i="12"/>
  <c r="AQ78" i="12"/>
  <c r="AQ76" i="12"/>
  <c r="AU78" i="12"/>
  <c r="AX76" i="12"/>
  <c r="BC76" i="12"/>
  <c r="BI78" i="12"/>
  <c r="BI76" i="12"/>
  <c r="BN76" i="12"/>
  <c r="BR78" i="12"/>
  <c r="BU76" i="12"/>
  <c r="BX76" i="12"/>
  <c r="BX78" i="12"/>
  <c r="CB76" i="12"/>
  <c r="U116" i="15"/>
  <c r="T116" i="15"/>
  <c r="S116" i="15"/>
  <c r="R116" i="15"/>
  <c r="Q116" i="15"/>
  <c r="P116" i="15"/>
  <c r="O116" i="15"/>
  <c r="Y81" i="15"/>
  <c r="Z81" i="15" s="1"/>
  <c r="H81" i="15"/>
  <c r="F81" i="15"/>
  <c r="E81" i="15"/>
  <c r="D81" i="15"/>
  <c r="C81" i="15"/>
  <c r="B81" i="15"/>
  <c r="Y80" i="15"/>
  <c r="Z80" i="15" s="1"/>
  <c r="H80" i="15"/>
  <c r="F80" i="15"/>
  <c r="E80" i="15"/>
  <c r="D80" i="15"/>
  <c r="C80" i="15"/>
  <c r="B80" i="15"/>
  <c r="Y79" i="15"/>
  <c r="Z79" i="15" s="1"/>
  <c r="H79" i="15"/>
  <c r="F79" i="15"/>
  <c r="E79" i="15"/>
  <c r="D79" i="15"/>
  <c r="C79" i="15"/>
  <c r="B79" i="15"/>
  <c r="Y78" i="15"/>
  <c r="Z78" i="15" s="1"/>
  <c r="H78" i="15"/>
  <c r="F78" i="15"/>
  <c r="E78" i="15"/>
  <c r="D78" i="15"/>
  <c r="C78" i="15"/>
  <c r="B78" i="15"/>
  <c r="Y77" i="15"/>
  <c r="Z77" i="15" s="1"/>
  <c r="H77" i="15"/>
  <c r="F77" i="15"/>
  <c r="E77" i="15"/>
  <c r="D77" i="15"/>
  <c r="C77" i="15"/>
  <c r="B77" i="15"/>
  <c r="Y76" i="15"/>
  <c r="Z76" i="15" s="1"/>
  <c r="H76" i="15"/>
  <c r="F76" i="15"/>
  <c r="E76" i="15"/>
  <c r="D76" i="15"/>
  <c r="C76" i="15"/>
  <c r="B76" i="15"/>
  <c r="Y75" i="15"/>
  <c r="Z75" i="15" s="1"/>
  <c r="H75" i="15"/>
  <c r="F75" i="15"/>
  <c r="E75" i="15"/>
  <c r="D75" i="15"/>
  <c r="C75" i="15"/>
  <c r="B75" i="15"/>
  <c r="Y74" i="15"/>
  <c r="Z74" i="15" s="1"/>
  <c r="H74" i="15"/>
  <c r="E74" i="15"/>
  <c r="D74" i="15"/>
  <c r="C74" i="15"/>
  <c r="B74" i="15"/>
  <c r="Y73" i="15"/>
  <c r="Z73" i="15" s="1"/>
  <c r="H73" i="15"/>
  <c r="F73" i="15"/>
  <c r="E73" i="15"/>
  <c r="D73" i="15"/>
  <c r="C73" i="15"/>
  <c r="B73" i="15"/>
  <c r="Y72" i="15"/>
  <c r="Z72" i="15" s="1"/>
  <c r="H72" i="15"/>
  <c r="F72" i="15"/>
  <c r="E72" i="15"/>
  <c r="D72" i="15"/>
  <c r="C72" i="15"/>
  <c r="B72" i="15"/>
  <c r="Y71" i="15"/>
  <c r="Z71" i="15" s="1"/>
  <c r="H71" i="15"/>
  <c r="F71" i="15"/>
  <c r="E71" i="15"/>
  <c r="D71" i="15"/>
  <c r="C71" i="15"/>
  <c r="B71" i="15"/>
  <c r="Y70" i="15"/>
  <c r="Z70" i="15" s="1"/>
  <c r="H70" i="15"/>
  <c r="F70" i="15"/>
  <c r="E70" i="15"/>
  <c r="D70" i="15"/>
  <c r="C70" i="15"/>
  <c r="B70" i="15"/>
  <c r="Y69" i="15"/>
  <c r="Z69" i="15" s="1"/>
  <c r="H69" i="15"/>
  <c r="F69" i="15"/>
  <c r="E69" i="15"/>
  <c r="D69" i="15"/>
  <c r="C69" i="15"/>
  <c r="B69" i="15"/>
  <c r="Y68" i="15"/>
  <c r="Z68" i="15" s="1"/>
  <c r="H68" i="15"/>
  <c r="F68" i="15"/>
  <c r="E68" i="15"/>
  <c r="D68" i="15"/>
  <c r="C68" i="15"/>
  <c r="B68" i="15"/>
  <c r="Y67" i="15"/>
  <c r="Z67" i="15" s="1"/>
  <c r="H67" i="15"/>
  <c r="F67" i="15"/>
  <c r="E67" i="15"/>
  <c r="D67" i="15"/>
  <c r="C67" i="15"/>
  <c r="B67" i="15"/>
  <c r="Y66" i="15"/>
  <c r="Z66" i="15" s="1"/>
  <c r="H66" i="15"/>
  <c r="F66" i="15"/>
  <c r="E66" i="15"/>
  <c r="D66" i="15"/>
  <c r="C66" i="15"/>
  <c r="B66" i="15"/>
  <c r="Y65" i="15"/>
  <c r="Z65" i="15" s="1"/>
  <c r="H65" i="15"/>
  <c r="F65" i="15"/>
  <c r="E65" i="15"/>
  <c r="D65" i="15"/>
  <c r="C65" i="15"/>
  <c r="B65" i="15"/>
  <c r="Y64" i="15"/>
  <c r="Z64" i="15" s="1"/>
  <c r="H64" i="15"/>
  <c r="F64" i="15"/>
  <c r="E64" i="15"/>
  <c r="D64" i="15"/>
  <c r="C64" i="15"/>
  <c r="B64" i="15"/>
  <c r="Y63" i="15"/>
  <c r="Z63" i="15" s="1"/>
  <c r="H63" i="15"/>
  <c r="F63" i="15"/>
  <c r="E63" i="15"/>
  <c r="D63" i="15"/>
  <c r="C63" i="15"/>
  <c r="B63" i="15"/>
  <c r="Y62" i="15"/>
  <c r="Z62" i="15" s="1"/>
  <c r="H62" i="15"/>
  <c r="F62" i="15"/>
  <c r="E62" i="15"/>
  <c r="D62" i="15"/>
  <c r="C62" i="15"/>
  <c r="B62" i="15"/>
  <c r="Y61" i="15"/>
  <c r="Z61" i="15" s="1"/>
  <c r="H61" i="15"/>
  <c r="F61" i="15"/>
  <c r="E61" i="15"/>
  <c r="D61" i="15"/>
  <c r="C61" i="15"/>
  <c r="B61" i="15"/>
  <c r="Y59" i="15"/>
  <c r="Z59" i="15" s="1"/>
  <c r="H59" i="15"/>
  <c r="F59" i="15"/>
  <c r="E59" i="15"/>
  <c r="D59" i="15"/>
  <c r="C59" i="15"/>
  <c r="B59" i="15"/>
  <c r="Y58" i="15"/>
  <c r="Z58" i="15" s="1"/>
  <c r="H58" i="15"/>
  <c r="F58" i="15"/>
  <c r="E58" i="15"/>
  <c r="D58" i="15"/>
  <c r="C58" i="15"/>
  <c r="B58" i="15"/>
  <c r="Y57" i="15"/>
  <c r="Z57" i="15" s="1"/>
  <c r="H57" i="15"/>
  <c r="F57" i="15"/>
  <c r="E57" i="15"/>
  <c r="D57" i="15"/>
  <c r="C57" i="15"/>
  <c r="B57" i="15"/>
  <c r="Y56" i="15"/>
  <c r="Z56" i="15" s="1"/>
  <c r="H56" i="15"/>
  <c r="F56" i="15"/>
  <c r="E56" i="15"/>
  <c r="D56" i="15"/>
  <c r="C56" i="15"/>
  <c r="B56" i="15"/>
  <c r="Y55" i="15"/>
  <c r="Z55" i="15" s="1"/>
  <c r="H55" i="15"/>
  <c r="F55" i="15"/>
  <c r="E55" i="15"/>
  <c r="D55" i="15"/>
  <c r="C55" i="15"/>
  <c r="B55" i="15"/>
  <c r="Y53" i="15"/>
  <c r="Z53" i="15" s="1"/>
  <c r="H53" i="15"/>
  <c r="F53" i="15"/>
  <c r="E53" i="15"/>
  <c r="D53" i="15"/>
  <c r="C53" i="15"/>
  <c r="B53" i="15"/>
  <c r="Y52" i="15"/>
  <c r="Z52" i="15" s="1"/>
  <c r="H52" i="15"/>
  <c r="F52" i="15"/>
  <c r="E52" i="15"/>
  <c r="D52" i="15"/>
  <c r="C52" i="15"/>
  <c r="B52" i="15"/>
  <c r="Y51" i="15"/>
  <c r="Z51" i="15" s="1"/>
  <c r="H51" i="15"/>
  <c r="F51" i="15"/>
  <c r="E51" i="15"/>
  <c r="D51" i="15"/>
  <c r="C51" i="15"/>
  <c r="B51" i="15"/>
  <c r="Y50" i="15"/>
  <c r="Z50" i="15" s="1"/>
  <c r="H50" i="15"/>
  <c r="F50" i="15"/>
  <c r="E50" i="15"/>
  <c r="D50" i="15"/>
  <c r="C50" i="15"/>
  <c r="B50" i="15"/>
  <c r="Y49" i="15"/>
  <c r="Z49" i="15" s="1"/>
  <c r="H49" i="15"/>
  <c r="F49" i="15"/>
  <c r="E49" i="15"/>
  <c r="D49" i="15"/>
  <c r="C49" i="15"/>
  <c r="B49" i="15"/>
  <c r="Y48" i="15"/>
  <c r="Z48" i="15" s="1"/>
  <c r="H48" i="15"/>
  <c r="F48" i="15"/>
  <c r="E48" i="15"/>
  <c r="D48" i="15"/>
  <c r="C48" i="15"/>
  <c r="B48" i="15"/>
  <c r="Y47" i="15"/>
  <c r="Z47" i="15" s="1"/>
  <c r="H47" i="15"/>
  <c r="F47" i="15"/>
  <c r="E47" i="15"/>
  <c r="D47" i="15"/>
  <c r="C47" i="15"/>
  <c r="B47" i="15"/>
  <c r="Y46" i="15"/>
  <c r="Z46" i="15" s="1"/>
  <c r="H46" i="15"/>
  <c r="F46" i="15"/>
  <c r="E46" i="15"/>
  <c r="D46" i="15"/>
  <c r="C46" i="15"/>
  <c r="B46" i="15"/>
  <c r="Y45" i="15"/>
  <c r="Z45" i="15" s="1"/>
  <c r="H45" i="15"/>
  <c r="F45" i="15"/>
  <c r="E45" i="15"/>
  <c r="D45" i="15"/>
  <c r="C45" i="15"/>
  <c r="B45" i="15"/>
  <c r="Y44" i="15"/>
  <c r="Z44" i="15" s="1"/>
  <c r="H44" i="15"/>
  <c r="F44" i="15"/>
  <c r="E44" i="15"/>
  <c r="D44" i="15"/>
  <c r="C44" i="15"/>
  <c r="B44" i="15"/>
  <c r="Y43" i="15"/>
  <c r="Z43" i="15" s="1"/>
  <c r="H43" i="15"/>
  <c r="F43" i="15"/>
  <c r="E43" i="15"/>
  <c r="D43" i="15"/>
  <c r="C43" i="15"/>
  <c r="B43" i="15"/>
  <c r="Y42" i="15"/>
  <c r="Z42" i="15" s="1"/>
  <c r="H42" i="15"/>
  <c r="F42" i="15"/>
  <c r="E42" i="15"/>
  <c r="D42" i="15"/>
  <c r="C42" i="15"/>
  <c r="B42" i="15"/>
  <c r="Y41" i="15"/>
  <c r="Z41" i="15" s="1"/>
  <c r="H41" i="15"/>
  <c r="F41" i="15"/>
  <c r="E41" i="15"/>
  <c r="D41" i="15"/>
  <c r="C41" i="15"/>
  <c r="B41" i="15"/>
  <c r="Y40" i="15"/>
  <c r="Z40" i="15" s="1"/>
  <c r="H40" i="15"/>
  <c r="F40" i="15"/>
  <c r="E40" i="15"/>
  <c r="D40" i="15"/>
  <c r="C40" i="15"/>
  <c r="B40" i="15"/>
  <c r="Y39" i="15"/>
  <c r="Z39" i="15" s="1"/>
  <c r="H39" i="15"/>
  <c r="F39" i="15"/>
  <c r="E39" i="15"/>
  <c r="D39" i="15"/>
  <c r="C39" i="15"/>
  <c r="B39" i="15"/>
  <c r="Y38" i="15"/>
  <c r="Z38" i="15" s="1"/>
  <c r="H38" i="15"/>
  <c r="F38" i="15"/>
  <c r="E38" i="15"/>
  <c r="D38" i="15"/>
  <c r="C38" i="15"/>
  <c r="B38" i="15"/>
  <c r="Y37" i="15"/>
  <c r="Z37" i="15" s="1"/>
  <c r="H37" i="15"/>
  <c r="F37" i="15"/>
  <c r="E37" i="15"/>
  <c r="D37" i="15"/>
  <c r="C37" i="15"/>
  <c r="B37" i="15"/>
  <c r="Y36" i="15"/>
  <c r="Z36" i="15" s="1"/>
  <c r="H36" i="15"/>
  <c r="F36" i="15"/>
  <c r="E36" i="15"/>
  <c r="D36" i="15"/>
  <c r="C36" i="15"/>
  <c r="B36" i="15"/>
  <c r="Y35" i="15"/>
  <c r="Z35" i="15" s="1"/>
  <c r="H35" i="15"/>
  <c r="F35" i="15"/>
  <c r="E35" i="15"/>
  <c r="D35" i="15"/>
  <c r="C35" i="15"/>
  <c r="B35" i="15"/>
  <c r="Y34" i="15"/>
  <c r="Z34" i="15" s="1"/>
  <c r="H34" i="15"/>
  <c r="F34" i="15"/>
  <c r="E34" i="15"/>
  <c r="D34" i="15"/>
  <c r="C34" i="15"/>
  <c r="B34" i="15"/>
  <c r="Y33" i="15"/>
  <c r="Z33" i="15" s="1"/>
  <c r="H33" i="15"/>
  <c r="F33" i="15"/>
  <c r="E33" i="15"/>
  <c r="D33" i="15"/>
  <c r="C33" i="15"/>
  <c r="B33" i="15"/>
  <c r="Y32" i="15"/>
  <c r="Z32" i="15" s="1"/>
  <c r="H32" i="15"/>
  <c r="F32" i="15"/>
  <c r="E32" i="15"/>
  <c r="D32" i="15"/>
  <c r="C32" i="15"/>
  <c r="B32" i="15"/>
  <c r="Y31" i="15"/>
  <c r="Z31" i="15" s="1"/>
  <c r="H31" i="15"/>
  <c r="F31" i="15"/>
  <c r="E31" i="15"/>
  <c r="D31" i="15"/>
  <c r="C31" i="15"/>
  <c r="B31" i="15"/>
  <c r="Y30" i="15"/>
  <c r="Z30" i="15" s="1"/>
  <c r="H30" i="15"/>
  <c r="F30" i="15"/>
  <c r="E30" i="15"/>
  <c r="D30" i="15"/>
  <c r="C30" i="15"/>
  <c r="B30" i="15"/>
  <c r="Y29" i="15"/>
  <c r="Z29" i="15" s="1"/>
  <c r="H29" i="15"/>
  <c r="F29" i="15"/>
  <c r="E29" i="15"/>
  <c r="D29" i="15"/>
  <c r="C29" i="15"/>
  <c r="B29" i="15"/>
  <c r="Y28" i="15"/>
  <c r="Z28" i="15" s="1"/>
  <c r="H28" i="15"/>
  <c r="F28" i="15"/>
  <c r="E28" i="15"/>
  <c r="D28" i="15"/>
  <c r="C28" i="15"/>
  <c r="B28" i="15"/>
  <c r="Y27" i="15"/>
  <c r="Z27" i="15" s="1"/>
  <c r="H27" i="15"/>
  <c r="F27" i="15"/>
  <c r="E27" i="15"/>
  <c r="D27" i="15"/>
  <c r="C27" i="15"/>
  <c r="B27" i="15"/>
  <c r="Y26" i="15"/>
  <c r="Z26" i="15" s="1"/>
  <c r="H26" i="15"/>
  <c r="F26" i="15"/>
  <c r="E26" i="15"/>
  <c r="D26" i="15"/>
  <c r="C26" i="15"/>
  <c r="B26" i="15"/>
  <c r="Y25" i="15"/>
  <c r="Z25" i="15" s="1"/>
  <c r="H25" i="15"/>
  <c r="F25" i="15"/>
  <c r="E25" i="15"/>
  <c r="D25" i="15"/>
  <c r="C25" i="15"/>
  <c r="B25" i="15"/>
  <c r="Y24" i="15"/>
  <c r="Z24" i="15" s="1"/>
  <c r="H24" i="15"/>
  <c r="F24" i="15"/>
  <c r="E24" i="15"/>
  <c r="D24" i="15"/>
  <c r="C24" i="15"/>
  <c r="B24" i="15"/>
  <c r="Y23" i="15"/>
  <c r="Z23" i="15" s="1"/>
  <c r="H23" i="15"/>
  <c r="F23" i="15"/>
  <c r="E23" i="15"/>
  <c r="D23" i="15"/>
  <c r="C23" i="15"/>
  <c r="B23" i="15"/>
  <c r="Y22" i="15"/>
  <c r="Z22" i="15" s="1"/>
  <c r="H22" i="15"/>
  <c r="F22" i="15"/>
  <c r="E22" i="15"/>
  <c r="D22" i="15"/>
  <c r="C22" i="15"/>
  <c r="B22" i="15"/>
  <c r="Y21" i="15"/>
  <c r="Z21" i="15" s="1"/>
  <c r="H21" i="15"/>
  <c r="F21" i="15"/>
  <c r="E21" i="15"/>
  <c r="D21" i="15"/>
  <c r="C21" i="15"/>
  <c r="B21" i="15"/>
  <c r="Y20" i="15"/>
  <c r="Z20" i="15" s="1"/>
  <c r="H20" i="15"/>
  <c r="F20" i="15"/>
  <c r="E20" i="15"/>
  <c r="D20" i="15"/>
  <c r="C20" i="15"/>
  <c r="B20" i="15"/>
  <c r="Y19" i="15"/>
  <c r="Z19" i="15" s="1"/>
  <c r="H19" i="15"/>
  <c r="F19" i="15"/>
  <c r="E19" i="15"/>
  <c r="D19" i="15"/>
  <c r="C19" i="15"/>
  <c r="B19" i="15"/>
  <c r="Y18" i="15"/>
  <c r="Z18" i="15" s="1"/>
  <c r="H18" i="15"/>
  <c r="F18" i="15"/>
  <c r="E18" i="15"/>
  <c r="D18" i="15"/>
  <c r="C18" i="15"/>
  <c r="B18" i="15"/>
  <c r="Y17" i="15"/>
  <c r="Z17" i="15" s="1"/>
  <c r="H17" i="15"/>
  <c r="F17" i="15"/>
  <c r="E17" i="15"/>
  <c r="D17" i="15"/>
  <c r="C17" i="15"/>
  <c r="B17" i="15"/>
  <c r="Y16" i="15"/>
  <c r="Z16" i="15" s="1"/>
  <c r="H16" i="15"/>
  <c r="F16" i="15"/>
  <c r="E16" i="15"/>
  <c r="D16" i="15"/>
  <c r="C16" i="15"/>
  <c r="B16" i="15"/>
  <c r="Y15" i="15"/>
  <c r="Z15" i="15" s="1"/>
  <c r="H15" i="15"/>
  <c r="F15" i="15"/>
  <c r="E15" i="15"/>
  <c r="D15" i="15"/>
  <c r="C15" i="15"/>
  <c r="B15" i="15"/>
  <c r="Y14" i="15"/>
  <c r="Z14" i="15" s="1"/>
  <c r="H14" i="15"/>
  <c r="F14" i="15"/>
  <c r="E14" i="15"/>
  <c r="D14" i="15"/>
  <c r="C14" i="15"/>
  <c r="B14" i="15"/>
  <c r="Y13" i="15"/>
  <c r="Z13" i="15" s="1"/>
  <c r="H13" i="15"/>
  <c r="F13" i="15"/>
  <c r="E13" i="15"/>
  <c r="D13" i="15"/>
  <c r="C13" i="15"/>
  <c r="B13" i="15"/>
  <c r="Y12" i="15"/>
  <c r="Z12" i="15" s="1"/>
  <c r="H12" i="15"/>
  <c r="F12" i="15"/>
  <c r="E12" i="15"/>
  <c r="D12" i="15"/>
  <c r="C12" i="15"/>
  <c r="B12" i="15"/>
  <c r="Y11" i="15"/>
  <c r="Z11" i="15" s="1"/>
  <c r="H11" i="15"/>
  <c r="F11" i="15"/>
  <c r="E11" i="15"/>
  <c r="D11" i="15"/>
  <c r="C11" i="15"/>
  <c r="B11" i="15"/>
  <c r="Y10" i="15"/>
  <c r="Z10" i="15" s="1"/>
  <c r="H10" i="15"/>
  <c r="F10" i="15"/>
  <c r="E10" i="15"/>
  <c r="D10" i="15"/>
  <c r="C10" i="15"/>
  <c r="B10" i="15"/>
  <c r="Y9" i="15"/>
  <c r="Z9" i="15" s="1"/>
  <c r="H9" i="15"/>
  <c r="F9" i="15"/>
  <c r="E9" i="15"/>
  <c r="D9" i="15"/>
  <c r="C9" i="15"/>
  <c r="B9" i="15"/>
  <c r="Y8" i="15"/>
  <c r="Z8" i="15" s="1"/>
  <c r="H8" i="15"/>
  <c r="F8" i="15"/>
  <c r="E8" i="15"/>
  <c r="D8" i="15"/>
  <c r="C8" i="15"/>
  <c r="B8" i="15"/>
  <c r="Y7" i="15"/>
  <c r="Z7" i="15" s="1"/>
  <c r="H7" i="15"/>
  <c r="F7" i="15"/>
  <c r="E7" i="15"/>
  <c r="D7" i="15"/>
  <c r="C7" i="15"/>
  <c r="B7" i="15"/>
  <c r="Y6" i="15"/>
  <c r="Z6" i="15" s="1"/>
  <c r="H6" i="15"/>
  <c r="F6" i="15"/>
  <c r="E6" i="15"/>
  <c r="D6" i="15"/>
  <c r="C6" i="15"/>
  <c r="B6" i="15"/>
  <c r="Y5" i="15"/>
  <c r="Z5" i="15" s="1"/>
  <c r="H5" i="15"/>
  <c r="F5" i="15"/>
  <c r="E5" i="15"/>
  <c r="D5" i="15"/>
  <c r="C5" i="15"/>
  <c r="B5" i="15"/>
  <c r="Y4" i="15"/>
  <c r="Z4" i="15" s="1"/>
  <c r="H4" i="15"/>
  <c r="F4" i="15"/>
  <c r="E4" i="15"/>
  <c r="D4" i="15"/>
  <c r="C4" i="15"/>
  <c r="B4" i="15"/>
  <c r="Y3" i="15"/>
  <c r="H3" i="15"/>
  <c r="F3" i="15"/>
  <c r="E3" i="15"/>
  <c r="D3" i="15"/>
  <c r="C3" i="15"/>
  <c r="B3" i="15"/>
  <c r="O7" i="2"/>
  <c r="E7" i="7" s="1"/>
  <c r="O6" i="2"/>
  <c r="E6" i="7" s="1"/>
  <c r="O5" i="2"/>
  <c r="E5" i="7" s="1"/>
  <c r="O4" i="2"/>
  <c r="E4" i="7" s="1"/>
  <c r="O3" i="2"/>
  <c r="E3" i="7" s="1"/>
  <c r="O2" i="2"/>
  <c r="E2" i="7" s="1"/>
  <c r="L7" i="2"/>
  <c r="L6" i="2"/>
  <c r="L5" i="2"/>
  <c r="L4" i="2"/>
  <c r="L2" i="2"/>
  <c r="L3" i="2"/>
  <c r="L8" i="2" l="1"/>
  <c r="L11" i="2" s="1"/>
  <c r="L12" i="2" s="1"/>
  <c r="Y116" i="15"/>
  <c r="Y117" i="15" s="1"/>
  <c r="Z3" i="15"/>
  <c r="C139" i="4"/>
  <c r="O117" i="15" l="1"/>
  <c r="R117" i="15"/>
  <c r="Q117" i="15"/>
  <c r="U117" i="15"/>
  <c r="T117" i="15"/>
  <c r="S117" i="15"/>
  <c r="P117" i="15"/>
  <c r="B36" i="4"/>
  <c r="E10" i="4" l="1"/>
  <c r="G152" i="4" l="1"/>
  <c r="G151" i="4"/>
  <c r="AB12" i="11" s="1"/>
  <c r="G150" i="4"/>
  <c r="G149" i="4"/>
  <c r="AB10" i="11" s="1"/>
  <c r="G148" i="4"/>
  <c r="AB11" i="11" s="1"/>
  <c r="G147" i="4"/>
  <c r="G146" i="4"/>
  <c r="G143" i="4"/>
  <c r="G142" i="4"/>
  <c r="AT17" i="11" s="1"/>
  <c r="G141" i="4"/>
  <c r="G140" i="4"/>
  <c r="AX35" i="11" s="1"/>
  <c r="G139" i="4"/>
  <c r="AB14" i="11" s="1"/>
  <c r="G130" i="4"/>
  <c r="G129" i="4"/>
  <c r="G128" i="4"/>
  <c r="G126" i="4"/>
  <c r="G124" i="4"/>
  <c r="X5" i="11" s="1"/>
  <c r="G118" i="4"/>
  <c r="G117" i="4"/>
  <c r="G116" i="4"/>
  <c r="AB6" i="11" s="1"/>
  <c r="G110" i="4"/>
  <c r="G109" i="4"/>
  <c r="AB13" i="11" s="1"/>
  <c r="G106" i="4"/>
  <c r="AT18" i="11" s="1"/>
  <c r="G105" i="4"/>
  <c r="G102" i="4"/>
  <c r="G101" i="4"/>
  <c r="G96" i="4"/>
  <c r="G95" i="4"/>
  <c r="X10" i="11" s="1"/>
  <c r="G93" i="4"/>
  <c r="G91" i="4"/>
  <c r="G90" i="4"/>
  <c r="G89" i="4"/>
  <c r="G87" i="4"/>
  <c r="AB7" i="11" s="1"/>
  <c r="G82" i="4"/>
  <c r="G81" i="4"/>
  <c r="G80" i="4"/>
  <c r="AX28" i="11"/>
  <c r="AX27" i="11"/>
  <c r="AX26" i="11"/>
  <c r="AX19" i="11"/>
  <c r="AX16" i="11"/>
  <c r="G5" i="4"/>
  <c r="T2" i="8"/>
  <c r="S2" i="8"/>
  <c r="R2" i="8"/>
  <c r="Q2" i="8"/>
  <c r="P2" i="8"/>
  <c r="O2" i="8"/>
  <c r="N2" i="8"/>
  <c r="M2" i="8"/>
  <c r="L2" i="8"/>
  <c r="K2" i="8"/>
  <c r="J2" i="8"/>
  <c r="I2" i="8"/>
  <c r="H2" i="8"/>
  <c r="G2" i="8"/>
  <c r="AB4" i="11" l="1"/>
  <c r="X9" i="11"/>
  <c r="X11" i="11"/>
  <c r="AB23" i="11"/>
  <c r="AT21" i="11"/>
  <c r="B9" i="47" s="1"/>
  <c r="C9" i="47" s="1"/>
  <c r="AX37" i="11"/>
  <c r="B12" i="48" s="1"/>
  <c r="C12" i="48" s="1"/>
  <c r="AX14" i="11"/>
  <c r="AX29" i="11"/>
  <c r="AB20" i="11"/>
  <c r="AB5" i="11"/>
  <c r="AB8" i="11"/>
  <c r="AN4" i="11"/>
  <c r="AN5" i="11"/>
  <c r="AN7" i="11"/>
  <c r="Z11" i="11"/>
  <c r="AX21" i="11"/>
  <c r="AX20" i="11"/>
  <c r="AT7" i="11"/>
  <c r="AX22" i="11"/>
  <c r="AX9" i="11"/>
  <c r="AT6" i="11"/>
  <c r="AX8" i="11"/>
  <c r="AT5" i="11"/>
  <c r="AX13" i="11"/>
  <c r="AX12" i="11"/>
  <c r="AX32" i="11"/>
  <c r="AX31" i="11"/>
  <c r="AR6" i="11"/>
  <c r="AX23" i="11"/>
  <c r="B10" i="48" s="1"/>
  <c r="C10" i="48" s="1"/>
  <c r="AX33" i="11"/>
  <c r="AX34" i="11"/>
  <c r="AT10" i="11"/>
  <c r="AT9" i="11"/>
  <c r="AX15" i="11"/>
  <c r="AX11" i="11"/>
  <c r="AX10" i="11"/>
  <c r="AT15" i="11"/>
  <c r="AT14" i="11"/>
  <c r="AT13" i="11"/>
  <c r="AT12" i="11"/>
  <c r="AT16" i="11"/>
  <c r="AT32" i="11" s="1"/>
  <c r="B7" i="47" s="1"/>
  <c r="C7" i="47" s="1"/>
  <c r="AX30" i="11"/>
  <c r="AX4" i="11"/>
  <c r="AX5" i="11"/>
  <c r="AT8" i="11"/>
  <c r="AT11" i="11"/>
  <c r="AX25" i="11"/>
  <c r="AX24" i="11"/>
  <c r="AX7" i="11"/>
  <c r="AX6" i="11"/>
  <c r="AX43" i="11" s="1"/>
  <c r="B6" i="48" s="1"/>
  <c r="C6" i="48" s="1"/>
  <c r="AT4" i="11"/>
  <c r="AT28" i="11" s="1"/>
  <c r="B3" i="47" s="1"/>
  <c r="C3" i="47" s="1"/>
  <c r="AX18" i="11"/>
  <c r="AX17" i="11"/>
  <c r="AV10" i="11"/>
  <c r="B3" i="29"/>
  <c r="C3" i="29" s="1"/>
  <c r="B5" i="29"/>
  <c r="C5" i="29" s="1"/>
  <c r="B6" i="29"/>
  <c r="C6" i="29" s="1"/>
  <c r="B4" i="29"/>
  <c r="C4" i="29" s="1"/>
  <c r="AJ6" i="11"/>
  <c r="X4" i="11"/>
  <c r="J4" i="11"/>
  <c r="J5" i="11" s="1"/>
  <c r="AP6" i="11"/>
  <c r="V6" i="11"/>
  <c r="V5" i="11"/>
  <c r="AP7" i="11"/>
  <c r="Z8" i="11"/>
  <c r="AJ4" i="11"/>
  <c r="AJ5" i="11"/>
  <c r="AR7" i="11"/>
  <c r="L5" i="11"/>
  <c r="AF5" i="11"/>
  <c r="F6" i="11"/>
  <c r="R5" i="11"/>
  <c r="D6" i="11"/>
  <c r="N4" i="11"/>
  <c r="P7" i="11"/>
  <c r="AH4" i="11"/>
  <c r="AH5" i="11" s="1"/>
  <c r="X2" i="8"/>
  <c r="AL8" i="11"/>
  <c r="AP4" i="11"/>
  <c r="AR5" i="11"/>
  <c r="L7" i="11"/>
  <c r="X8" i="11"/>
  <c r="R7" i="11"/>
  <c r="Z6" i="11"/>
  <c r="F7" i="11"/>
  <c r="AP5" i="11"/>
  <c r="R4" i="11"/>
  <c r="X6" i="11"/>
  <c r="Z5" i="11"/>
  <c r="AF6" i="11"/>
  <c r="AL5" i="11"/>
  <c r="D7" i="11"/>
  <c r="V8" i="11"/>
  <c r="X7" i="11"/>
  <c r="L6" i="11"/>
  <c r="AL7" i="11"/>
  <c r="AD7" i="11"/>
  <c r="AR4" i="11"/>
  <c r="P6" i="11"/>
  <c r="F4" i="11"/>
  <c r="Z7" i="11"/>
  <c r="N5" i="11"/>
  <c r="Z4" i="11"/>
  <c r="AJ7" i="11"/>
  <c r="AL9" i="11"/>
  <c r="D4" i="11"/>
  <c r="AJ8" i="11"/>
  <c r="AF4" i="11"/>
  <c r="AD5" i="11"/>
  <c r="AL6" i="11"/>
  <c r="V7" i="11"/>
  <c r="H4" i="11"/>
  <c r="H5" i="11" s="1"/>
  <c r="R6" i="11"/>
  <c r="AR8" i="11"/>
  <c r="L4" i="11"/>
  <c r="D5" i="11"/>
  <c r="AD4" i="11"/>
  <c r="AJ9" i="11"/>
  <c r="R8" i="11"/>
  <c r="AL4" i="11"/>
  <c r="P4" i="11"/>
  <c r="F5" i="11"/>
  <c r="P5" i="11"/>
  <c r="AD6" i="11"/>
  <c r="F9" i="11"/>
  <c r="V4" i="11"/>
  <c r="F8" i="11"/>
  <c r="B141" i="4"/>
  <c r="B140" i="4"/>
  <c r="B139" i="4"/>
  <c r="B128" i="4"/>
  <c r="B126" i="4"/>
  <c r="B124" i="4"/>
  <c r="C110" i="4"/>
  <c r="C109" i="4"/>
  <c r="B95" i="4"/>
  <c r="B71" i="4"/>
  <c r="B70" i="4"/>
  <c r="B68" i="4"/>
  <c r="B50" i="4"/>
  <c r="B47" i="4"/>
  <c r="B45" i="4"/>
  <c r="B35" i="4"/>
  <c r="B33" i="4"/>
  <c r="B32" i="4"/>
  <c r="B29" i="4"/>
  <c r="B72" i="4"/>
  <c r="F152" i="4"/>
  <c r="E152" i="4"/>
  <c r="D152" i="4"/>
  <c r="C152" i="4"/>
  <c r="B152" i="4"/>
  <c r="F151" i="4"/>
  <c r="E151" i="4"/>
  <c r="D151" i="4"/>
  <c r="C151" i="4"/>
  <c r="B151" i="4"/>
  <c r="C149" i="4"/>
  <c r="B149" i="4"/>
  <c r="F149" i="4"/>
  <c r="E149" i="4"/>
  <c r="D149" i="4"/>
  <c r="D147" i="4"/>
  <c r="E147" i="4"/>
  <c r="F147" i="4"/>
  <c r="C147" i="4"/>
  <c r="B147" i="4"/>
  <c r="AX45" i="11" l="1"/>
  <c r="B8" i="48" s="1"/>
  <c r="C8" i="48" s="1"/>
  <c r="AX42" i="11"/>
  <c r="B4" i="48" s="1"/>
  <c r="C4" i="48" s="1"/>
  <c r="AT33" i="11"/>
  <c r="B6" i="47" s="1"/>
  <c r="C6" i="47" s="1"/>
  <c r="AX40" i="11"/>
  <c r="B3" i="48" s="1"/>
  <c r="C3" i="48" s="1"/>
  <c r="AX44" i="11"/>
  <c r="B7" i="48" s="1"/>
  <c r="C7" i="48" s="1"/>
  <c r="AT31" i="11"/>
  <c r="B8" i="47" s="1"/>
  <c r="C8" i="47" s="1"/>
  <c r="AX41" i="11"/>
  <c r="B5" i="48" s="1"/>
  <c r="C5" i="48" s="1"/>
  <c r="AX46" i="11"/>
  <c r="B9" i="48" s="1"/>
  <c r="C9" i="48" s="1"/>
  <c r="AT30" i="11"/>
  <c r="B5" i="47" s="1"/>
  <c r="C5" i="47" s="1"/>
  <c r="AT29" i="11"/>
  <c r="B4" i="47" s="1"/>
  <c r="C4" i="47" s="1"/>
  <c r="B148" i="4"/>
  <c r="C148" i="4"/>
  <c r="D148" i="4"/>
  <c r="E148" i="4"/>
  <c r="F148" i="4"/>
  <c r="C146" i="4"/>
  <c r="D146" i="4"/>
  <c r="E146" i="4"/>
  <c r="F146" i="4"/>
  <c r="B146" i="4"/>
  <c r="C150" i="4" l="1"/>
  <c r="D150" i="4"/>
  <c r="E150" i="4"/>
  <c r="F150" i="4"/>
  <c r="B150" i="4"/>
  <c r="D117" i="4" l="1"/>
  <c r="E117" i="4"/>
  <c r="F117" i="4"/>
  <c r="B116" i="4"/>
  <c r="C117" i="4"/>
  <c r="B117" i="4"/>
  <c r="D74" i="4"/>
  <c r="E74" i="4"/>
  <c r="F74" i="4"/>
  <c r="B74" i="4"/>
  <c r="C74" i="4"/>
  <c r="B73" i="4"/>
  <c r="D129" i="4"/>
  <c r="E129" i="4"/>
  <c r="F129" i="4"/>
  <c r="C129" i="4"/>
  <c r="B129" i="4"/>
  <c r="B130" i="4"/>
  <c r="B145" i="4" l="1"/>
  <c r="C145" i="4"/>
  <c r="D145" i="4"/>
  <c r="E145" i="4"/>
  <c r="F145" i="4"/>
  <c r="B144" i="4"/>
  <c r="C144" i="4"/>
  <c r="D144" i="4"/>
  <c r="E144" i="4"/>
  <c r="F144" i="4"/>
  <c r="C90" i="4" l="1"/>
  <c r="D90" i="4"/>
  <c r="E90" i="4"/>
  <c r="F90" i="4"/>
  <c r="B90" i="4"/>
  <c r="B91" i="4"/>
  <c r="B87" i="4" l="1"/>
  <c r="B80" i="4"/>
  <c r="B143" i="4" l="1"/>
  <c r="B96" i="4"/>
  <c r="C143" i="4" l="1"/>
  <c r="D143" i="4"/>
  <c r="E143" i="4"/>
  <c r="F143" i="4"/>
  <c r="C96" i="4"/>
  <c r="D96" i="4"/>
  <c r="E96" i="4"/>
  <c r="F96" i="4"/>
  <c r="I6" i="2"/>
  <c r="I5" i="2"/>
  <c r="I4" i="2"/>
  <c r="I3" i="2"/>
  <c r="I2" i="2"/>
  <c r="G5" i="2"/>
  <c r="G4" i="2"/>
  <c r="G3" i="2"/>
  <c r="G2" i="2"/>
  <c r="E6" i="2"/>
  <c r="E5" i="2"/>
  <c r="E4" i="2"/>
  <c r="E3" i="2"/>
  <c r="E2" i="2"/>
  <c r="I8" i="2" l="1"/>
  <c r="B142" i="4" l="1"/>
  <c r="F142" i="4"/>
  <c r="E142" i="4"/>
  <c r="D142" i="4"/>
  <c r="C142" i="4"/>
  <c r="C116" i="4" l="1"/>
  <c r="D116" i="4"/>
  <c r="E116" i="4"/>
  <c r="F116" i="4"/>
  <c r="F80" i="4"/>
  <c r="E80" i="4"/>
  <c r="D80" i="4"/>
  <c r="C80" i="4"/>
  <c r="F72" i="4" l="1"/>
  <c r="F87" i="4" l="1"/>
  <c r="F91" i="4"/>
  <c r="E87" i="4"/>
  <c r="E91" i="4"/>
  <c r="D91" i="4"/>
  <c r="D87" i="4"/>
  <c r="C87" i="4"/>
  <c r="C91" i="4"/>
  <c r="O8" i="2" l="1"/>
  <c r="C51" i="4" l="1"/>
  <c r="N8" i="2" l="1"/>
  <c r="C141" i="4" l="1"/>
  <c r="D141" i="4"/>
  <c r="E141" i="4"/>
  <c r="F141" i="4"/>
  <c r="F140" i="4"/>
  <c r="F139" i="4"/>
  <c r="F138" i="4"/>
  <c r="E140" i="4"/>
  <c r="E139" i="4"/>
  <c r="E138" i="4"/>
  <c r="D140" i="4"/>
  <c r="D139" i="4"/>
  <c r="D138" i="4"/>
  <c r="C140" i="4"/>
  <c r="C138" i="4"/>
  <c r="B138" i="4"/>
  <c r="B134" i="4"/>
  <c r="C134" i="4"/>
  <c r="D134" i="4"/>
  <c r="E134" i="4"/>
  <c r="F134" i="4"/>
  <c r="B135" i="4"/>
  <c r="B136" i="4"/>
  <c r="C135" i="4"/>
  <c r="C136" i="4"/>
  <c r="C137" i="4"/>
  <c r="D135" i="4"/>
  <c r="D136" i="4"/>
  <c r="D137" i="4"/>
  <c r="F133" i="4"/>
  <c r="F135" i="4"/>
  <c r="F136" i="4"/>
  <c r="F137" i="4"/>
  <c r="E133" i="4"/>
  <c r="E135" i="4"/>
  <c r="E136" i="4"/>
  <c r="E137" i="4"/>
  <c r="D133" i="4"/>
  <c r="C133" i="4"/>
  <c r="C132" i="4"/>
  <c r="D132" i="4"/>
  <c r="E132" i="4"/>
  <c r="F132" i="4"/>
  <c r="B132" i="4"/>
  <c r="F128" i="4"/>
  <c r="F130" i="4"/>
  <c r="F131" i="4"/>
  <c r="E128" i="4"/>
  <c r="E130" i="4"/>
  <c r="E131" i="4"/>
  <c r="D128" i="4"/>
  <c r="D130" i="4"/>
  <c r="D131" i="4"/>
  <c r="C128" i="4"/>
  <c r="C130" i="4"/>
  <c r="C131" i="4"/>
  <c r="B131" i="4"/>
  <c r="C127" i="4"/>
  <c r="D127" i="4"/>
  <c r="E127" i="4"/>
  <c r="C126" i="4"/>
  <c r="D126" i="4"/>
  <c r="E125" i="4"/>
  <c r="D125" i="4"/>
  <c r="C125" i="4"/>
  <c r="C124" i="4"/>
  <c r="E126" i="4"/>
  <c r="C123" i="4"/>
  <c r="D124" i="4"/>
  <c r="D123" i="4"/>
  <c r="E124" i="4"/>
  <c r="E123" i="4"/>
  <c r="F127" i="4"/>
  <c r="F126" i="4"/>
  <c r="F125" i="4"/>
  <c r="F124" i="4"/>
  <c r="F123" i="4"/>
  <c r="B127" i="4"/>
  <c r="B125" i="4"/>
  <c r="F122" i="4"/>
  <c r="E122" i="4"/>
  <c r="D122" i="4"/>
  <c r="C122" i="4"/>
  <c r="B122" i="4"/>
  <c r="B121" i="4"/>
  <c r="C121" i="4"/>
  <c r="D121" i="4"/>
  <c r="E121" i="4"/>
  <c r="F121" i="4"/>
  <c r="F120" i="4"/>
  <c r="F119" i="4"/>
  <c r="E120" i="4"/>
  <c r="E119" i="4"/>
  <c r="D120" i="4"/>
  <c r="D119" i="4"/>
  <c r="C120" i="4"/>
  <c r="C119" i="4"/>
  <c r="B120" i="4"/>
  <c r="B119" i="4"/>
  <c r="B118" i="4"/>
  <c r="C118" i="4"/>
  <c r="D118" i="4"/>
  <c r="E118" i="4"/>
  <c r="F118" i="4"/>
  <c r="F115" i="4"/>
  <c r="E115" i="4"/>
  <c r="D115" i="4"/>
  <c r="C115" i="4"/>
  <c r="B115" i="4"/>
  <c r="D114" i="4"/>
  <c r="D113" i="4"/>
  <c r="C114" i="4"/>
  <c r="C113" i="4"/>
  <c r="E113" i="4"/>
  <c r="E114" i="4"/>
  <c r="F114" i="4"/>
  <c r="F113" i="4"/>
  <c r="B114" i="4"/>
  <c r="B113" i="4"/>
  <c r="F112" i="4"/>
  <c r="E112" i="4"/>
  <c r="D112" i="4"/>
  <c r="C112" i="4"/>
  <c r="B112" i="4"/>
  <c r="B111" i="4"/>
  <c r="C111" i="4"/>
  <c r="D111" i="4"/>
  <c r="E111" i="4"/>
  <c r="F111" i="4"/>
  <c r="F110" i="4"/>
  <c r="E110" i="4"/>
  <c r="D110" i="4"/>
  <c r="B110" i="4"/>
  <c r="D109" i="4"/>
  <c r="E109" i="4"/>
  <c r="F109" i="4"/>
  <c r="B109" i="4"/>
  <c r="F108" i="4"/>
  <c r="E108" i="4"/>
  <c r="D108" i="4"/>
  <c r="C108" i="4"/>
  <c r="B108" i="4"/>
  <c r="F107" i="4"/>
  <c r="E107" i="4"/>
  <c r="D107" i="4"/>
  <c r="C107" i="4"/>
  <c r="B107" i="4"/>
  <c r="F106" i="4"/>
  <c r="E106" i="4"/>
  <c r="D106" i="4"/>
  <c r="C106" i="4"/>
  <c r="B106" i="4"/>
  <c r="F105" i="4"/>
  <c r="E105" i="4"/>
  <c r="D105" i="4"/>
  <c r="C105" i="4"/>
  <c r="C104" i="4"/>
  <c r="B105" i="4"/>
  <c r="F104" i="4"/>
  <c r="E104" i="4"/>
  <c r="D104" i="4"/>
  <c r="B104" i="4"/>
  <c r="C102" i="4"/>
  <c r="C103" i="4"/>
  <c r="F103" i="4"/>
  <c r="E103" i="4"/>
  <c r="D103" i="4"/>
  <c r="B103" i="4"/>
  <c r="F102" i="4"/>
  <c r="E102" i="4"/>
  <c r="D102" i="4"/>
  <c r="B102" i="4"/>
  <c r="C101" i="4"/>
  <c r="B101" i="4"/>
  <c r="D101" i="4"/>
  <c r="E101" i="4"/>
  <c r="F101" i="4"/>
  <c r="C100" i="4"/>
  <c r="C99" i="4"/>
  <c r="D99" i="4"/>
  <c r="E99" i="4"/>
  <c r="F99" i="4"/>
  <c r="F98" i="4"/>
  <c r="E98" i="4"/>
  <c r="D98" i="4"/>
  <c r="C98" i="4"/>
  <c r="B99" i="4"/>
  <c r="B98" i="4"/>
  <c r="D97" i="4"/>
  <c r="E97" i="4"/>
  <c r="F97" i="4"/>
  <c r="F95" i="4"/>
  <c r="C97" i="4"/>
  <c r="B97" i="4"/>
  <c r="C95" i="4"/>
  <c r="D95" i="4"/>
  <c r="E95" i="4"/>
  <c r="E94" i="4"/>
  <c r="F94" i="4"/>
  <c r="D94" i="4"/>
  <c r="C94" i="4"/>
  <c r="B94" i="4"/>
  <c r="C93" i="4"/>
  <c r="D93" i="4"/>
  <c r="E93" i="4"/>
  <c r="F93" i="4"/>
  <c r="F92" i="4"/>
  <c r="B93" i="4"/>
  <c r="D92" i="4"/>
  <c r="E92" i="4"/>
  <c r="B92" i="4"/>
  <c r="C92" i="4"/>
  <c r="F89" i="4"/>
  <c r="E89" i="4"/>
  <c r="D89" i="4"/>
  <c r="C89" i="4"/>
  <c r="B89" i="4"/>
  <c r="F88" i="4"/>
  <c r="E88" i="4"/>
  <c r="D88" i="4"/>
  <c r="C88" i="4"/>
  <c r="B88" i="4"/>
  <c r="D85" i="4"/>
  <c r="E85" i="4"/>
  <c r="F85" i="4"/>
  <c r="B85" i="4"/>
  <c r="C85" i="4"/>
  <c r="F81" i="4"/>
  <c r="C81" i="4"/>
  <c r="B81" i="4"/>
  <c r="F82" i="4"/>
  <c r="B82" i="4"/>
  <c r="C82" i="4"/>
  <c r="D82" i="4"/>
  <c r="D81" i="4"/>
  <c r="E82" i="4"/>
  <c r="E81" i="4"/>
  <c r="C79" i="4"/>
  <c r="F79" i="4"/>
  <c r="F83" i="4"/>
  <c r="F84" i="4"/>
  <c r="F86" i="4"/>
  <c r="E78" i="4"/>
  <c r="E79" i="4"/>
  <c r="E83" i="4"/>
  <c r="E84" i="4"/>
  <c r="E86" i="4"/>
  <c r="D78" i="4"/>
  <c r="D79" i="4"/>
  <c r="D83" i="4"/>
  <c r="D84" i="4"/>
  <c r="D86" i="4"/>
  <c r="C78" i="4"/>
  <c r="C83" i="4"/>
  <c r="C84" i="4"/>
  <c r="C86" i="4"/>
  <c r="B78" i="4"/>
  <c r="B79" i="4"/>
  <c r="B83" i="4"/>
  <c r="B84" i="4"/>
  <c r="B86" i="4"/>
  <c r="F78" i="4"/>
  <c r="B77" i="4"/>
  <c r="C77" i="4"/>
  <c r="D77" i="4"/>
  <c r="E77" i="4"/>
  <c r="F77" i="4"/>
  <c r="F76" i="4"/>
  <c r="E76" i="4"/>
  <c r="D76" i="4"/>
  <c r="C76" i="4"/>
  <c r="B76" i="4"/>
  <c r="B62" i="4"/>
  <c r="B61" i="4"/>
  <c r="C62" i="4"/>
  <c r="C61" i="4"/>
  <c r="F62" i="4"/>
  <c r="F61" i="4"/>
  <c r="E61" i="4"/>
  <c r="D62" i="4"/>
  <c r="E62" i="4"/>
  <c r="B64" i="4"/>
  <c r="E64" i="4"/>
  <c r="D64" i="4"/>
  <c r="C64" i="4"/>
  <c r="F64" i="4"/>
  <c r="B65" i="4" l="1"/>
  <c r="F75" i="4" l="1"/>
  <c r="F73" i="4"/>
  <c r="E75" i="4"/>
  <c r="E73" i="4"/>
  <c r="E72" i="4"/>
  <c r="D75" i="4"/>
  <c r="D73" i="4"/>
  <c r="D72" i="4"/>
  <c r="C75" i="4"/>
  <c r="C73" i="4"/>
  <c r="C72" i="4"/>
  <c r="C71" i="4"/>
  <c r="F70" i="4"/>
  <c r="F69" i="4"/>
  <c r="E70" i="4"/>
  <c r="E69" i="4"/>
  <c r="D70" i="4"/>
  <c r="D69" i="4"/>
  <c r="C70" i="4"/>
  <c r="C69" i="4"/>
  <c r="B69" i="4"/>
  <c r="B67" i="4"/>
  <c r="C67" i="4"/>
  <c r="D67" i="4"/>
  <c r="E67" i="4"/>
  <c r="F67" i="4"/>
  <c r="C68" i="4"/>
  <c r="D68" i="4"/>
  <c r="F68" i="4"/>
  <c r="E68" i="4"/>
  <c r="D71" i="4"/>
  <c r="E71" i="4"/>
  <c r="F71" i="4"/>
  <c r="F66" i="4"/>
  <c r="E66" i="4"/>
  <c r="D66" i="4"/>
  <c r="C66" i="4"/>
  <c r="C65" i="4"/>
  <c r="D65" i="4"/>
  <c r="E65" i="4"/>
  <c r="F65" i="4"/>
  <c r="F63" i="4"/>
  <c r="E63" i="4"/>
  <c r="D63" i="4"/>
  <c r="C63" i="4"/>
  <c r="B75" i="4"/>
  <c r="B66" i="4"/>
  <c r="B63" i="4"/>
  <c r="D61" i="4"/>
  <c r="F60" i="4"/>
  <c r="E60" i="4"/>
  <c r="D60" i="4"/>
  <c r="C60" i="4"/>
  <c r="B60" i="4"/>
  <c r="C58" i="4"/>
  <c r="D58" i="4"/>
  <c r="E58" i="4"/>
  <c r="F58" i="4"/>
  <c r="B58" i="4"/>
  <c r="B57" i="4"/>
  <c r="F59" i="4"/>
  <c r="E59" i="4"/>
  <c r="D59" i="4"/>
  <c r="C59" i="4"/>
  <c r="B59" i="4"/>
  <c r="F57" i="4"/>
  <c r="F56" i="4"/>
  <c r="E57" i="4"/>
  <c r="E56" i="4"/>
  <c r="D57" i="4"/>
  <c r="D56" i="4"/>
  <c r="C57" i="4"/>
  <c r="C56" i="4"/>
  <c r="B56" i="4"/>
  <c r="F50" i="4" l="1"/>
  <c r="C55" i="4"/>
  <c r="C54" i="4"/>
  <c r="C53" i="4"/>
  <c r="C52" i="4"/>
  <c r="C50" i="4"/>
  <c r="D47" i="4" l="1"/>
  <c r="F54" i="4" l="1"/>
  <c r="F55" i="4"/>
  <c r="E54" i="4"/>
  <c r="E55" i="4"/>
  <c r="D54" i="4"/>
  <c r="D55" i="4"/>
  <c r="B54" i="4"/>
  <c r="B55" i="4"/>
  <c r="D53" i="4"/>
  <c r="E53" i="4"/>
  <c r="F53" i="4"/>
  <c r="B53" i="4"/>
  <c r="D51" i="4"/>
  <c r="D52" i="4"/>
  <c r="E52" i="4"/>
  <c r="E51" i="4"/>
  <c r="F52" i="4"/>
  <c r="F51" i="4"/>
  <c r="B52" i="4"/>
  <c r="B51" i="4"/>
  <c r="F49" i="4"/>
  <c r="E50" i="4"/>
  <c r="E49" i="4"/>
  <c r="D50" i="4"/>
  <c r="D49" i="4"/>
  <c r="C49" i="4"/>
  <c r="B49" i="4"/>
  <c r="D48" i="4"/>
  <c r="F48" i="4"/>
  <c r="F47" i="4"/>
  <c r="E48" i="4"/>
  <c r="E47" i="4"/>
  <c r="C48" i="4"/>
  <c r="C47" i="4"/>
  <c r="B48" i="4"/>
  <c r="F44" i="4"/>
  <c r="E44" i="4"/>
  <c r="D44" i="4"/>
  <c r="F46" i="4"/>
  <c r="F45" i="4"/>
  <c r="E46" i="4"/>
  <c r="E45" i="4"/>
  <c r="D46" i="4"/>
  <c r="D45" i="4"/>
  <c r="C46" i="4"/>
  <c r="C45" i="4"/>
  <c r="C44" i="4"/>
  <c r="B46" i="4"/>
  <c r="B44" i="4"/>
  <c r="F43" i="4"/>
  <c r="E43" i="4"/>
  <c r="D43" i="4"/>
  <c r="C43" i="4"/>
  <c r="B43" i="4"/>
  <c r="F42" i="4"/>
  <c r="E42" i="4"/>
  <c r="D42" i="4"/>
  <c r="C42" i="4"/>
  <c r="B42" i="4"/>
  <c r="F41" i="4"/>
  <c r="E41" i="4"/>
  <c r="D41" i="4"/>
  <c r="C41" i="4"/>
  <c r="B41" i="4"/>
  <c r="F40" i="4"/>
  <c r="E40" i="4"/>
  <c r="D40" i="4"/>
  <c r="C40" i="4"/>
  <c r="B40" i="4"/>
  <c r="F37" i="4" l="1"/>
  <c r="F38" i="4"/>
  <c r="F39" i="4"/>
  <c r="E39" i="4"/>
  <c r="E38" i="4"/>
  <c r="E37" i="4"/>
  <c r="D39" i="4"/>
  <c r="D38" i="4"/>
  <c r="D37" i="4"/>
  <c r="C39" i="4"/>
  <c r="C38" i="4"/>
  <c r="C37" i="4"/>
  <c r="B39" i="4"/>
  <c r="B38" i="4"/>
  <c r="B37" i="4"/>
  <c r="F36" i="4" l="1"/>
  <c r="E36" i="4"/>
  <c r="D36" i="4"/>
  <c r="C36" i="4"/>
  <c r="F35" i="4" l="1"/>
  <c r="F34" i="4"/>
  <c r="F33" i="4"/>
  <c r="F32" i="4"/>
  <c r="E35" i="4"/>
  <c r="E34" i="4"/>
  <c r="E33" i="4"/>
  <c r="E32" i="4"/>
  <c r="C35" i="4"/>
  <c r="C34" i="4"/>
  <c r="C33" i="4"/>
  <c r="C32" i="4"/>
  <c r="D35" i="4"/>
  <c r="D34" i="4"/>
  <c r="D33" i="4"/>
  <c r="D32" i="4"/>
  <c r="B34" i="4"/>
  <c r="B31" i="4" l="1"/>
  <c r="C31" i="4"/>
  <c r="D31" i="4"/>
  <c r="E31" i="4"/>
  <c r="F31" i="4"/>
  <c r="F30" i="4" l="1"/>
  <c r="E30" i="4"/>
  <c r="D30" i="4"/>
  <c r="C30" i="4"/>
  <c r="F29" i="4"/>
  <c r="E29" i="4"/>
  <c r="D29" i="4"/>
  <c r="C29" i="4"/>
  <c r="C28" i="4"/>
  <c r="D28" i="4"/>
  <c r="E28" i="4"/>
  <c r="F28" i="4"/>
  <c r="F27" i="4"/>
  <c r="E27" i="4"/>
  <c r="D27" i="4"/>
  <c r="C27" i="4"/>
  <c r="F26" i="4"/>
  <c r="E26" i="4"/>
  <c r="D26" i="4"/>
  <c r="C26" i="4"/>
  <c r="F25" i="4"/>
  <c r="E25" i="4"/>
  <c r="D25" i="4"/>
  <c r="C25" i="4"/>
  <c r="B30" i="4"/>
  <c r="B28" i="4"/>
  <c r="B27" i="4"/>
  <c r="B26" i="4"/>
  <c r="B25" i="4"/>
  <c r="F24" i="4" l="1"/>
  <c r="E24" i="4"/>
  <c r="D24" i="4"/>
  <c r="D23" i="4"/>
  <c r="C24" i="4"/>
  <c r="B24" i="4"/>
  <c r="F22" i="4"/>
  <c r="E22" i="4"/>
  <c r="D22" i="4"/>
  <c r="C22" i="4"/>
  <c r="B22" i="4"/>
  <c r="B21" i="4"/>
  <c r="F23" i="4"/>
  <c r="E23" i="4"/>
  <c r="C23" i="4"/>
  <c r="B23" i="4"/>
  <c r="C21" i="4" l="1"/>
  <c r="D21" i="4"/>
  <c r="E21" i="4"/>
  <c r="F21" i="4"/>
  <c r="F20" i="4"/>
  <c r="F19" i="4"/>
  <c r="F18" i="4"/>
  <c r="E20" i="4"/>
  <c r="E19" i="4"/>
  <c r="E18" i="4"/>
  <c r="D20" i="4"/>
  <c r="D19" i="4"/>
  <c r="D18" i="4"/>
  <c r="C20" i="4"/>
  <c r="C19" i="4"/>
  <c r="C18" i="4"/>
  <c r="B20" i="4"/>
  <c r="B19" i="4"/>
  <c r="B18" i="4"/>
  <c r="F17" i="4"/>
  <c r="E17" i="4"/>
  <c r="D17" i="4"/>
  <c r="C17" i="4"/>
  <c r="B17" i="4"/>
  <c r="F16" i="4" l="1"/>
  <c r="E16" i="4"/>
  <c r="D16" i="4"/>
  <c r="C16" i="4"/>
  <c r="B16" i="4"/>
  <c r="F14" i="4" l="1"/>
  <c r="F13" i="4"/>
  <c r="E14" i="4"/>
  <c r="E13" i="4"/>
  <c r="D14" i="4"/>
  <c r="D13" i="4"/>
  <c r="C14" i="4"/>
  <c r="C13" i="4"/>
  <c r="B14" i="4"/>
  <c r="B13" i="4"/>
  <c r="F15" i="4" l="1"/>
  <c r="E15" i="4"/>
  <c r="D15" i="4"/>
  <c r="C15" i="4"/>
  <c r="B15" i="4"/>
  <c r="E11" i="4"/>
  <c r="D12" i="4"/>
  <c r="E12" i="4"/>
  <c r="F12" i="4"/>
  <c r="C12" i="4"/>
  <c r="C11" i="4"/>
  <c r="B12" i="4"/>
  <c r="F11" i="4" l="1"/>
  <c r="F9" i="4" l="1"/>
  <c r="E9" i="4"/>
  <c r="D9" i="4"/>
  <c r="C9" i="4"/>
  <c r="B9" i="4"/>
  <c r="E8" i="4" l="1"/>
  <c r="F8" i="4" l="1"/>
  <c r="D8" i="4"/>
  <c r="C8" i="4"/>
  <c r="B8" i="4"/>
  <c r="C7" i="4"/>
  <c r="B7" i="4"/>
  <c r="C6" i="4"/>
  <c r="D6" i="4"/>
  <c r="E6" i="4"/>
  <c r="F6" i="4"/>
  <c r="F5" i="4"/>
  <c r="B6" i="4"/>
  <c r="E7" i="4"/>
  <c r="E5" i="4"/>
  <c r="D11" i="4"/>
  <c r="D7" i="4"/>
  <c r="D10" i="4"/>
  <c r="D5" i="4"/>
  <c r="C10" i="4"/>
  <c r="C5" i="4"/>
  <c r="F10" i="4"/>
  <c r="F7" i="4"/>
  <c r="B11" i="4" l="1"/>
  <c r="B10" i="4"/>
  <c r="B5" i="4"/>
  <c r="H8" i="2" l="1"/>
  <c r="F8" i="2"/>
  <c r="H11" i="2" l="1"/>
  <c r="G8" i="2"/>
  <c r="I10" i="2" s="1"/>
  <c r="E8" i="2"/>
  <c r="G10" i="2" s="1"/>
  <c r="I11" i="2" l="1"/>
  <c r="I12" i="2" s="1"/>
  <c r="G11" i="2"/>
  <c r="G12" i="2" s="1"/>
  <c r="D3" i="2" l="1"/>
  <c r="D4" i="2"/>
  <c r="D5" i="2"/>
  <c r="D6" i="2"/>
  <c r="D2" i="2"/>
  <c r="B33" i="7" l="1"/>
  <c r="B6" i="7"/>
  <c r="B29" i="7"/>
  <c r="B2" i="7"/>
  <c r="B32" i="7"/>
  <c r="B5" i="7"/>
  <c r="B31" i="7"/>
  <c r="B4" i="7"/>
  <c r="B30" i="7"/>
  <c r="B3" i="7"/>
  <c r="D8" i="2"/>
  <c r="E10" i="2" s="1"/>
  <c r="C8" i="2"/>
  <c r="C11" i="2" s="1"/>
  <c r="F11" i="2" l="1"/>
  <c r="E11" i="2"/>
  <c r="E12" i="2" s="1"/>
  <c r="B8" i="2"/>
  <c r="C10" i="2" s="1"/>
  <c r="C12" i="2" s="1"/>
</calcChain>
</file>

<file path=xl/sharedStrings.xml><?xml version="1.0" encoding="utf-8"?>
<sst xmlns="http://schemas.openxmlformats.org/spreadsheetml/2006/main" count="16245" uniqueCount="3815">
  <si>
    <t>Year</t>
  </si>
  <si>
    <t>Title</t>
  </si>
  <si>
    <t>Venue</t>
  </si>
  <si>
    <t>Type</t>
  </si>
  <si>
    <t>Publisher</t>
  </si>
  <si>
    <t>IEEE</t>
  </si>
  <si>
    <t>Journal</t>
  </si>
  <si>
    <t>Conference</t>
  </si>
  <si>
    <t>OK</t>
  </si>
  <si>
    <t>Link</t>
  </si>
  <si>
    <t>New approach for model merging and transformation</t>
  </si>
  <si>
    <t>International Conference on Computer Communication and Informatics</t>
  </si>
  <si>
    <t>https://doi.org/10.1109/ICCCI.2012.6158834</t>
  </si>
  <si>
    <t>International Conference on Model-Driven Engineering and Software Development (MODELSWARD)</t>
  </si>
  <si>
    <t>Collaborative editing of EMF/Ecore meta-models and models conflict detection, reconciliation, and merging in DiCoMEF</t>
  </si>
  <si>
    <t>https://ieeexplore.ieee.org/document/7018448</t>
  </si>
  <si>
    <t>Composite-based conflict resolution in merging versions of UML models</t>
  </si>
  <si>
    <t>International Conference on Software Engineering, Artificial Intelligence, Networking and Parallel/Distributed Computing (SNPD)</t>
  </si>
  <si>
    <t>10.1109/SNPD.2016.7515890</t>
  </si>
  <si>
    <t>Citation</t>
  </si>
  <si>
    <t>Early Conflict Detection with Mined Models</t>
  </si>
  <si>
    <t>International Symposium on Software Reliability Engineering Workshops</t>
  </si>
  <si>
    <t>10.1109/ISSREW.2014.33</t>
  </si>
  <si>
    <t>Workshop</t>
  </si>
  <si>
    <t>Operation-based conflict detection and resolution</t>
  </si>
  <si>
    <t>https://doi.org/10.1109/CVSM.2009.5071721</t>
  </si>
  <si>
    <t>ICSE Workshop on Comparison and Versioning of Software Models</t>
  </si>
  <si>
    <t>Using Stakeholder Analysis for Improving Statechart Merging in Software Requirement Management</t>
  </si>
  <si>
    <t>International Conference for Young Computer Scientists</t>
  </si>
  <si>
    <t>10.1109/ICYCS.2008.280</t>
  </si>
  <si>
    <t>Collaborative-Design Conflicts: Costs and Solutions</t>
  </si>
  <si>
    <t>https://doi.org/10.1109/MS.2018.290110057</t>
  </si>
  <si>
    <t>EMFStore: a model repository for EMF models</t>
  </si>
  <si>
    <t>International Conference on Software Engineering</t>
  </si>
  <si>
    <t>10.1145/1810295.1810364</t>
  </si>
  <si>
    <t>Inconsistency Resolution in Merging Versions of Architectural Models</t>
  </si>
  <si>
    <t>Conference on Software Architecture</t>
  </si>
  <si>
    <t>https://doi.org/10.1109/WICSA.2014.31</t>
  </si>
  <si>
    <t>Handling Concurrent Changes in Collaborative Process Model Development: A Change-Pattern Based Approach</t>
  </si>
  <si>
    <t>International Enterprise Distributed Object Computing Conference</t>
  </si>
  <si>
    <t>https://doi.org/10.1109/EDOCW.2013.34</t>
  </si>
  <si>
    <t>IEEE Symposium on Visual Languages and Human-Centric Computing (VL/HCC)</t>
  </si>
  <si>
    <t>Evaluating the efficiency of using a search-based automated model merge technique</t>
  </si>
  <si>
    <t>10.1109/VLHCC.2018.8506512</t>
  </si>
  <si>
    <t>Improving conflict resolution in model versioning systems</t>
  </si>
  <si>
    <t>10.1109/ICSE-COMPANION.2009.5071020</t>
  </si>
  <si>
    <t>International Conference on Software Engineering - Companion Volume</t>
  </si>
  <si>
    <t>Proactive Detection of Higher-Order Software Design Conflicts</t>
  </si>
  <si>
    <t>https://doi.org/10.1109/WICSA.2015.15</t>
  </si>
  <si>
    <t>Detection of Semantically Equivalent Fragments for Business Process Model Change Management</t>
  </si>
  <si>
    <t>International Conference on Services Computing</t>
  </si>
  <si>
    <t>https://doi.org/10.1109/SCC.2010.38</t>
  </si>
  <si>
    <t>Comparing State- and Operation-Based Change Tracking on Models</t>
  </si>
  <si>
    <t>https://doi.org/10.1109/EDOC.2010.15</t>
  </si>
  <si>
    <t>Conflict Analysis at Collaborative Development of Domain Specific Models using Description Logics</t>
  </si>
  <si>
    <t>International Conference on System Sciences</t>
  </si>
  <si>
    <t>10.1109/HICSS.2011.126</t>
  </si>
  <si>
    <t>Consistency-preserving edit scripts in model versioning</t>
  </si>
  <si>
    <t>International Conference on Automated Software Engineering (ASE)</t>
  </si>
  <si>
    <t>10.1109/ASE.2013.6693079</t>
  </si>
  <si>
    <t>Supporting Collaborative Development in an Open MDA Environment</t>
  </si>
  <si>
    <t>International Conference on Software Maintenance</t>
  </si>
  <si>
    <t>10.1109/ICSM.2006.64</t>
  </si>
  <si>
    <t>A UML profile for modeling the conflicts in model merging</t>
  </si>
  <si>
    <t>International Conference on Knowledge-Based Engineering and Innovation</t>
  </si>
  <si>
    <t>10.1109/KBEI.2017.8324972</t>
  </si>
  <si>
    <t>Merging of Use Case Models: Semantic Foundations</t>
  </si>
  <si>
    <t>International Symposium on Theoretical Aspects of Software Engineering</t>
  </si>
  <si>
    <t>10.1109/TASE.2009.34</t>
  </si>
  <si>
    <t>Merging requirements views with incompleteness and inconsistency</t>
  </si>
  <si>
    <t>Australian Software Engineering Conference</t>
  </si>
  <si>
    <t>10.1109/ASWEC.2005.29</t>
  </si>
  <si>
    <t>iVuBlender: a tool for merging incomplete and inconsistent views</t>
  </si>
  <si>
    <t> International Conference on Requirements Engineering (RE'05)</t>
  </si>
  <si>
    <t>10.1109/RE.2005.35</t>
  </si>
  <si>
    <t>GK-Tail+ An Efficient Approach to Learn Software Models</t>
  </si>
  <si>
    <t>IEEE Transactions on Software Engineering</t>
  </si>
  <si>
    <t>10.1109/TSE.2016.2623623</t>
  </si>
  <si>
    <t>SiPL -- A Delta-Based Modeling Framework for Software Product Line Engineering</t>
  </si>
  <si>
    <t>10.1109/ASE.2015.106</t>
  </si>
  <si>
    <t>RuCORD: Rule-based composite operation recovering and detection to support cooperative edition of (Meta)models</t>
  </si>
  <si>
    <t>https://ieeexplore.ieee.org/document/7323165</t>
  </si>
  <si>
    <t>PDF</t>
  </si>
  <si>
    <t>A Model for the Integration of Prioritized Knowledge Bases Through Subjective Belief Games</t>
  </si>
  <si>
    <t>IEEE Transactions on Systems, Man, and Cybernetics - Part A: Systems and Humans</t>
  </si>
  <si>
    <t>10.1109/TSMCA.2010.2052599</t>
  </si>
  <si>
    <t>History-based merging of models</t>
  </si>
  <si>
    <t>10.1109/CVSM.2009.5071716</t>
  </si>
  <si>
    <t>An AHP-Based Method to Fix Inconsistencies in UML Collaborative Modeling</t>
  </si>
  <si>
    <t>10.1109/CIST.2018.8596468</t>
  </si>
  <si>
    <t>Ok</t>
  </si>
  <si>
    <t>International Congress on Information Science and Technology (CiSt)</t>
  </si>
  <si>
    <t>Technology Support for Collaborative Inconsistency Management in Model Driven Engineering</t>
  </si>
  <si>
    <t>https://doi.org/10.1109/HICSS.2010.363</t>
  </si>
  <si>
    <t>Toward Inconsistency Awareness in Collaborative Software Development</t>
  </si>
  <si>
    <t>Asia-Pacific Software Engineering Conference</t>
  </si>
  <si>
    <t>10.1109/APSEC.2011.24</t>
  </si>
  <si>
    <t>Inconsistency management framework for model-based development</t>
  </si>
  <si>
    <t>International Conference on Software Engineering (ICSE)</t>
  </si>
  <si>
    <t>10.1145/1985793.1986005</t>
  </si>
  <si>
    <t>Computing repair trees for resolving inconsistencies in design models</t>
  </si>
  <si>
    <t>IEEE/ACM International Conference on Automated Software</t>
  </si>
  <si>
    <t>10.1145/2351676.2351707</t>
  </si>
  <si>
    <t>Detecting and fixing UML model inconsistencies using constraints</t>
  </si>
  <si>
    <t>10.1109/CIST.2016.7805060</t>
  </si>
  <si>
    <t>International Colloquium on Information Science and Technology (CiSt)</t>
  </si>
  <si>
    <t>Inconsistency Management between Architectural Decisions and Designs Using Constraints and Model Fixes</t>
  </si>
  <si>
    <t>10.1109/ASWEC.2014.33</t>
  </si>
  <si>
    <t>Model Management Tools for Models of Different Domains: A Systematic Literature Review</t>
  </si>
  <si>
    <t>International Systems Conference (SysCon)</t>
  </si>
  <si>
    <t>10.1109/SYSCON.2019.8836869</t>
  </si>
  <si>
    <t>Detecting and Repairing Inconsistencies across Heterogeneous Models</t>
  </si>
  <si>
    <t>International Conference on Software Testing, Verification, and Validation</t>
  </si>
  <si>
    <t>10.1109/ICST.2008.23</t>
  </si>
  <si>
    <t>Analyzing semantic relationships between multiformalism models for inconsistency management</t>
  </si>
  <si>
    <t>Annual IEEE Systems Conference (SysCon) Proceedings</t>
  </si>
  <si>
    <t>10.1109/SYSCON.2015.7116733</t>
  </si>
  <si>
    <t>Managing Model Conflicts in Collaborative Modeling Using Constraint Programming</t>
  </si>
  <si>
    <t>10.1109/CIST.2018.8596542</t>
  </si>
  <si>
    <t>Collaborative modelling: An MDE-oriented process to manage large-scale models</t>
  </si>
  <si>
    <t>International Conference on Wireless Technologies, Embedded and Intelligent Systems (WITS)</t>
  </si>
  <si>
    <t>10.1109/WITS.2017.7934626</t>
  </si>
  <si>
    <t>Verifying the Consistency of UML Models</t>
  </si>
  <si>
    <t>International Symposium on Software Reliability Engineering Workshops (ISSREW)</t>
  </si>
  <si>
    <t>10.1109/ISSREW.2016.32</t>
  </si>
  <si>
    <t>An Approach for Detecting Inconsistencies between Behavioral Models of the Software Architecture and the Code</t>
  </si>
  <si>
    <t>Annual Computer Software and Applications Conference</t>
  </si>
  <si>
    <t>10.1109/COMPSAC.2012.36</t>
  </si>
  <si>
    <t>International Conference on Industrial Engineering and Engineering Management (IEEM)</t>
  </si>
  <si>
    <t>10.1109/IEEM44572.2019.8978930</t>
  </si>
  <si>
    <t>Enhanced Automation for Managing Model and Metamodel Inconsistency</t>
  </si>
  <si>
    <t>International Conference on Automated Software Engineering</t>
  </si>
  <si>
    <t>10.1109/ASE.2009.57</t>
  </si>
  <si>
    <t>10.1109/TSE.2016.2620145</t>
  </si>
  <si>
    <t>IEEE Transactions on Software Engineering </t>
  </si>
  <si>
    <t>A Feature-Based Classification of Model Repair Approaches</t>
  </si>
  <si>
    <t>Consistency checking of UML class and sequence diagrams</t>
  </si>
  <si>
    <t>International Conference on Ubi-Media Computing (UMEDIA)</t>
  </si>
  <si>
    <t>10.1109/UMEDIA.2015.7297436</t>
  </si>
  <si>
    <t>An Accessible Formal Specification of the UML and OCL Meta-Model in Isabelle/HOL</t>
  </si>
  <si>
    <t>International Multitopic Conference</t>
  </si>
  <si>
    <t>10.1109/INMIC.2007.4557693</t>
  </si>
  <si>
    <t>A customized design framework for the model-based development of engine control systems</t>
  </si>
  <si>
    <t>Annual Conference of the IEEE Industrial Electronics Society</t>
  </si>
  <si>
    <t>10.1109/IECON.2013.6700279</t>
  </si>
  <si>
    <t>Management of Incomplete and Inconsistent Views</t>
  </si>
  <si>
    <t>International Conference on Automated Software Engineering (ASE'06)</t>
  </si>
  <si>
    <t>10.1109/ASE.2006.48</t>
  </si>
  <si>
    <t>Formal semantics of executable node and activity group of UML 2.5 activity diagram</t>
  </si>
  <si>
    <t>International Conference on Communication Technologies (ComTech)</t>
  </si>
  <si>
    <t>10.1109/COMTECH.2017.8065769</t>
  </si>
  <si>
    <t>From Predefined Consistency to User-Centered Emergent Consistency in Real-Time Collaborative Editing Systems</t>
  </si>
  <si>
    <t>10.1109/TSMCA.2006.883181</t>
  </si>
  <si>
    <t>Determining the Cause of a Design Model Inconsistency</t>
  </si>
  <si>
    <t> IEEE Transactions on Software Engineering</t>
  </si>
  <si>
    <t>10.1109/TSE.2013.30</t>
  </si>
  <si>
    <t>Resolving Design Conflicts and Evaluating Solidarity in Distributed Design</t>
  </si>
  <si>
    <t>IEEE Transactions on Systems, Man, and Cybernetics: Systems</t>
  </si>
  <si>
    <t>10.1109/TSMC.2013.2296275</t>
  </si>
  <si>
    <t>Leveraging inconsistency in software development</t>
  </si>
  <si>
    <t>Computer </t>
  </si>
  <si>
    <t>10.1109/2.839317</t>
  </si>
  <si>
    <t>Towards the Use of Model-Driven Technologies in an Integral Software Development Process</t>
  </si>
  <si>
    <t>International Requirements Engineering Conference Workshops (REW)</t>
  </si>
  <si>
    <t>10.1109/REW.2019.00016</t>
  </si>
  <si>
    <t>Detecting inconsistencies between software architecture views</t>
  </si>
  <si>
    <t>International Conference on Computer Engineering &amp; Systems</t>
  </si>
  <si>
    <t>10.1109/ICCES.2009.5383227</t>
  </si>
  <si>
    <t>Automated consistency checking of UML/MARTE based software systems</t>
  </si>
  <si>
    <t>TENCON 2018 - 2018 IEEE Region 10 Conference</t>
  </si>
  <si>
    <t>10.1109/TENCON.2018.8650378</t>
  </si>
  <si>
    <t>Modelling consistency rules within production system engeering</t>
  </si>
  <si>
    <t>International Conference on Automation Science and Engineering (CASE)</t>
  </si>
  <si>
    <t>10.1109/COASE.2018.8560537</t>
  </si>
  <si>
    <t>Towards automatic generation of formal specifications for UML consistency verification</t>
  </si>
  <si>
    <t>International Conference on Knowledge-Based Engineering and Innovation (KBEI)</t>
  </si>
  <si>
    <t>10.1109/KBEI.2015.7436156</t>
  </si>
  <si>
    <t>Impact analysis and change management of UML models</t>
  </si>
  <si>
    <t>International Conference on Software Maintenance, 2003. ICSM 2003. Proceedings.</t>
  </si>
  <si>
    <t>10.1109/ICSM.2003.1235428</t>
  </si>
  <si>
    <t>Four-Valued Logic in UML/OCL Models: A “Playground” for the MVL Community</t>
  </si>
  <si>
    <t>International Symposium on Multiple-Valued Logic (ISMVL)</t>
  </si>
  <si>
    <t>10.1109/ISMVL.2019.00019</t>
  </si>
  <si>
    <t>A Methodology for UML Models V&amp;V</t>
  </si>
  <si>
    <t>10.1109/ICST.2008.66</t>
  </si>
  <si>
    <t>Concurrent Fine-Grained Versioning of UML Models</t>
  </si>
  <si>
    <t>European Conference on Software Maintenance and Reengineering</t>
  </si>
  <si>
    <t>10.1109/CSMR.2009.35</t>
  </si>
  <si>
    <t>Cooperative Multi-Versioning Technique Based on Version Replication</t>
  </si>
  <si>
    <t>International Conference on Computer Supported Cooperative Work in Design</t>
  </si>
  <si>
    <t>10.1109/CSCWD.2006.253033</t>
  </si>
  <si>
    <t>COMOVER: Concurrent model versioning</t>
  </si>
  <si>
    <t>10.1109/ICSM.2008.4658105</t>
  </si>
  <si>
    <t>A Consistency-Preserving Protocol for Distributed Collaborative Model Authoring</t>
  </si>
  <si>
    <t>International Conference on Systems Engineering and Modeling</t>
  </si>
  <si>
    <t>10.1109/ICSEM.2007.373341</t>
  </si>
  <si>
    <t>Research on consistency checking method of UML model in embedded system</t>
  </si>
  <si>
    <t>International Conference on Future Information Technology and Management Engineering</t>
  </si>
  <si>
    <t>10.1109/FITME.2010.5654698</t>
  </si>
  <si>
    <t>Ontology Definition Metamodel based Consistency Checking of UML Models</t>
  </si>
  <si>
    <t>10.1109/CSCWD.2006.253005</t>
  </si>
  <si>
    <t>Knowledge base approach to consistency management of UML specifications</t>
  </si>
  <si>
    <t>Annual International Conference on Automated Software Engineering</t>
  </si>
  <si>
    <t>10.1109/ASE.2001.989829</t>
  </si>
  <si>
    <t>Identifying and localizing the inter-consistency errors among UML use cases and activity diagrams: An approach based on functional and structural size measurements</t>
  </si>
  <si>
    <t>International Conference on Software Engineering Research, Management and Applications (SERA)</t>
  </si>
  <si>
    <t>10.1109/SERA.2017.7965740</t>
  </si>
  <si>
    <t>Traceability of requirements and consistency verification of UML use case, activity and Class diagram: A Formal approach</t>
  </si>
  <si>
    <t>International Conference on Methods and Models in Computer Science</t>
  </si>
  <si>
    <t>10.1109/ICM2CS.2009.5397941</t>
  </si>
  <si>
    <t>Assurance of System Consistency During Independent Creation of UML Diagrams</t>
  </si>
  <si>
    <t> 2nd International Conference on Dependability of Computer Systems</t>
  </si>
  <si>
    <t>10.1109/DEPCOS-RELCOMEX.2007.11</t>
  </si>
  <si>
    <t>Support for managing design-time decisions</t>
  </si>
  <si>
    <t>10.1109/TSE.2006.48</t>
  </si>
  <si>
    <t>Static consistency checking for distributed specifications</t>
  </si>
  <si>
    <t>10.1109/ASE.2001.989797</t>
  </si>
  <si>
    <t>ACM</t>
  </si>
  <si>
    <t>Search-based model merging</t>
  </si>
  <si>
    <t>annual conference on Genetic and evolutionary computation</t>
  </si>
  <si>
    <t>https://doi.org/10.1145/2463372.2463553</t>
  </si>
  <si>
    <t>The role of editor in collaborative modeling</t>
  </si>
  <si>
    <t>SAC '12: Proceedings of the 27th Annual ACM Symposium on Applied Computing</t>
  </si>
  <si>
    <t>https://doi.org/10.1145/2245276.2232046</t>
  </si>
  <si>
    <t>Property-based locking in collaborative modeling</t>
  </si>
  <si>
    <t>MODELS '17: Proceedings of the ACM/IEEE 20th International Conference on Model Driven Engineering Languages and Systems</t>
  </si>
  <si>
    <t>https://doi.org/10.1109/MODELS.2017.33</t>
  </si>
  <si>
    <t>UMLCollab: A Hybrid Approach for Collaborative Modeling of UML Models</t>
  </si>
  <si>
    <t>SBSI'19: Proceedings of the XV Brazilian Symposium on Information Systems</t>
  </si>
  <si>
    <t>https://doi.org/10.1145/3330204.3330239</t>
  </si>
  <si>
    <t>Colex: a web-based collaborative conflict lexicon</t>
  </si>
  <si>
    <t>IWMCP '10: Proceedings of the 1st International Workshop on Model Comparison in Practice</t>
  </si>
  <si>
    <t>https://doi.org/10.1145/1826147.1826156</t>
  </si>
  <si>
    <t>Consistence preserving model merge in collaborative development processes</t>
  </si>
  <si>
    <t>CVSM '08: Proceedings of the 2008 international workshop on Comparison and versioning of software models</t>
  </si>
  <si>
    <t>https://doi.org/10.1145/1370152.1370157</t>
  </si>
  <si>
    <t>A formal approach to three-way merging of EMF models</t>
  </si>
  <si>
    <t>https://doi.org/10.1145/1826147.1826155</t>
  </si>
  <si>
    <t>Mirador: a synthesis of model matching strategies</t>
  </si>
  <si>
    <t>https://doi.org/10.1145/1826147.1826151</t>
  </si>
  <si>
    <t>Detecting model inconsistency through operation-based model construction</t>
  </si>
  <si>
    <t>ICSE '08: Proceedings of the 30th international conference on Software engineering</t>
  </si>
  <si>
    <t>https://doi.org/10.1145/1368088.1368158</t>
  </si>
  <si>
    <t>Foundations of Collaborative, Real-Time Feature Modeling</t>
  </si>
  <si>
    <t>SPLC '19: Proceedings of the 23rd International Systems and Software Product Line Conference</t>
  </si>
  <si>
    <t>https://doi.org/10.1145/3336294.3336308</t>
  </si>
  <si>
    <t>Towards accurate conflict detection in a VCS for model artifacts: a comparison of two semantically enhanced approaches</t>
  </si>
  <si>
    <t>APCCM '09: Proceedings of the Sixth Asia-Pacific Conference on Conceptual Modeling</t>
  </si>
  <si>
    <t>https://dl.acm.org/doi/abs/10.5555/1862739.1862757</t>
  </si>
  <si>
    <t>Operation-based conflict detection</t>
  </si>
  <si>
    <t>https://doi.org/10.1145/1826147.1826154</t>
  </si>
  <si>
    <t>Debugging of inconsistent UML/OCL models</t>
  </si>
  <si>
    <t>Model-based tool support for consistent three-way merging of EMF models</t>
  </si>
  <si>
    <t>DATE '12: Proceedings of the Conference on Design, Automation and Test in Europe</t>
  </si>
  <si>
    <t>https://dl.acm.org/doi/abs/10.5555/2492708.2492974</t>
  </si>
  <si>
    <t>ACME '13: Proceedings of the workshop on ACadeMics Tooling with Eclipse</t>
  </si>
  <si>
    <t>https://doi.org/10.1145/2491279.2491281</t>
  </si>
  <si>
    <t>Supporting automatic model inconsistency fixing</t>
  </si>
  <si>
    <t>ESEC/FSE '09: Proceedings of the 7th joint meeting of the European software engineering conference and the ACM SIGSOFT symposium on The foundations of software engineering</t>
  </si>
  <si>
    <t>https://doi.org/10.1145/1595696.1595757</t>
  </si>
  <si>
    <t>Causes of merge conflicts: a case study of ElasticSearch</t>
  </si>
  <si>
    <t>VAMOS '20: Proceedings of the 14th International Working Conference on Variability Modelling of Software-Intensive Systems</t>
  </si>
  <si>
    <t>https://doi.org/10.1145/3377024.3377047</t>
  </si>
  <si>
    <t>Positive effects of utilizing relationships between inconsistencies for more effective inconsistency resolution (NIER track)</t>
  </si>
  <si>
    <t>ICSE '11: Proceedings of the 33rd International Conference on Software Engineering</t>
  </si>
  <si>
    <t>https://doi.org/10.1145/1985793.1985927</t>
  </si>
  <si>
    <t>Towards migration-aware filtering in model differences application</t>
  </si>
  <si>
    <t>Towards fixing inconsistencies in models with variability</t>
  </si>
  <si>
    <t>ME '12: Proceedings of the 6th International Workshop on Models and Evolution</t>
  </si>
  <si>
    <t>https://doi.org/10.1145/2523599.2523608</t>
  </si>
  <si>
    <t>VaMoS '12: Proceedings of the Sixth International Workshop on Variability Modeling of Software-Intensive Systems</t>
  </si>
  <si>
    <t>https://doi.org/10.1145/2110147.2110158</t>
  </si>
  <si>
    <t>Managing SAT inconsistencies with HUMUS</t>
  </si>
  <si>
    <t>https://doi.org/10.1145/2110147.2110157</t>
  </si>
  <si>
    <t>Tolerant consistency management in model-driven engineering</t>
  </si>
  <si>
    <t>MODELS '18: Proceedings of the 21st ACM/IEEE International Conference on Model Driven Engineering Languages and Systems: Companion Proceedings</t>
  </si>
  <si>
    <t>https://doi.org/10.1145/3270112.3275339</t>
  </si>
  <si>
    <t>Supporting inconsistency resolution through predictive change impact analysis</t>
  </si>
  <si>
    <t>MoDeVVa '09: Proceedings of the 6th International Workshop on Model-Driven Engineering, Verification and Validation</t>
  </si>
  <si>
    <t>https://doi.org/10.1145/1656485.1656494</t>
  </si>
  <si>
    <t>Variants and Versions Management for Models with Integrated Consistency Preservation</t>
  </si>
  <si>
    <t>VAMOS 2018: Proceedings of the 12th International Workshop on Variability Modelling of Software-Intensive Systems</t>
  </si>
  <si>
    <t>https://doi.org/10.1145/3168365.3168377</t>
  </si>
  <si>
    <t>Specifying overlaps of heterogeneous models for global consistency checking</t>
  </si>
  <si>
    <t>MDI '10: Proceedings of the First International Workshop on Model-Driven Interoperability</t>
  </si>
  <si>
    <t>https://doi.org/10.1145/1866272.1866279</t>
  </si>
  <si>
    <t>Detection of conflicts and inconsistencies between architecture solutions</t>
  </si>
  <si>
    <t>ECSA '19: Proceedings of the 13th European Conference on Software Architecture</t>
  </si>
  <si>
    <t>https://doi.org/10.1145/3344948.3344980</t>
  </si>
  <si>
    <t>CoDesign: a highly extensible collaborative software modeling framework</t>
  </si>
  <si>
    <t>ICSE '10: Proceedings of the 32nd ACM/IEEE International Conference on Software Engineering</t>
  </si>
  <si>
    <t>https://doi.org/10.1145/1810295.1810341</t>
  </si>
  <si>
    <t>UML consistency rules: a systematic mapping study</t>
  </si>
  <si>
    <t>EASE '14: Proceedings of the 18th International Conference on Evaluation and Assessment in Software Engineering</t>
  </si>
  <si>
    <t>https://doi.org/10.1145/2601248.2601292</t>
  </si>
  <si>
    <t>Heterogeneous design models alignment: from matching to consistency management</t>
  </si>
  <si>
    <t>SAC '18: Proceedings of the 33rd Annual ACM Symposium on Applied Computing</t>
  </si>
  <si>
    <t>https://doi.org/10.1145/3167132.3167425</t>
  </si>
  <si>
    <t>A semantically rich approach for collaborative model edition</t>
  </si>
  <si>
    <t>SAC '11: Proceedings of the 2011 ACM Symposium on Applied Computing</t>
  </si>
  <si>
    <t>https://doi.org/10.1145/1982185.1982500</t>
  </si>
  <si>
    <t>A New Approach for Meaningful XML Schema Merging</t>
  </si>
  <si>
    <t>iiWAS '14: Proceedings of the 16th International Conference on Information Integration and Web-based Applications &amp; Services</t>
  </si>
  <si>
    <t>https://doi.org/10.1145/2684200.2684302</t>
  </si>
  <si>
    <t>https://doi.org/10.1145/1810295.1810364</t>
  </si>
  <si>
    <t>An analysis of change operations to achieve consistency in model-driven software product lines</t>
  </si>
  <si>
    <t>SPLC '11: Proceedings of the 15th International Software Product Line Conference</t>
  </si>
  <si>
    <t>https://doi.org/10.1145/2019136.2019163</t>
  </si>
  <si>
    <t>Enhancing version control with domain-specific semantics</t>
  </si>
  <si>
    <t>MiSE '13: Proceedings of the 5th International Workshop on Modeling in Software Engineering</t>
  </si>
  <si>
    <t>https://dl.acm.org/doi/abs/10.5555/2662737.2662745</t>
  </si>
  <si>
    <t>Live and global consistency checking in a collaborative engineering environment</t>
  </si>
  <si>
    <t>SAC '19: Proceedings of the 34th ACM/SIGAPP Symposium on Applied Computing</t>
  </si>
  <si>
    <t>https://doi.org/10.1145/3297280.3297454</t>
  </si>
  <si>
    <t>Research on Consistency Maintenance of Flowchart Design</t>
  </si>
  <si>
    <t>ChineseCSCW '17: Proceedings of the 12th Chinese Conference on Computer Supported Cooperative Work and Social Computing</t>
  </si>
  <si>
    <t>https://doi.org/10.1145/3127404.3127462</t>
  </si>
  <si>
    <t>Guiding modelers through conflict resolution: a recommender for model versioning</t>
  </si>
  <si>
    <t>OOPSLA '10: Proceedings of the ACM international conference companion on Object oriented programming systems languages and applications companion</t>
  </si>
  <si>
    <t>https://doi.org/10.1145/1869542.1869594</t>
  </si>
  <si>
    <t>By-example adaptation of the generic model versioning system AMOR: how to include language-specific features for improving the check-in process</t>
  </si>
  <si>
    <t>OOPSLA '09: Proceedings of the 24th ACM SIGPLAN conference companion on Object oriented programming systems languages and applications</t>
  </si>
  <si>
    <t>https://doi.org/10.1145/1639950.1639991</t>
  </si>
  <si>
    <t>Science Direct</t>
  </si>
  <si>
    <t>Collaborative Modeling: Experience of the U.S. Preventive Services Task Force</t>
  </si>
  <si>
    <t>American Journal of Preventive Medicine</t>
  </si>
  <si>
    <t>https://doi.org/10.1016/j.amepre.2017.07.003</t>
  </si>
  <si>
    <t>MOMM: Multi-objective model merging</t>
  </si>
  <si>
    <t>Journal of Systems and Software</t>
  </si>
  <si>
    <t>https://doi.org/10.1016/j.jss.2014.11.043</t>
  </si>
  <si>
    <t>Collaborative editing of EMF/Ecore meta-models and models: Conflict detection, reconciliation, and merging in DiCoMEF</t>
  </si>
  <si>
    <t>Science of Computer Programming</t>
  </si>
  <si>
    <t>https://doi.org/10.1016/j.scico.2015.07.004</t>
  </si>
  <si>
    <t>Consistent merging of model versions</t>
  </si>
  <si>
    <t>https://doi.org/10.1016/j.jss.2015.06.044</t>
  </si>
  <si>
    <t>Managing inter-model inconsistencies in model-based systems engineering: Application in automated production systems engineering</t>
  </si>
  <si>
    <t>https://doi.org/10.1016/j.jss.2019.03.060</t>
  </si>
  <si>
    <t>Clayworks: Toward user-oriented software for collaborative modeling and simulation</t>
  </si>
  <si>
    <t>Knowledge-Based Systems</t>
  </si>
  <si>
    <t>https://doi.org/10.1016/j.knosys.2008.12.001</t>
  </si>
  <si>
    <t>NO</t>
  </si>
  <si>
    <t>Correct composition in the presence of behavioural conflicts and dephasing</t>
  </si>
  <si>
    <t>https://doi.org/10.1016/j.scico.2019.102323</t>
  </si>
  <si>
    <t>A belief-theoretic framework for the collaborative development and integration of para-consistent conceptual models</t>
  </si>
  <si>
    <t>https://doi.org/10.1016/j.jss.2008.10.012</t>
  </si>
  <si>
    <t>Enhancing collaborative synchronous UML modelling with fine-grained versioning of software artefacts</t>
  </si>
  <si>
    <t>Journal of Visual Languages &amp; Computing</t>
  </si>
  <si>
    <t>https://doi.org/10.1016/j.jvlc.2007.08.005</t>
  </si>
  <si>
    <t>Granularity of conflicts and dependencies in graph transformation systems: A two-dimensional approach</t>
  </si>
  <si>
    <t>Journal of Logical and Algebraic Methods in Programming</t>
  </si>
  <si>
    <t>https://doi.org/10.1016/j.jlamp.2018.11.004</t>
  </si>
  <si>
    <t>Maintaining constraints of UML models in distributed collaborative environments</t>
  </si>
  <si>
    <t>Journal of Systems Architecture</t>
  </si>
  <si>
    <t>https://doi.org/10.1016/j.sysarc.2009.07.003</t>
  </si>
  <si>
    <t>Structuring the modeling space and supporting evolution in software product line engineering</t>
  </si>
  <si>
    <t>https://doi.org/10.1016/j.jss.2010.02.018</t>
  </si>
  <si>
    <t>A problem design and constraint modelling approach for collaborative assembly line planning</t>
  </si>
  <si>
    <t>Robotics and Computer-Integrated Manufacturing</t>
  </si>
  <si>
    <t>https://doi.org/10.1016/j.rcim.2018.05.002</t>
  </si>
  <si>
    <t>A graph-based algorithm for three-way merging of ordered collections in EMF models</t>
  </si>
  <si>
    <t>https://doi.org/10.1016/j.scico.2015.02.008</t>
  </si>
  <si>
    <t>Formal Model Merging Applied to Class Diagram Integration</t>
  </si>
  <si>
    <t>Electronic Notes in Theoretical Computer Science</t>
  </si>
  <si>
    <t>https://doi.org/10.1016/j.entcs.2006.06.013</t>
  </si>
  <si>
    <t>Near real-time collaborative modeling for view-based Web information systems engineering</t>
  </si>
  <si>
    <t>Information Systems</t>
  </si>
  <si>
    <t>https://doi.org/10.1016/j.is.2017.07.008</t>
  </si>
  <si>
    <t>Synchronous collaborative tunnel design based on consistency-preserving multi-scale models</t>
  </si>
  <si>
    <t>Advanced Engineering Informatics</t>
  </si>
  <si>
    <t>https://doi.org/10.1016/j.aei.2014.07.005</t>
  </si>
  <si>
    <t>Consistency maintenance of compound operations in real-time collaborative environments</t>
  </si>
  <si>
    <t>Computers &amp; Electrical Engineering</t>
  </si>
  <si>
    <t>https://doi.org/10.1016/j.compeleceng.2015.06.021</t>
  </si>
  <si>
    <t>Online Collaborative Environment for Designing Complex Computational Systems</t>
  </si>
  <si>
    <t>Procedia Computer Science</t>
  </si>
  <si>
    <t>https://doi.org/10.1016/j.procs.2014.05.227</t>
  </si>
  <si>
    <t>An approach to distributed building modeling on the basis of versions and changes</t>
  </si>
  <si>
    <t>https://doi.org/10.1016/j.aei.2010.12.001</t>
  </si>
  <si>
    <t>A meta-modelling framework for knowledge consistency in collaborative design</t>
  </si>
  <si>
    <t>Annual Reviews in Control</t>
  </si>
  <si>
    <t>https://doi.org/10.1016/j.arcontrol.2012.09.016</t>
  </si>
  <si>
    <t>A distributed and interactive system to integrated design and simulation for collaborative product development</t>
  </si>
  <si>
    <t>https://doi.org/10.1016/j.rcim.2010.05.005</t>
  </si>
  <si>
    <t>Consistency of UML class, object and statechart diagrams using ontology reasoners</t>
  </si>
  <si>
    <t>https://doi.org/10.1016/j.jvlc.2014.11.006</t>
  </si>
  <si>
    <t>Modelling with stakeholders</t>
  </si>
  <si>
    <t>Environmental Modelling &amp; Software</t>
  </si>
  <si>
    <t>https://doi.org/10.1016/j.envsoft.2010.03.007</t>
  </si>
  <si>
    <t>On model checking multiple hybrid views</t>
  </si>
  <si>
    <t>Theoretical Computer Science</t>
  </si>
  <si>
    <t>https://doi.org/10.1016/j.tcs.2008.03.010</t>
  </si>
  <si>
    <t>A model for capturing and representing the engineering design process</t>
  </si>
  <si>
    <t>Expert Systems with Applications</t>
  </si>
  <si>
    <t>https://doi.org/10.1016/j.eswa.2006.07.004</t>
  </si>
  <si>
    <t>Wiley</t>
  </si>
  <si>
    <t>Configurable three‐way model merging</t>
  </si>
  <si>
    <t>Software Process: Improvement and Practice</t>
  </si>
  <si>
    <t>Guided support for collaborative modeling, enactment and simulation of software development processes</t>
  </si>
  <si>
    <t>https://doi.org/10.1002/spip.199</t>
  </si>
  <si>
    <t>Software: Practice and Experience</t>
  </si>
  <si>
    <t>https://doi.org/10.1002/spe.2835</t>
  </si>
  <si>
    <t>Model refactoring by example: A multi‐objective search based software engineering approach</t>
  </si>
  <si>
    <t>Software: Evolution and Process</t>
  </si>
  <si>
    <t>https://doi.org/10.1002/smr.1916</t>
  </si>
  <si>
    <t>Reusing process patterns in software process models modification</t>
  </si>
  <si>
    <t xml:space="preserve">https://doi.org/10.1002/smr.1938 </t>
  </si>
  <si>
    <t>UML design pattern metamodel‐level constraints for the maintenance of software evolution</t>
  </si>
  <si>
    <t xml:space="preserve">https://doi.org/10.1002/spe.1116 </t>
  </si>
  <si>
    <t>Incremental inconsistency detection with low memory overhead</t>
  </si>
  <si>
    <t>https://doi.org/10.1002/spe.2171</t>
  </si>
  <si>
    <t>Improving the coverage criteria of UML state machines using data flow analysis</t>
  </si>
  <si>
    <t>Software Testing, Verification &amp; Reliability</t>
  </si>
  <si>
    <t>https://doi.org/10.1002/stvr.410</t>
  </si>
  <si>
    <t>A supporting system for verification among models of the UML</t>
  </si>
  <si>
    <t>https://doi.org/10.1002/scj.10016</t>
  </si>
  <si>
    <t>Systems and Computers in Japan</t>
  </si>
  <si>
    <t>Using Visual Representations as Boundary Objects to Resolve Conflict in Collaborative Model‐Building Approaches</t>
  </si>
  <si>
    <t>Systems Research and Behavioral Science</t>
  </si>
  <si>
    <t>https://doi.org/10.1002/sres.2106</t>
  </si>
  <si>
    <t>Approximate resolution of asynchronous conflicts among sequential collaborations in dynamic virtual environments</t>
  </si>
  <si>
    <t>Computer Animation and Virtual Worlds</t>
  </si>
  <si>
    <t>https://doi.org/10.1002/cav.1669</t>
  </si>
  <si>
    <t>Dependency‐based collaborative design: a comparison of modeling methods</t>
  </si>
  <si>
    <t>https://doi.org/10.1002/cpe.3445</t>
  </si>
  <si>
    <t>Concurrency and Computation: Practice and Experience</t>
  </si>
  <si>
    <t>A feedback technique for unsatisfiable UML/OCL class diagrams</t>
  </si>
  <si>
    <t>https://doi.org/10.1002/spe.2211</t>
  </si>
  <si>
    <t>Springer Link</t>
  </si>
  <si>
    <t>Using a Model Merging Language for Reconciling Model Versions</t>
  </si>
  <si>
    <t>European Conference on Model Driven Architecture - Foundations and Applications</t>
  </si>
  <si>
    <t xml:space="preserve">https://doi.org/10.1007/11787044_12 </t>
  </si>
  <si>
    <t>Turning Conflicts into Collaboration</t>
  </si>
  <si>
    <t>Computer Supported Cooperative Work</t>
  </si>
  <si>
    <t>https://doi.org/10.1007/s10606-012-9172-4</t>
  </si>
  <si>
    <t>An Introduction to Model Versioning</t>
  </si>
  <si>
    <t>International School on Formal Methods for the Design of Computer, Communication and Software Systems</t>
  </si>
  <si>
    <t>Table-Driven Detection and Resolution of Operation-Based Merge Conflicts with Mirador</t>
  </si>
  <si>
    <t xml:space="preserve">https://doi.org/10.1007/978-3-642-30982-3_10 </t>
  </si>
  <si>
    <t>European Conference on Modelling Foundations and Applications</t>
  </si>
  <si>
    <t xml:space="preserve">https://doi.org/10.1007/978-3-642-21470-7_23 </t>
  </si>
  <si>
    <t>Software &amp; Systems Modeling</t>
  </si>
  <si>
    <t>Design Space of Heterogeneous Synchronization</t>
  </si>
  <si>
    <t>International Summer School on Generative and Transformational Techniques in Software Engineering</t>
  </si>
  <si>
    <t>Requirements for Practical Model Merge – An Industrial Perspective</t>
  </si>
  <si>
    <t>International Conference on Model Driven Engineering Languages and Systems</t>
  </si>
  <si>
    <t xml:space="preserve">https://doi.org/10.1007/978-3-642-04425-0_13 </t>
  </si>
  <si>
    <t>Detection and resolution of conflicting change operations in version management of process models</t>
  </si>
  <si>
    <t>https://doi.org/10.1007/s10270-011-0226-8</t>
  </si>
  <si>
    <t>A fundamental approach to model versioning based on graph modifications: from theory to implementation</t>
  </si>
  <si>
    <t>https://doi.org/10.1007/s10270-012-0248-x</t>
  </si>
  <si>
    <t>Merging Models with the Epsilon Merging Language (EML)</t>
  </si>
  <si>
    <t xml:space="preserve">https://doi.org/10.1007/11880240_16 </t>
  </si>
  <si>
    <t>A Graphical Specification of Model Composition with Triple Graph Grammars</t>
  </si>
  <si>
    <t>International Workshop on Model-Based Methodologies for Pervasive and Embedded Software</t>
  </si>
  <si>
    <t xml:space="preserve">https://doi.org/10.1007/978-3-642-38209-3_1 </t>
  </si>
  <si>
    <t>Scalable modeling technologies in the wild: an experience report on wind turbines control applications development</t>
  </si>
  <si>
    <t>Software and Systems Modeling</t>
  </si>
  <si>
    <t>https://doi.org/10.1007/s10270-020-00776-8</t>
  </si>
  <si>
    <t>Managing Model Conflicts in Distributed Development</t>
  </si>
  <si>
    <t xml:space="preserve">https://doi.org/10.1007/978-3-540-87875-9_23 </t>
  </si>
  <si>
    <t>Towards a Distributed Modeling Process Based on Composite Models</t>
  </si>
  <si>
    <t>International Conference on Fundamental Approaches to Software Engineering</t>
  </si>
  <si>
    <t xml:space="preserve">https://doi.org/10.1007/978-3-642-37057-1_2  </t>
  </si>
  <si>
    <t>Integrated revision and variation control for evolving model-driven software product lines</t>
  </si>
  <si>
    <t>https://doi.org/10.1007/s10270-019-00722-3</t>
  </si>
  <si>
    <t>A Graph-Pattern Based Approach for Meta-Model Specific Conflict Detection in a General-Purpose Model Versioning System</t>
  </si>
  <si>
    <t xml:space="preserve">https://doi.org/10.1007/978-3-642-41533-3_26 </t>
  </si>
  <si>
    <t>An exploratory classification of applications in the realm of collaborative modeling and design</t>
  </si>
  <si>
    <t>Information Systems and e-Business Management volume</t>
  </si>
  <si>
    <t>https://doi.org/10.1007/s10257-008-0101-5</t>
  </si>
  <si>
    <t>Management of Inconsistencies in Domain-Spanning Models – An Interactive Visualization Approach</t>
  </si>
  <si>
    <t>International Conference on Human Interface and the Management of Information</t>
  </si>
  <si>
    <t xml:space="preserve">https://doi.org/10.1007/978-3-319-58521-5_5 </t>
  </si>
  <si>
    <t>Automated Model Merge by Design Space Exploration</t>
  </si>
  <si>
    <t xml:space="preserve">https://doi.org/10.1007/978-3-662-49665-7_7 </t>
  </si>
  <si>
    <t>An Algebraic View on the Semantics of Model Composition</t>
  </si>
  <si>
    <t>https://doi.org/10.1007/978-3-540-72901-3_8</t>
  </si>
  <si>
    <t>Inter-modelling with patterns</t>
  </si>
  <si>
    <t>https://doi.org/10.1007/s10270-011-0192-1</t>
  </si>
  <si>
    <t>Models in Conflict – Towards a Semantically Enhanced Version Control System for Models</t>
  </si>
  <si>
    <t>https://doi.org/10.1007/978-3-540-69073-3_31</t>
  </si>
  <si>
    <t>Precise Detection of Conflicting Change Operations Using Process Model Terms</t>
  </si>
  <si>
    <t>https://doi.org/10.1007/978-3-642-16129-2_8</t>
  </si>
  <si>
    <t>A Model Driven Engineering Approach for Heterogeneous Model Composition</t>
  </si>
  <si>
    <t>International Conference on Model-Driven Engineering and Software Development</t>
  </si>
  <si>
    <t>https://doi.org/10.1007/978-3-319-94764-8_9</t>
  </si>
  <si>
    <t>Conflict Detection for Model Versioning Based on Graph Modifications</t>
  </si>
  <si>
    <t>International Conference on Graph Transformation</t>
  </si>
  <si>
    <t>https://doi.org/10.1007/978-3-642-15928-2_12</t>
  </si>
  <si>
    <t>Goal Model Integration: Advanced Relationships and Rationales Documentation</t>
  </si>
  <si>
    <t>International Conference on System Analysis and Modeling</t>
  </si>
  <si>
    <t>https://doi.org/10.1007/978-3-030-30690-8_11</t>
  </si>
  <si>
    <t>Supporting Collaborative Work by Preserving Model Meaning When Merging Graphical Models</t>
  </si>
  <si>
    <t>Working Conference on Virtual Enterprises</t>
  </si>
  <si>
    <t>https://doi.org/10.1007/978-3-642-32775-9_27</t>
  </si>
  <si>
    <t>Enforcing fine-grained access control for secure collaborative modelling using bidirectional transformations</t>
  </si>
  <si>
    <t>https://doi.org/10.1007/s10270-017-0631-8</t>
  </si>
  <si>
    <t>Dynamic Computation of Change Operations in Version Management of Business Process Models</t>
  </si>
  <si>
    <t>https://doi.org/10.1007/978-3-642-13595-8_17</t>
  </si>
  <si>
    <t>A Formal Resolution Strategy for Operation-Based Conflicts in Model Versioning Using Graph Modifications</t>
  </si>
  <si>
    <t>https://doi.org/10.1007/978-3-642-19811-3_15</t>
  </si>
  <si>
    <t>From Data to Model Consistency in Shared Engineering Environments</t>
  </si>
  <si>
    <t>Workshop of the European Group for Intelligent Computing in Engineering</t>
  </si>
  <si>
    <t>https://doi.org/10.1007/11888598_55</t>
  </si>
  <si>
    <t>Towards Multiple Model Synchronization with Comprehensive Systems</t>
  </si>
  <si>
    <t>https://doi.org/10.1007/978-3-030-45234-6_17</t>
  </si>
  <si>
    <t>We can work it out: Collaborative Conflict Resolution in Model Versioning</t>
  </si>
  <si>
    <t>ECSCW</t>
  </si>
  <si>
    <t>https://doi.org/10.1007/978-1-84882-854-4_12</t>
  </si>
  <si>
    <t>Guided Merging of Sequence Diagrams</t>
  </si>
  <si>
    <t>International Conference on Software Language Engineering</t>
  </si>
  <si>
    <t>https://doi.org/10.1007/978-3-642-36089-3_10</t>
  </si>
  <si>
    <t>Model Consistency for Distributed Collaborative Modeling</t>
  </si>
  <si>
    <t>https://doi.org/10.1007/978-3-319-61482-3_12</t>
  </si>
  <si>
    <t>A Category-Theoretical Approach to the Formalisation of Version Control in MDE</t>
  </si>
  <si>
    <t>https://doi.org/10.1007/978-3-642-00593-0_5</t>
  </si>
  <si>
    <t>Specifying Overlaps of Heterogeneous Models for Global Consistency Checking</t>
  </si>
  <si>
    <t>https://doi.org/10.1007/978-3-642-21210-9_16</t>
  </si>
  <si>
    <t>Software Support Requirements for Awareness in Collaborative Modeling</t>
  </si>
  <si>
    <t>OTM Confederated International Conferences "On the Move to Meaningful Internet Systems"</t>
  </si>
  <si>
    <t>https://doi.org/10.1007/978-3-662-45563-0_22</t>
  </si>
  <si>
    <t>Change Propagation due to Uncertainty Change</t>
  </si>
  <si>
    <t>https://doi.org/10.1007/978-3-642-37057-1_3</t>
  </si>
  <si>
    <t>Dependent and Conflicting Change Operations of Process Models</t>
  </si>
  <si>
    <t>https://doi.org/10.1007/978-3-642-02674-4_12</t>
  </si>
  <si>
    <t>Towards Semantics-Aware Merge Support in Optimistic Model Versioning</t>
  </si>
  <si>
    <t>https://doi.org/10.1007/978-3-642-29645-1_24</t>
  </si>
  <si>
    <t>Difference-Preserving Process Merge</t>
  </si>
  <si>
    <t>https://doi.org/10.1007/978-3-642-41033-8_92</t>
  </si>
  <si>
    <t>Supporting Collaborative Design</t>
  </si>
  <si>
    <t>International Conference on Formal Methods for Open Object-Based Distributed Systems</t>
  </si>
  <si>
    <t>Towards Online Collaborative Multi-view Modelling</t>
  </si>
  <si>
    <t>https://doi.org/10.1007/978-0-387-35496-5_17</t>
  </si>
  <si>
    <t>https://doi.org/10.1007/978-3-030-01042-3_12</t>
  </si>
  <si>
    <t>D-Praxis : A Peer-to-Peer Collaborative Model Editing Framework</t>
  </si>
  <si>
    <t>IFIP International Conference on Distributed Applications and Interoperable Systems</t>
  </si>
  <si>
    <t>https://doi.org/10.1007/978-3-642-02164-0_2</t>
  </si>
  <si>
    <t>A Flexible Multi-mode Undo Mechanism for a Collaborative Modeling Environment</t>
  </si>
  <si>
    <t>International Conference on Collaboration and Technology</t>
  </si>
  <si>
    <t>https://doi.org/10.1007/978-3-642-04216-4_12</t>
  </si>
  <si>
    <t>A Reconciliation Framework to Support Cooperative Work with DSM</t>
  </si>
  <si>
    <t>Domain Engineering</t>
  </si>
  <si>
    <t>https://doi.org/10.1007/978-3-642-36654-3_10</t>
  </si>
  <si>
    <t>SLIM—A Lightweight Environment for Synchronous Collaborative Modeling</t>
  </si>
  <si>
    <t>https://doi.org/10.1007/978-3-642-04425-0_11</t>
  </si>
  <si>
    <t>A Web-Based Collaborative Metamodeling Environment with Secure Remote Model Access</t>
  </si>
  <si>
    <t>International Conference on Web Engineering</t>
  </si>
  <si>
    <t>https://doi.org/10.1007/978-3-642-13911-6_19</t>
  </si>
  <si>
    <t>CAMEL: A Tool for Collaborative Distributed Software Design</t>
  </si>
  <si>
    <t>IEEE International Conference on Global Software Engineering</t>
  </si>
  <si>
    <t>10.1109/ICGSE.2009.16</t>
  </si>
  <si>
    <t>Sum</t>
  </si>
  <si>
    <t>First Filtering 
(Title, Abstract, Keywords)</t>
  </si>
  <si>
    <t>Applying 
Inclusion/Exclusion Cirteria</t>
  </si>
  <si>
    <t>Detailed Fitering
(Complete Text)</t>
  </si>
  <si>
    <t>Snowballing</t>
  </si>
  <si>
    <t>An abstract scene model for version control towards cooperative product design</t>
  </si>
  <si>
    <t>Marouane Kessentini</t>
  </si>
  <si>
    <t>Wafa Werda</t>
  </si>
  <si>
    <t>Philip Langer</t>
  </si>
  <si>
    <t>Manuel Wimmer</t>
  </si>
  <si>
    <t>Approach</t>
  </si>
  <si>
    <t>Author 1</t>
  </si>
  <si>
    <t>Author 2</t>
  </si>
  <si>
    <t>Author 3</t>
  </si>
  <si>
    <t>Author 4</t>
  </si>
  <si>
    <t>Author 5</t>
  </si>
  <si>
    <t>Author 6</t>
  </si>
  <si>
    <t>Author 7</t>
  </si>
  <si>
    <t>Published in</t>
  </si>
  <si>
    <t>Yan Zhang</t>
  </si>
  <si>
    <t>Hongming Cai</t>
  </si>
  <si>
    <t>International Conference on Progress in Informatics and Computing (PIC)</t>
  </si>
  <si>
    <t>PIC</t>
  </si>
  <si>
    <t>10.1109/PIC.2016.7949539</t>
  </si>
  <si>
    <t>GECCO</t>
  </si>
  <si>
    <t>SysCon</t>
  </si>
  <si>
    <t>Weslley Torres</t>
  </si>
  <si>
    <t>Mark van den Brand</t>
  </si>
  <si>
    <t>Alexander Serebrenik</t>
  </si>
  <si>
    <t>Unifying Configuration Management with Merge Conflict Detection and Awareness Systems</t>
  </si>
  <si>
    <t>ASWEC</t>
  </si>
  <si>
    <t>22nd Australian Software Engineering Conference</t>
  </si>
  <si>
    <t>10.1109/ASWEC.2013.32</t>
  </si>
  <si>
    <t>H. Christian Estler</t>
  </si>
  <si>
    <t>Martin Nordio</t>
  </si>
  <si>
    <t>Carlo A. Furia</t>
  </si>
  <si>
    <t>Bertrand Meyer</t>
  </si>
  <si>
    <t>Proactive detection of collaboration conflicts</t>
  </si>
  <si>
    <t>ESEC/FSE</t>
  </si>
  <si>
    <t>Proceedings of the 19th ACM SIGSOFT symposium and the 13th European conference on Foundations of software engineering</t>
  </si>
  <si>
    <t>https://doi.org/10.1145/2025113.2025139</t>
  </si>
  <si>
    <t>David Notkin</t>
  </si>
  <si>
    <t>Michael D. Ernst</t>
  </si>
  <si>
    <t>Reid Holmes</t>
  </si>
  <si>
    <t>Yuriy Brun</t>
  </si>
  <si>
    <t>A chatbot for conflict detection and resolution</t>
  </si>
  <si>
    <t>BotSE</t>
  </si>
  <si>
    <t>Proceedings of the 1st International Workshop on Bots in Software Engineering</t>
  </si>
  <si>
    <t>https://doi.org/10.1109/BotSE.2019.00016</t>
  </si>
  <si>
    <t>Author 8</t>
  </si>
  <si>
    <t>Author 9</t>
  </si>
  <si>
    <t>Author 11</t>
  </si>
  <si>
    <t>Author 10</t>
  </si>
  <si>
    <t>Elahe Paikari</t>
  </si>
  <si>
    <t>JaeEun Choi</t>
  </si>
  <si>
    <t>SeonKyu Kim</t>
  </si>
  <si>
    <t>Sooyoung Baek</t>
  </si>
  <si>
    <t>MyeongSoo Kim</t>
  </si>
  <si>
    <t>SeungEon Lee</t>
  </si>
  <si>
    <t>ChaeYeon Han</t>
  </si>
  <si>
    <t>YoungJae Kim</t>
  </si>
  <si>
    <t>KaHye Ahn</t>
  </si>
  <si>
    <t>Chan Cheong</t>
  </si>
  <si>
    <t>André van der Hoek</t>
  </si>
  <si>
    <t>Applying semantic web technology to feature modeling</t>
  </si>
  <si>
    <t>SAC</t>
  </si>
  <si>
    <t>Proceedings of the 2009 ACM symposium on Applied Computing</t>
  </si>
  <si>
    <t>https://doi.org/10.1145/1529282.1529563</t>
  </si>
  <si>
    <t>Olga De Troyer</t>
  </si>
  <si>
    <t>Frederic Kleinermann</t>
  </si>
  <si>
    <t>Lamia Abo Zaid</t>
  </si>
  <si>
    <t>The Impact of Structure on Software Merging: Semistructured versus Structured Merge</t>
  </si>
  <si>
    <t>ASE</t>
  </si>
  <si>
    <t>Proceedings of the 34th IEEE/ACM International Conference on Automated Software Engineering</t>
  </si>
  <si>
    <t>https://doi.org/10.1109/ASE.2019.00097</t>
  </si>
  <si>
    <t>Guilherme Cavalcanti</t>
  </si>
  <si>
    <t>Paulo Borba</t>
  </si>
  <si>
    <t>Georg Seibt</t>
  </si>
  <si>
    <t>Sven Apel</t>
  </si>
  <si>
    <t>Effectiveness of Conflict Management Strategies in Peer Review Process of Online Collaboration Projects</t>
  </si>
  <si>
    <t>CSCW</t>
  </si>
  <si>
    <t>Proceedings of the 19th ACM Conference on Computer-Supported Cooperative Work &amp; Social Computing</t>
  </si>
  <si>
    <t>https://doi.org/10.1145/2818048.2819950</t>
  </si>
  <si>
    <t>Wenjian Huang</t>
  </si>
  <si>
    <t>Tun Lu</t>
  </si>
  <si>
    <t>Haiyi Zhu</t>
  </si>
  <si>
    <t>Guo Li</t>
  </si>
  <si>
    <t>Ning Gu</t>
  </si>
  <si>
    <t>Understanding Changes in n-way Merge: Use-cases and User Interface Demonstrations</t>
  </si>
  <si>
    <t>Dchanges</t>
  </si>
  <si>
    <t> Proceedings of the 2nd International Workshop on (Document) Changes: modeling, detection, storage and visualization</t>
  </si>
  <si>
    <t>https://doi.org/10.1145/2723147.2723150</t>
  </si>
  <si>
    <t>Nigel Whitaker</t>
  </si>
  <si>
    <t>Should we replace our merge tools?</t>
  </si>
  <si>
    <t>Proceedings of the 39th International Conference on Software Engineering Companion</t>
  </si>
  <si>
    <t>https://doi.org/10.1109/ICSE-C.2017.103</t>
  </si>
  <si>
    <t>Paola Accioly</t>
  </si>
  <si>
    <t>ICSE-C</t>
  </si>
  <si>
    <t>A group Undo/Redo method in 3D collaborative modeling systems with performance evaluation</t>
  </si>
  <si>
    <t>JNCA</t>
  </si>
  <si>
    <t>Journal of Network and Computer Applications</t>
  </si>
  <si>
    <t>https://doi.org/10.1016/j.jnca.2013.04.012</t>
  </si>
  <si>
    <t>Yuan Cheng</t>
  </si>
  <si>
    <t>Fazhi He</t>
  </si>
  <si>
    <t>Xiantao Cai</t>
  </si>
  <si>
    <t>Dejun Zhang</t>
  </si>
  <si>
    <t>Automatic extraction of product line architecture and feature models from UML class diagram variants</t>
  </si>
  <si>
    <t>IST</t>
  </si>
  <si>
    <t>Information and Software Technology</t>
  </si>
  <si>
    <t>https://doi.org/10.1016/j.infsof.2019.106198</t>
  </si>
  <si>
    <t>Wesley K.G.Assunção</t>
  </si>
  <si>
    <t>Silvia R.Vergilio</t>
  </si>
  <si>
    <t>Roberto E.Lopez-Herrejon</t>
  </si>
  <si>
    <t>Version Control System: A Review</t>
  </si>
  <si>
    <t>PROCS</t>
  </si>
  <si>
    <t>https://doi.org/10.1016/j.procs.2018.08.191</t>
  </si>
  <si>
    <t>Nazatul Nurlisa Zolkifli</t>
  </si>
  <si>
    <t>Amir Ngah</t>
  </si>
  <si>
    <t>Aziz Deraman</t>
  </si>
  <si>
    <t>Petra Brosch</t>
  </si>
  <si>
    <t>Martina Seidl</t>
  </si>
  <si>
    <t>Konrad Wieland</t>
  </si>
  <si>
    <t>OOPSLA</t>
  </si>
  <si>
    <t>The MONDO collaboration framework: secure collaborative modeling over existing version control systems</t>
  </si>
  <si>
    <t> Proceedings of the 2017 11th Joint Meeting on Foundations of Software Engineering</t>
  </si>
  <si>
    <t>https://doi.org/10.1145/3106237.3122829</t>
  </si>
  <si>
    <t>Csaba Debreceni</t>
  </si>
  <si>
    <t>Gábor Bergmann</t>
  </si>
  <si>
    <t>Márton Búr</t>
  </si>
  <si>
    <t>István Ráth</t>
  </si>
  <si>
    <t>Dániel Varró</t>
  </si>
  <si>
    <t>SoSyM</t>
  </si>
  <si>
    <t>https://doi.org/10.1007/s10270-019-00760-x</t>
  </si>
  <si>
    <t>Ferenc Attila Somogyi</t>
  </si>
  <si>
    <t>Mark Asztalos</t>
  </si>
  <si>
    <t>A Consistency-Preserving Editing Model for Dynamic Filtered Engineering of Model-Driven Product Lines</t>
  </si>
  <si>
    <t>MODELSWARD</t>
  </si>
  <si>
    <t>Felix Schwägerl</t>
  </si>
  <si>
    <t>Bernhard Westfechtel</t>
  </si>
  <si>
    <t>https://doi.org/10.1007/978-3-319-94764-8_7</t>
  </si>
  <si>
    <t>Discovering Software Architectures with Search-Based Merge of UML Model Variants</t>
  </si>
  <si>
    <t>ICSR</t>
  </si>
  <si>
    <t>International Conference on Software Reuse</t>
  </si>
  <si>
    <t>Wesley K. G. Assunção</t>
  </si>
  <si>
    <t>Silvia R. Vergilio</t>
  </si>
  <si>
    <t>Roberto E. Lopez-Herrejon</t>
  </si>
  <si>
    <t>https://doi.org/10.1007/978-3-319-56856-0_7</t>
  </si>
  <si>
    <t>Advancing viewpoint merging in requirements engineering: a theoretical replication and explanatory study</t>
  </si>
  <si>
    <t>RE</t>
  </si>
  <si>
    <t>Requirements Engineering</t>
  </si>
  <si>
    <t>https://doi.org/10.1007/s00766-017-0271-0</t>
  </si>
  <si>
    <t>Charu Khatwani</t>
  </si>
  <si>
    <t>Xiaoyu Jin</t>
  </si>
  <si>
    <t>Nan Niu</t>
  </si>
  <si>
    <t>Amy Koshoffer</t>
  </si>
  <si>
    <t>Linda Newman</t>
  </si>
  <si>
    <t>Juha Savolainen</t>
  </si>
  <si>
    <t>Search-based detection of model level changes</t>
  </si>
  <si>
    <t>EMSE</t>
  </si>
  <si>
    <t>https://doi.org/10.1007/s10664-016-9442-8</t>
  </si>
  <si>
    <t>Empirical Software Engineering</t>
  </si>
  <si>
    <t>Usman Mansoor</t>
  </si>
  <si>
    <t>Ali Ouni</t>
  </si>
  <si>
    <t xml:space="preserve">Kalyanmoy Deb </t>
  </si>
  <si>
    <t>Search-based detection of high-level model changes</t>
  </si>
  <si>
    <t>ICSM</t>
  </si>
  <si>
    <t>28th IEEE International Conference on Software Maintenance (ICSM)</t>
  </si>
  <si>
    <t>10.1109/ICSM.2012.6405274</t>
  </si>
  <si>
    <t>Ameni ben Fadhel</t>
  </si>
  <si>
    <t>On the benefits of file-level modularity for EMF models</t>
  </si>
  <si>
    <t>Karim Jahed</t>
  </si>
  <si>
    <t>Mojtaba Bagherzadeh</t>
  </si>
  <si>
    <t>Juergen Dingel</t>
  </si>
  <si>
    <t>https://doi.org/10.1007/s10270-020-00804-7</t>
  </si>
  <si>
    <t>Incremental Concurrent Model Synchronization using Triple Graph Grammars</t>
  </si>
  <si>
    <t>FSAE</t>
  </si>
  <si>
    <t>https://doi.org/10.1007/978-3-030-45234-6_14</t>
  </si>
  <si>
    <t>Fernando Orejas</t>
  </si>
  <si>
    <t>Elvira Pino</t>
  </si>
  <si>
    <t>Marisa Navarro</t>
  </si>
  <si>
    <t>OTM</t>
  </si>
  <si>
    <t>Michel Dirix</t>
  </si>
  <si>
    <t>Xavier Le Pallec</t>
  </si>
  <si>
    <t>Alexis Muller</t>
  </si>
  <si>
    <t>Service–Oriented Architecture Modeling: Bridging the Gap between Structure and Behavior</t>
  </si>
  <si>
    <t xml:space="preserve">MODELS </t>
  </si>
  <si>
    <t>https://doi.org/10.1007/978-3-642-24485-8_21</t>
  </si>
  <si>
    <t>Mickael Clavreul</t>
  </si>
  <si>
    <t>Sébastien Mosser</t>
  </si>
  <si>
    <t>Mireille Blay–Fornarino</t>
  </si>
  <si>
    <t>Robert B. France</t>
  </si>
  <si>
    <t>Model repositories at the enterprises and systems scale the Modelio constellation solution</t>
  </si>
  <si>
    <t>3rd International Conference on Model-Driven Engineering and Software Development</t>
  </si>
  <si>
    <t>https://ieeexplore.ieee.org/document/7323073</t>
  </si>
  <si>
    <t>Philippe Desfray</t>
  </si>
  <si>
    <t>A Model-driven Collaborative Modeling Method for Software</t>
  </si>
  <si>
    <t>ICMSS</t>
  </si>
  <si>
    <t>4th International Conference on Management Engineering, Software Engineering and Service Sciences</t>
  </si>
  <si>
    <t>https://doi.org/10.1145/3380625.3380643</t>
  </si>
  <si>
    <t>Zhihong Sun</t>
  </si>
  <si>
    <t>Tong Ye</t>
  </si>
  <si>
    <t>Xiangying Kong</t>
  </si>
  <si>
    <t>Yi Zhuang</t>
  </si>
  <si>
    <t>Book</t>
  </si>
  <si>
    <t>Resolving Collaborative Design Conflicts Through an Ontology-based Approach</t>
  </si>
  <si>
    <t>Collaborative Product and Service Life Cycle Management for a Sustainable World</t>
  </si>
  <si>
    <t>https://doi.org/10.1007/978-1-84800-972-1_2</t>
  </si>
  <si>
    <t>Moisés Dutra</t>
  </si>
  <si>
    <t>Parisa Ghodous</t>
  </si>
  <si>
    <t>Ricardo Gonçalves</t>
  </si>
  <si>
    <t>MODELS</t>
  </si>
  <si>
    <t>SPE</t>
  </si>
  <si>
    <t>JSS</t>
  </si>
  <si>
    <t>Initial Studies</t>
  </si>
  <si>
    <t>A conflict resolution algorithm considering design objective optimization in collaborative design</t>
  </si>
  <si>
    <t>ICIEEM</t>
  </si>
  <si>
    <t>International Conference on Industrial Engineering and Engineering Management</t>
  </si>
  <si>
    <t>10.1109/ICIEEM.2009.5344328</t>
  </si>
  <si>
    <t>Guilin Jin</t>
  </si>
  <si>
    <t>Baosheng Ying</t>
  </si>
  <si>
    <t>Zhijun Rong</t>
  </si>
  <si>
    <t>Merging Test Models</t>
  </si>
  <si>
    <t>ICECSS</t>
  </si>
  <si>
    <t>18th International Conference on Engineering of Complex Computer Systems</t>
  </si>
  <si>
    <t>10.1109/ICECCS.2013.32</t>
  </si>
  <si>
    <t>Mohamed Mussa</t>
  </si>
  <si>
    <t>Ferhat Khendek</t>
  </si>
  <si>
    <t>A Relationship-Driven Framework for Model Merging</t>
  </si>
  <si>
    <t>MISE</t>
  </si>
  <si>
    <t>International Workshop on Modeling in Software Engineering</t>
  </si>
  <si>
    <t>10.1109/MISE.2007.4</t>
  </si>
  <si>
    <t>Mehrdad Sabetzadeh</t>
  </si>
  <si>
    <t>Shiva Nejati</t>
  </si>
  <si>
    <t>Steve Easterbrook</t>
  </si>
  <si>
    <t>Marsha Chechik</t>
  </si>
  <si>
    <t>UML2Merge: a UML extension for model merging</t>
  </si>
  <si>
    <t>IET</t>
  </si>
  <si>
    <t> IET Software</t>
  </si>
  <si>
    <t>10.1049/iet-sen.2018.5104</t>
  </si>
  <si>
    <t>Kleinner Farias</t>
  </si>
  <si>
    <t>Toacy Cavalcante de Oliveira</t>
  </si>
  <si>
    <t>Lucian José Gonçales</t>
  </si>
  <si>
    <t>Vinicius Bischoff</t>
  </si>
  <si>
    <t>Solving two special dependency conflicts in real-time collaborative design systems</t>
  </si>
  <si>
    <t>CSCWD</t>
  </si>
  <si>
    <t>17th International Conference on Computer Supported Cooperative Work in Design (CSCWD)</t>
  </si>
  <si>
    <t>10.1109/CSCWD.2013.6580932</t>
  </si>
  <si>
    <t>Liping Gao</t>
  </si>
  <si>
    <t>Shanshan Wang</t>
  </si>
  <si>
    <t>Shuxian Guo</t>
  </si>
  <si>
    <t>Qingkui Chen</t>
  </si>
  <si>
    <t>Yuben Zhang</t>
  </si>
  <si>
    <t>WICSA</t>
  </si>
  <si>
    <t>Hoa Khanh Dam</t>
  </si>
  <si>
    <t>Alexander Reder</t>
  </si>
  <si>
    <t>Alexander Egyed</t>
  </si>
  <si>
    <t>2nd International Conference on Model-Driven Engineering and Software Development (MODELSWARD)</t>
  </si>
  <si>
    <t>https://ieeexplore.ieee.org/document/7018447</t>
  </si>
  <si>
    <t>Sabrina Uhrig</t>
  </si>
  <si>
    <t>Continuous Analysis of Collaborative Design</t>
  </si>
  <si>
    <t>ICSA</t>
  </si>
  <si>
    <t>IEEE International Conference on Software Architecture (ICSA)</t>
  </si>
  <si>
    <t>10.1109/ICSA.2017.45</t>
  </si>
  <si>
    <t>Jae Young Bang</t>
  </si>
  <si>
    <t>Nenad Medvidovic</t>
  </si>
  <si>
    <t>SNPD</t>
  </si>
  <si>
    <t>Renwei Zhang</t>
  </si>
  <si>
    <t>Zheng Qin</t>
  </si>
  <si>
    <t>Multifaceted Consistency Checking of Collaborative Engineering Artifacts</t>
  </si>
  <si>
    <t>22nd International Conference on Model Driven Engineering Languages and Systems Companion (MODELS-C)</t>
  </si>
  <si>
    <t>10.1109/MODELS-C.2019.00044</t>
  </si>
  <si>
    <t>Michael Alexander Tröls</t>
  </si>
  <si>
    <t>Atif Mashkoor</t>
  </si>
  <si>
    <t>Real-Time Collaborative Software Modeling Using UML with Rational Software Architect</t>
  </si>
  <si>
    <t>COLCOM</t>
  </si>
  <si>
    <t>International Conference on Collaborative Computing: Networking, Applications and Worksharing</t>
  </si>
  <si>
    <t>10.1109/COLCOM.2006.361897</t>
  </si>
  <si>
    <t>Siyuan Liu</t>
  </si>
  <si>
    <t>Yang Zheng</t>
  </si>
  <si>
    <t>Haifeng Shen</t>
  </si>
  <si>
    <t>Steven Xia</t>
  </si>
  <si>
    <t>Chengzheng Sun</t>
  </si>
  <si>
    <t>Towards a Framework for Distributed and Collaborative Modeling</t>
  </si>
  <si>
    <t>10.1109/WETICE.2009.48</t>
  </si>
  <si>
    <t>WETICE</t>
  </si>
  <si>
    <t>18th IEEE International Workshops on Enabling Technologies: Infrastructures for Collaborative Enterprises</t>
  </si>
  <si>
    <t>Antonio Cicchetti</t>
  </si>
  <si>
    <t>Henry Muccini</t>
  </si>
  <si>
    <t>Patrizio Pelliccione</t>
  </si>
  <si>
    <t>Alfonso Pierantonio</t>
  </si>
  <si>
    <t>Distributed Collaborative Model Editing Framework for Domain Specific Modeling Tools</t>
  </si>
  <si>
    <t>ICGSE</t>
  </si>
  <si>
    <t>IEEE Sixth International Conference on Global Software Engineering</t>
  </si>
  <si>
    <t>10.1109/ICGSE.2011.18</t>
  </si>
  <si>
    <t>Amanuel Koshima</t>
  </si>
  <si>
    <t>Vincent Englebert</t>
  </si>
  <si>
    <t>Philippe Thiran</t>
  </si>
  <si>
    <t>Secure Views for Collaborative Modeling</t>
  </si>
  <si>
    <t>IEEE Software</t>
  </si>
  <si>
    <t>10.1109/MS.2018.290101728</t>
  </si>
  <si>
    <t>Collaborative model merging</t>
  </si>
  <si>
    <t> Proceedings of the ACM international conference companion on Object oriented programming systems languages and applications companion</t>
  </si>
  <si>
    <t>https://doi.org/10.1145/1869542.1869547</t>
  </si>
  <si>
    <t>Maximilian Koegel</t>
  </si>
  <si>
    <t>Helmut Naughton</t>
  </si>
  <si>
    <t>Jonas Helming</t>
  </si>
  <si>
    <t>Markus Herrmannsdoerfer</t>
  </si>
  <si>
    <t>Collaborative Modeling Empowered By Modeling Deltas</t>
  </si>
  <si>
    <t>Proceedings of the 3rd International Workshop on (Document) Changes: modeling, detection, storage and visualization</t>
  </si>
  <si>
    <t>https://doi.org/10.1145/2881631.2881633</t>
  </si>
  <si>
    <t>Dilshodbek Kuryazov</t>
  </si>
  <si>
    <t>Andreas Winter</t>
  </si>
  <si>
    <t>IWMCP</t>
  </si>
  <si>
    <t>ICSE</t>
  </si>
  <si>
    <t>SPLC</t>
  </si>
  <si>
    <t>APCCM</t>
  </si>
  <si>
    <t>DATE</t>
  </si>
  <si>
    <t>ACME</t>
  </si>
  <si>
    <t>VAMOS</t>
  </si>
  <si>
    <t>ME</t>
  </si>
  <si>
    <t>MoDeVVa</t>
  </si>
  <si>
    <t>MDI</t>
  </si>
  <si>
    <t>ECSA</t>
  </si>
  <si>
    <t>EASE</t>
  </si>
  <si>
    <t>iiWAS</t>
  </si>
  <si>
    <t>MiSE</t>
  </si>
  <si>
    <t>ChineseCSCW</t>
  </si>
  <si>
    <t>Stephen C. Barrett</t>
  </si>
  <si>
    <t>Greg Butler</t>
  </si>
  <si>
    <t>Patrice Chalin</t>
  </si>
  <si>
    <t>Conflicts as first-class entities: a UML profile for model versioning</t>
  </si>
  <si>
    <t>MODLES</t>
  </si>
  <si>
    <t>MODELS'10: Proceedings of the 2010 international conference on Models in software engineering</t>
  </si>
  <si>
    <t>https://dl.acm.org/doi/abs/10.5555/2008503.2008528</t>
  </si>
  <si>
    <t>Horst Kargl</t>
  </si>
  <si>
    <t>Gerti Kappel</t>
  </si>
  <si>
    <t>Merging models based on given correspondences</t>
  </si>
  <si>
    <t>VLDB</t>
  </si>
  <si>
    <t>Proceedings of the 29th international conference on Very large data bases</t>
  </si>
  <si>
    <t>Rachel A. Pottinger</t>
  </si>
  <si>
    <t>Philip A. Bernstein</t>
  </si>
  <si>
    <t>https://dl.acm.org/doi/10.5555/1315451.1315525</t>
  </si>
  <si>
    <t>Collaborative software engineering on large-scale models: requirements and experience in ModelBus</t>
  </si>
  <si>
    <t>Proceedings of the 2008 ACM symposium on Applied computing</t>
  </si>
  <si>
    <t>https://doi.org/10.1145/1363686.1363849</t>
  </si>
  <si>
    <t>Prawee Sriplakich</t>
  </si>
  <si>
    <t>Xavier Blanc</t>
  </si>
  <si>
    <t>Marie-Pierre Gervals</t>
  </si>
  <si>
    <t>Conflict management in PDEVS: an experience in modelling and simulation of time petri nets</t>
  </si>
  <si>
    <t>SCSC</t>
  </si>
  <si>
    <t>Proceedings of the 2007 Summer Computer Simulation Conference</t>
  </si>
  <si>
    <t>https://dl.acm.org/doi/10.5555/1357910.1357966</t>
  </si>
  <si>
    <t>Franco  Cicirelli</t>
  </si>
  <si>
    <t>Angelo Furfaro</t>
  </si>
  <si>
    <t>Libero Nigro</t>
  </si>
  <si>
    <t>Christian Gerth</t>
  </si>
  <si>
    <t>Jochen M. Küster</t>
  </si>
  <si>
    <t>Markus Luckey</t>
  </si>
  <si>
    <t>Gregor Engels</t>
  </si>
  <si>
    <t>Wardah Mahmood</t>
  </si>
  <si>
    <t>Moses Chagama</t>
  </si>
  <si>
    <t>Thorsten Berger</t>
  </si>
  <si>
    <t>Regina Hebig</t>
  </si>
  <si>
    <t>Kerstin Altmanninger</t>
  </si>
  <si>
    <t>Gabriele Kotsis</t>
  </si>
  <si>
    <t>Conflict resolution for on-the-fly change propagation in business processes</t>
  </si>
  <si>
    <t>Proceedings of the Tenth Asia-Pacific Conference on Conceptual Modelling</t>
  </si>
  <si>
    <t>https://dl.acm.org/doi/10.5555/2667691.2667696</t>
  </si>
  <si>
    <t>Shamila Mafazi</t>
  </si>
  <si>
    <t>Wolfgang Mayer</t>
  </si>
  <si>
    <t>Markus Stumptner</t>
  </si>
  <si>
    <t>Managing conflict in multi-model adaptive hypertext</t>
  </si>
  <si>
    <t>HYPERTEXT</t>
  </si>
  <si>
    <t>Proceedings of the fifteenth ACM conference on Hypertext and hypermedia</t>
  </si>
  <si>
    <t>https://doi.org/10.1145/1012807.1012866</t>
  </si>
  <si>
    <t>Luis Francisco-Revilla</t>
  </si>
  <si>
    <t>Frank M. Shipman</t>
  </si>
  <si>
    <t>Consistent modeling using multiple UML profiles</t>
  </si>
  <si>
    <t>Proceedings of the 13th international conference on Model driven engineering languages and systems: Part I</t>
  </si>
  <si>
    <t>https://dl.acm.org/doi/10.5555/1926458.1926495</t>
  </si>
  <si>
    <t>Florian Noyrit</t>
  </si>
  <si>
    <t>Sébastien Gérard</t>
  </si>
  <si>
    <t>François Terrier</t>
  </si>
  <si>
    <t>Bran Selic</t>
  </si>
  <si>
    <t>SBSI</t>
  </si>
  <si>
    <t>CVSM</t>
  </si>
  <si>
    <t>ESEC</t>
  </si>
  <si>
    <t>VaMOS</t>
  </si>
  <si>
    <t>MeshGit: diffing and merging meshes for polygonal modeling</t>
  </si>
  <si>
    <t>TOG</t>
  </si>
  <si>
    <t>ACM Transactions on Graphics</t>
  </si>
  <si>
    <t>https://doi.org/10.1145/2461912.2461942</t>
  </si>
  <si>
    <t>Jonathan D. Denning</t>
  </si>
  <si>
    <t>Fabio Pellacini</t>
  </si>
  <si>
    <t>Weaving models in conflict detection specifications</t>
  </si>
  <si>
    <t>Alessandro Rossini</t>
  </si>
  <si>
    <t>Proceedings of the 2007 ACM symposium on Applied computing</t>
  </si>
  <si>
    <t>https://doi.org/10.1145/1244002.1244227</t>
  </si>
  <si>
    <t>A UML model consistency verification approach based on meta-modeling formalization</t>
  </si>
  <si>
    <t>Proceedings of the 2006 ACM symposium on Applied computing</t>
  </si>
  <si>
    <t>https://doi.org/10.1145/1141277.1141703</t>
  </si>
  <si>
    <t>H. Malgouyres</t>
  </si>
  <si>
    <t>G. Motet</t>
  </si>
  <si>
    <t>A recommender for conflict resolution support in optimistic model versioning</t>
  </si>
  <si>
    <t>Proceedings of the ACM international conference companion on Object oriented programming systems languages and applications companion</t>
  </si>
  <si>
    <t>https://doi.org/10.1145/1869542.1869549</t>
  </si>
  <si>
    <t>Conflict resolution for structured merge via version space algebra</t>
  </si>
  <si>
    <t>PACMPL</t>
  </si>
  <si>
    <t>Proceedings of the ACM on Programming Languages</t>
  </si>
  <si>
    <t>https://doi.org/10.1145/3276536</t>
  </si>
  <si>
    <t>Fengmin Zhu</t>
  </si>
  <si>
    <t>Fei He</t>
  </si>
  <si>
    <t>Creative conflict resolution in realtime collaborative editing systems</t>
  </si>
  <si>
    <t>Proceedings of the ACM 2012 conference on Computer Supported Cooperative Work</t>
  </si>
  <si>
    <t>https://doi.org/10.1145/2145204.2145413</t>
  </si>
  <si>
    <t>David Sun</t>
  </si>
  <si>
    <t>Peter Rittgen</t>
  </si>
  <si>
    <t>Varró Dániel</t>
  </si>
  <si>
    <t>McLyndon S. de L. Xavier</t>
  </si>
  <si>
    <t>Jorge Barbosa</t>
  </si>
  <si>
    <t>Lucian Gonçales</t>
  </si>
  <si>
    <t>Vinicius Bishoff</t>
  </si>
  <si>
    <t>Christian Bartelt</t>
  </si>
  <si>
    <t>Isabelle Mounier</t>
  </si>
  <si>
    <t>Alix Mougenot</t>
  </si>
  <si>
    <t>Tom Mens</t>
  </si>
  <si>
    <t>Elias Kuiter</t>
  </si>
  <si>
    <t>Sebastian Krieter</t>
  </si>
  <si>
    <t>Jacob Krüger</t>
  </si>
  <si>
    <t>Thomas Leich</t>
  </si>
  <si>
    <t>Gunter Saake</t>
  </si>
  <si>
    <t>Otto von Wesendonk</t>
  </si>
  <si>
    <t>Robert Wille</t>
  </si>
  <si>
    <t>Mathias Soeken</t>
  </si>
  <si>
    <t>Rolf Drechsler</t>
  </si>
  <si>
    <t>Yingfei Xiong</t>
  </si>
  <si>
    <t>Zhenjiang Hu</t>
  </si>
  <si>
    <t>Haiyan Zhao</t>
  </si>
  <si>
    <t>Hui Song</t>
  </si>
  <si>
    <t>Masato Takeichi</t>
  </si>
  <si>
    <t>Hong Mei</t>
  </si>
  <si>
    <t>Alexander Nöhrer</t>
  </si>
  <si>
    <t>Federico Ciccozzi</t>
  </si>
  <si>
    <t>Armin Biere</t>
  </si>
  <si>
    <t>Nils Weidmann</t>
  </si>
  <si>
    <t>Anne Keller</t>
  </si>
  <si>
    <t>Hans Schippers</t>
  </si>
  <si>
    <t>Serge Demeyer</t>
  </si>
  <si>
    <t>Sofia Ananieva</t>
  </si>
  <si>
    <t>Heiko Klare</t>
  </si>
  <si>
    <t>Erik Burger</t>
  </si>
  <si>
    <t>Ralf Reussner</t>
  </si>
  <si>
    <t>Zinovy Diskin</t>
  </si>
  <si>
    <t>Krzysztof Czarnecki</t>
  </si>
  <si>
    <t>Benno Kallweit</t>
  </si>
  <si>
    <t>Pablo Oliveira Antonino</t>
  </si>
  <si>
    <t>Jasmin Jahic</t>
  </si>
  <si>
    <t>Thomas Kuhn</t>
  </si>
  <si>
    <t>Peter Liggesmeyer</t>
  </si>
  <si>
    <t>Jae young Bang</t>
  </si>
  <si>
    <t>Daniel Popescu</t>
  </si>
  <si>
    <t>George Edwards</t>
  </si>
  <si>
    <t>Naveen Kulkarni</t>
  </si>
  <si>
    <t>Girish M. Rama</t>
  </si>
  <si>
    <t>Srinivas Padmanabhuni</t>
  </si>
  <si>
    <t>Damiano Torre</t>
  </si>
  <si>
    <t>Yvan Labiche</t>
  </si>
  <si>
    <t>Marcela Genero</t>
  </si>
  <si>
    <t>Mahmoud El Hamlaoui</t>
  </si>
  <si>
    <t>Saloua Bennani</t>
  </si>
  <si>
    <t>Mahmoud Nassar</t>
  </si>
  <si>
    <t>Sophie Ebersold</t>
  </si>
  <si>
    <t>Bernard Coulette</t>
  </si>
  <si>
    <t>Jonathan Michaux</t>
  </si>
  <si>
    <t>Marc Shapiro</t>
  </si>
  <si>
    <t>Pierre Sutra</t>
  </si>
  <si>
    <t>Abdullah Baqasah</t>
  </si>
  <si>
    <t>Eric Pardede</t>
  </si>
  <si>
    <t>Wenny Rahayu</t>
  </si>
  <si>
    <t>Chessman K. F. Corrêa</t>
  </si>
  <si>
    <t>Toacy C. Oliveira</t>
  </si>
  <si>
    <t>Claudia M. L. Werner</t>
  </si>
  <si>
    <t>Matthieu Foucault</t>
  </si>
  <si>
    <t>Sébastien Barbier</t>
  </si>
  <si>
    <t>David Lugato</t>
  </si>
  <si>
    <t>Sizheng Zhu</t>
  </si>
  <si>
    <t>Dan Wang</t>
  </si>
  <si>
    <t>ICCCI</t>
  </si>
  <si>
    <t>ISSREW</t>
  </si>
  <si>
    <t>ICYCS</t>
  </si>
  <si>
    <t>EDOCW</t>
  </si>
  <si>
    <t>ICSE-COMPANION</t>
  </si>
  <si>
    <t>SCC</t>
  </si>
  <si>
    <t>EDOC</t>
  </si>
  <si>
    <t>HICSS</t>
  </si>
  <si>
    <t>KBEI</t>
  </si>
  <si>
    <t>TASE</t>
  </si>
  <si>
    <t>TSE</t>
  </si>
  <si>
    <t>TSMCA</t>
  </si>
  <si>
    <t>APSEC</t>
  </si>
  <si>
    <t>ICST</t>
  </si>
  <si>
    <t>Bhushan S. Thakare</t>
  </si>
  <si>
    <t>Mahesh R. Dube</t>
  </si>
  <si>
    <t>VL/HCC</t>
  </si>
  <si>
    <t>CiSt</t>
  </si>
  <si>
    <t xml:space="preserve">Hao Chong </t>
  </si>
  <si>
    <t>Leonardo Mariani</t>
  </si>
  <si>
    <t>Daniela Micucci</t>
  </si>
  <si>
    <t>Fabrizio Pastore</t>
  </si>
  <si>
    <t>Stephan Seyboth</t>
  </si>
  <si>
    <t>WITS</t>
  </si>
  <si>
    <t>COMPSAC</t>
  </si>
  <si>
    <t>IEEM</t>
  </si>
  <si>
    <t>UMEDIA</t>
  </si>
  <si>
    <t>INMIC</t>
  </si>
  <si>
    <t>IECON</t>
  </si>
  <si>
    <t>ComTech</t>
  </si>
  <si>
    <t>TSMC</t>
  </si>
  <si>
    <t>REW</t>
  </si>
  <si>
    <t>ICCES</t>
  </si>
  <si>
    <t>TENCON</t>
  </si>
  <si>
    <t>ISMVL</t>
  </si>
  <si>
    <t>CSMR</t>
  </si>
  <si>
    <t>ICSEM</t>
  </si>
  <si>
    <t>FITME</t>
  </si>
  <si>
    <t>SERA</t>
  </si>
  <si>
    <t>ICM2CS</t>
  </si>
  <si>
    <t>DEPCOS-RELCOMEX</t>
  </si>
  <si>
    <t>Jun Cheng</t>
  </si>
  <si>
    <t>Qiang Liu</t>
  </si>
  <si>
    <t>Nenad Medvidović</t>
  </si>
  <si>
    <t>Selim Erol</t>
  </si>
  <si>
    <t>Gustaf Neumann</t>
  </si>
  <si>
    <t>Ankica Barišić</t>
  </si>
  <si>
    <t>Daniel Varro</t>
  </si>
  <si>
    <t>Vasco Amaral</t>
  </si>
  <si>
    <t>Miguel Goulão</t>
  </si>
  <si>
    <t xml:space="preserve">Markus Herrmannsdoerfer </t>
  </si>
  <si>
    <t>Yang Li</t>
  </si>
  <si>
    <t>Joern David</t>
  </si>
  <si>
    <t>Timo Kehrer</t>
  </si>
  <si>
    <t>Udo Kelter</t>
  </si>
  <si>
    <t>Gabriele Taentzer</t>
  </si>
  <si>
    <t>Marie-pierre Gervais</t>
  </si>
  <si>
    <t xml:space="preserve">Mohammadreza Sharbaf </t>
  </si>
  <si>
    <t>Bahman Zamani</t>
  </si>
  <si>
    <t>Stephen Barrett</t>
  </si>
  <si>
    <t>Daniel Sinnig</t>
  </si>
  <si>
    <t>A.B.B. Martinez</t>
  </si>
  <si>
    <t>J.J.P. Arias</t>
  </si>
  <si>
    <t>A.F. Vilas</t>
  </si>
  <si>
    <t>M. Sabetzadeh</t>
  </si>
  <si>
    <t>S. Easterbrook</t>
  </si>
  <si>
    <t>Mauro Pezzè</t>
  </si>
  <si>
    <t>Mauro Santoro</t>
  </si>
  <si>
    <t>Christopher Pietsch</t>
  </si>
  <si>
    <t>Dennis Reuling</t>
  </si>
  <si>
    <t>Manuel Ohrndorf</t>
  </si>
  <si>
    <t>Ebrahim Bagheri</t>
  </si>
  <si>
    <t>Ali A. Ghorbani</t>
  </si>
  <si>
    <t>Maik Schmidt</t>
  </si>
  <si>
    <t>Sven Wenzel</t>
  </si>
  <si>
    <t>Driss Allaki</t>
  </si>
  <si>
    <t>Mohamed Dahchour</t>
  </si>
  <si>
    <t>Abdeslam En-nouaary</t>
  </si>
  <si>
    <t>Bjorn Schindler</t>
  </si>
  <si>
    <t>Phan Thi Thanh Huyen</t>
  </si>
  <si>
    <t>Koichiro Ochimizu</t>
  </si>
  <si>
    <t>Ioanna Lytra</t>
  </si>
  <si>
    <t>Uwe Zdun</t>
  </si>
  <si>
    <t>Dimitrios Kolovos</t>
  </si>
  <si>
    <t>Richard Paige</t>
  </si>
  <si>
    <t>Fiona Polack</t>
  </si>
  <si>
    <t>Ahsan Qamar</t>
  </si>
  <si>
    <t>Sebastian J. I. Herzig</t>
  </si>
  <si>
    <t>Christiaan J. J. Paredis</t>
  </si>
  <si>
    <t>Martin Törngren</t>
  </si>
  <si>
    <t>Manar Zerrouk</t>
  </si>
  <si>
    <t>Adil Anwar</t>
  </si>
  <si>
    <t>Imade Benelallam</t>
  </si>
  <si>
    <t>Mahmoud Elhamlaoui</t>
  </si>
  <si>
    <t>CASE</t>
  </si>
  <si>
    <t>Selim Çiraci</t>
  </si>
  <si>
    <t>Hasan Sözer</t>
  </si>
  <si>
    <t>Bedir Tekinerdogan</t>
  </si>
  <si>
    <t>M. Zou</t>
  </si>
  <si>
    <t>H. Li</t>
  </si>
  <si>
    <t>B. Vogel-Heuser</t>
  </si>
  <si>
    <t>Louis M. Rose</t>
  </si>
  <si>
    <t>Dimitrios S. Kolovos</t>
  </si>
  <si>
    <t>Richard F. Paige</t>
  </si>
  <si>
    <t>Fiona A.C. Polack</t>
  </si>
  <si>
    <t>Nuno Macedo</t>
  </si>
  <si>
    <t>Tiago Jorge</t>
  </si>
  <si>
    <t>Alcino Cunha</t>
  </si>
  <si>
    <t>E. M. N. K. Ekanayake</t>
  </si>
  <si>
    <t>Saluka R. Kodituwakku</t>
  </si>
  <si>
    <t>Tamleek Ali</t>
  </si>
  <si>
    <t>Mohammad Nauman</t>
  </si>
  <si>
    <t>Masoom Alam</t>
  </si>
  <si>
    <t>Martin Hüfner</t>
  </si>
  <si>
    <t>Christian Sonntag</t>
  </si>
  <si>
    <t>Sebastian Engell</t>
  </si>
  <si>
    <t>Sebastian Grobosch</t>
  </si>
  <si>
    <t>Maryam Jamal</t>
  </si>
  <si>
    <t>Nazir Ahmad Zafar</t>
  </si>
  <si>
    <t>M.A. Orgun</t>
  </si>
  <si>
    <t>L. Xue</t>
  </si>
  <si>
    <t>Baris Canbaz</t>
  </si>
  <si>
    <t>Bernard Yannou</t>
  </si>
  <si>
    <t>Pierre-Alain Yvars</t>
  </si>
  <si>
    <t>Computer</t>
  </si>
  <si>
    <t xml:space="preserve">B. Nuseibeh </t>
  </si>
  <si>
    <t>A. Russo</t>
  </si>
  <si>
    <t>Aaron Montalvo</t>
  </si>
  <si>
    <t>Pablo Parra</t>
  </si>
  <si>
    <t>Oscar R. Polo</t>
  </si>
  <si>
    <t>Alberto Carrasco</t>
  </si>
  <si>
    <t>Agustin Martinez</t>
  </si>
  <si>
    <t>Sebastian Sanchez</t>
  </si>
  <si>
    <t>Mirette M. Michel</t>
  </si>
  <si>
    <t>Galal H. Galal-Edeen</t>
  </si>
  <si>
    <t>Shouvik Dey</t>
  </si>
  <si>
    <t>Rumpa Hazra</t>
  </si>
  <si>
    <t>Ananya Kanjilal</t>
  </si>
  <si>
    <t>Swapan Bhattacharya</t>
  </si>
  <si>
    <t>Arndt Lüder</t>
  </si>
  <si>
    <t>Johanna–Lisa Pauly</t>
  </si>
  <si>
    <t>Mohammadreza Sharbaf</t>
  </si>
  <si>
    <t>Behrouz Tork Ladani</t>
  </si>
  <si>
    <t>L.C. Briand</t>
  </si>
  <si>
    <t>Y. Labiche</t>
  </si>
  <si>
    <t>L. O'Sullivan</t>
  </si>
  <si>
    <t>Nils Przigoda</t>
  </si>
  <si>
    <t>Judith Przigoda</t>
  </si>
  <si>
    <t>Andrea Baruzzo</t>
  </si>
  <si>
    <t>Marco Comini</t>
  </si>
  <si>
    <t>Andrea De Lucia</t>
  </si>
  <si>
    <t>Fausto Fasano</t>
  </si>
  <si>
    <t>Giuseppe Scanniello</t>
  </si>
  <si>
    <t>Genoveffa Tortora</t>
  </si>
  <si>
    <t>Wanfeng Dou</t>
  </si>
  <si>
    <t>Ming Zhu</t>
  </si>
  <si>
    <t>Qi Shen</t>
  </si>
  <si>
    <t>Ivo Barone</t>
  </si>
  <si>
    <t>Esterino Rullo</t>
  </si>
  <si>
    <t>Dizza Beimel</t>
  </si>
  <si>
    <t>Lior Galanti</t>
  </si>
  <si>
    <t>Weijie Gu</t>
  </si>
  <si>
    <t>Jishui Wang</t>
  </si>
  <si>
    <t>Erying Shi</t>
  </si>
  <si>
    <t>Yuexia Qian</t>
  </si>
  <si>
    <t>Shengjun Wang</t>
  </si>
  <si>
    <t>Longfei Jin</t>
  </si>
  <si>
    <t>Chengzhi Jin</t>
  </si>
  <si>
    <t>A. Zisman</t>
  </si>
  <si>
    <t>A. Kozlenkov</t>
  </si>
  <si>
    <t>Hela Hakim</t>
  </si>
  <si>
    <t>Asma Sellami</t>
  </si>
  <si>
    <t>Hanene Ben-Abdallah</t>
  </si>
  <si>
    <t>Jayeeta Chanda</t>
  </si>
  <si>
    <t>Sabnam Sengupta</t>
  </si>
  <si>
    <t>Lukasz Fryz</t>
  </si>
  <si>
    <t>Leszek Kotulski</t>
  </si>
  <si>
    <t>David Wile</t>
  </si>
  <si>
    <t>Marcelo Cataldo</t>
  </si>
  <si>
    <t>Charles Shelton</t>
  </si>
  <si>
    <t>Yongjoon Choi</t>
  </si>
  <si>
    <t>Yun-Yin Huang</t>
  </si>
  <si>
    <t>Vytesh Ramesh</t>
  </si>
  <si>
    <t>Darpan Saini</t>
  </si>
  <si>
    <t>Liang-Yun Wang</t>
  </si>
  <si>
    <t>C. Nentwich</t>
  </si>
  <si>
    <t>W. Emmerich</t>
  </si>
  <si>
    <t>A. Finkelstein</t>
  </si>
  <si>
    <t>Diana B.Petitti</t>
  </si>
  <si>
    <t>Jennifer S.Lin</t>
  </si>
  <si>
    <t>Douglas K.Owens</t>
  </si>
  <si>
    <t>Jennifer M.Croswell</t>
  </si>
  <si>
    <t>Eric J.Feuer</t>
  </si>
  <si>
    <t>AMEPRE</t>
  </si>
  <si>
    <t>Slim Bechikh</t>
  </si>
  <si>
    <t>Kalyanmoy Deb</t>
  </si>
  <si>
    <t>Michael Winikoff</t>
  </si>
  <si>
    <t>Stefan Feldmann</t>
  </si>
  <si>
    <t>Konstantin Kernschmidt</t>
  </si>
  <si>
    <t>Birgit Vogel-Heuser</t>
  </si>
  <si>
    <t>KnoSys</t>
  </si>
  <si>
    <t>Sergei Gorlatch</t>
  </si>
  <si>
    <t>Jens Müller-Iden</t>
  </si>
  <si>
    <t>Martin Alt</t>
  </si>
  <si>
    <t>Jan Dünnweber</t>
  </si>
  <si>
    <t>Hamido Fujita</t>
  </si>
  <si>
    <t>Yutaka Funyu</t>
  </si>
  <si>
    <t>Juliana Küster Filipe Bowles</t>
  </si>
  <si>
    <t>Marco B.Caminati</t>
  </si>
  <si>
    <t>Ali Ghorbani</t>
  </si>
  <si>
    <t>JVLC</t>
  </si>
  <si>
    <t>JLAMP</t>
  </si>
  <si>
    <t>Leen Lambers</t>
  </si>
  <si>
    <t>Kristopher Born</t>
  </si>
  <si>
    <t>Jens Kosiol</t>
  </si>
  <si>
    <t>Daniel Strüber</t>
  </si>
  <si>
    <t>SysArc</t>
  </si>
  <si>
    <t>Deepak Dhungana</t>
  </si>
  <si>
    <t>Paul Grünbacher</t>
  </si>
  <si>
    <t>Rick Rabiser</t>
  </si>
  <si>
    <t>Thomas Neumayer</t>
  </si>
  <si>
    <t>Daniel Neumann</t>
  </si>
  <si>
    <t>RCIM</t>
  </si>
  <si>
    <t>Jan Keidel</t>
  </si>
  <si>
    <t>ENTCS</t>
  </si>
  <si>
    <t>Artur Boronat</t>
  </si>
  <si>
    <t>José Á.Carsí</t>
  </si>
  <si>
    <t>Isidro Ramos</t>
  </si>
  <si>
    <t>Patricio Letelier</t>
  </si>
  <si>
    <t>Petru Nicolaescu</t>
  </si>
  <si>
    <t>IS</t>
  </si>
  <si>
    <t>Mario Rosenstengel</t>
  </si>
  <si>
    <t>Michael Derntl</t>
  </si>
  <si>
    <t>Ralf Klamma</t>
  </si>
  <si>
    <t>Matthias Jarke</t>
  </si>
  <si>
    <t>André Borrmann</t>
  </si>
  <si>
    <t>Matthias Flurl</t>
  </si>
  <si>
    <t>Javier Ramos Jubierre</t>
  </si>
  <si>
    <t>Ralf-Peter Mundani</t>
  </si>
  <si>
    <t>Ernst Rank</t>
  </si>
  <si>
    <t>AEI</t>
  </si>
  <si>
    <t>CompElecEng</t>
  </si>
  <si>
    <t>Fangyu Yu</t>
  </si>
  <si>
    <t>Lily Gao</t>
  </si>
  <si>
    <t>Naixue Xiong</t>
  </si>
  <si>
    <t>Guisong Yang</t>
  </si>
  <si>
    <t>Miklós Maróti</t>
  </si>
  <si>
    <t>Róbert Kereskényi</t>
  </si>
  <si>
    <t>Tamás Kecskés</t>
  </si>
  <si>
    <t>Péter Völgyesi</t>
  </si>
  <si>
    <t>Ákos Lédeczi</t>
  </si>
  <si>
    <t>Christian Koch</t>
  </si>
  <si>
    <t>Berthold Firmenich</t>
  </si>
  <si>
    <t>ARControl</t>
  </si>
  <si>
    <t>Farouk Belkadi</t>
  </si>
  <si>
    <t>Nicolas Dremont</t>
  </si>
  <si>
    <t>Alban Notin</t>
  </si>
  <si>
    <t>Nadege Troussier</t>
  </si>
  <si>
    <t>Mourad Messadia</t>
  </si>
  <si>
    <t>Hongwei Wang</t>
  </si>
  <si>
    <t>Heming Zhang</t>
  </si>
  <si>
    <t>Ali Hanzala Khan</t>
  </si>
  <si>
    <t>Ivan Porres</t>
  </si>
  <si>
    <t>EnvSoft</t>
  </si>
  <si>
    <t>Alexey Voinov</t>
  </si>
  <si>
    <t>Francois Bousquet</t>
  </si>
  <si>
    <t>TCS</t>
  </si>
  <si>
    <t>Altaf Hussain</t>
  </si>
  <si>
    <t>Michael Huth</t>
  </si>
  <si>
    <t>ESWA</t>
  </si>
  <si>
    <t>Silvio Gonnet</t>
  </si>
  <si>
    <t>Gabriela Henning</t>
  </si>
  <si>
    <t>Horacio Leone</t>
  </si>
  <si>
    <t>SPIP</t>
  </si>
  <si>
    <t>Alejandro Fernández</t>
  </si>
  <si>
    <t>Badie Garzaldeen</t>
  </si>
  <si>
    <t>Ines Grützner</t>
  </si>
  <si>
    <t>Jürgen Münch</t>
  </si>
  <si>
    <t>JSME</t>
  </si>
  <si>
    <t>Adnane Ghannem</t>
  </si>
  <si>
    <t>Mohammad Salah Hamdi</t>
  </si>
  <si>
    <t>Ghizlane El Boussaidi</t>
  </si>
  <si>
    <t xml:space="preserve">Asma Hachemi </t>
  </si>
  <si>
    <t>Mohamed Ahmed‐Nacer</t>
  </si>
  <si>
    <t>Jaeyong Park</t>
  </si>
  <si>
    <t>Seok‐Won Lee</t>
  </si>
  <si>
    <t>David C. Rine</t>
  </si>
  <si>
    <t>Jean‐Rémy Falleri</t>
  </si>
  <si>
    <t>Reda Bendraou</t>
  </si>
  <si>
    <t>Marcos Aurélio Almeida da Silva</t>
  </si>
  <si>
    <t>Cédric Teyton</t>
  </si>
  <si>
    <t>STVR</t>
  </si>
  <si>
    <t xml:space="preserve">Lionel Briand </t>
  </si>
  <si>
    <t>Q. Lin</t>
  </si>
  <si>
    <t>Atsushi Ohnishi</t>
  </si>
  <si>
    <t>SCJ</t>
  </si>
  <si>
    <t>SRBS</t>
  </si>
  <si>
    <t>Laura J. Black</t>
  </si>
  <si>
    <t>David F. Andersen</t>
  </si>
  <si>
    <t>Jun Lee</t>
  </si>
  <si>
    <t>Mingyu Lim</t>
  </si>
  <si>
    <t>SungJun Park</t>
  </si>
  <si>
    <t>HyungSeok Kim</t>
  </si>
  <si>
    <t>Heedong Ko</t>
  </si>
  <si>
    <t>Jee‐In Kim</t>
  </si>
  <si>
    <t>CAVW</t>
  </si>
  <si>
    <t>Brian Drabble</t>
  </si>
  <si>
    <t>CPE</t>
  </si>
  <si>
    <t>Asadullah Shaikh</t>
  </si>
  <si>
    <t>Uffe Kock Wiil</t>
  </si>
  <si>
    <t>ECMDA-FA</t>
  </si>
  <si>
    <t>Klaus-D. Engel</t>
  </si>
  <si>
    <t>Removing Duplicates
and Out of Scops</t>
  </si>
  <si>
    <t>SFM</t>
  </si>
  <si>
    <t>ECMFA</t>
  </si>
  <si>
    <t>GTTSE</t>
  </si>
  <si>
    <t>Michał Antkiewicz</t>
  </si>
  <si>
    <t>Lars Bendix</t>
  </si>
  <si>
    <t>Pär Emanuelsson</t>
  </si>
  <si>
    <t>Claudia Ermel</t>
  </si>
  <si>
    <t>Fiona A. C. Polack</t>
  </si>
  <si>
    <t>MOMPES</t>
  </si>
  <si>
    <t>Amine Benelallam</t>
  </si>
  <si>
    <t>Abel Gómez</t>
  </si>
  <si>
    <t>Xabier Mendialdua</t>
  </si>
  <si>
    <t>Konstantinos Barmpis</t>
  </si>
  <si>
    <t>Jordi Cabot</t>
  </si>
  <si>
    <t>Xabier de Carlos</t>
  </si>
  <si>
    <t>Antonio Garmendia</t>
  </si>
  <si>
    <t>Juan de Lara</t>
  </si>
  <si>
    <t>Davide Di Ruscio</t>
  </si>
  <si>
    <t>Stefan Jurack</t>
  </si>
  <si>
    <t>Tim Schäfer</t>
  </si>
  <si>
    <t>Asha Rajbhoj</t>
  </si>
  <si>
    <t>Sreedhar Reddy</t>
  </si>
  <si>
    <t xml:space="preserve">Ali Ghorbani </t>
  </si>
  <si>
    <t>ISeB</t>
  </si>
  <si>
    <t>HIMI</t>
  </si>
  <si>
    <t>Florian Hauer</t>
  </si>
  <si>
    <t>Dorothea Pantförder</t>
  </si>
  <si>
    <t>Frieder Pankratz</t>
  </si>
  <si>
    <t>Gudrun Klinker</t>
  </si>
  <si>
    <t>Xabier De Carlos</t>
  </si>
  <si>
    <t>Salvador Trujillo</t>
  </si>
  <si>
    <t>Christoph Herrmann</t>
  </si>
  <si>
    <t>Holger Krahn</t>
  </si>
  <si>
    <t>Bernhard Rumpe</t>
  </si>
  <si>
    <t>Martin Schindler</t>
  </si>
  <si>
    <t>Steven Völkel</t>
  </si>
  <si>
    <t>Esther Guerra</t>
  </si>
  <si>
    <t>Fazle Rabbi</t>
  </si>
  <si>
    <t>Yngve Lamo</t>
  </si>
  <si>
    <t>Lars Michael Kristensen</t>
  </si>
  <si>
    <t>ICGT</t>
  </si>
  <si>
    <t>Malak Baslyman</t>
  </si>
  <si>
    <t>SAM</t>
  </si>
  <si>
    <t>Daniel Amyot</t>
  </si>
  <si>
    <t>PRO-VE</t>
  </si>
  <si>
    <t>Keith Phalp</t>
  </si>
  <si>
    <t>Frank Grimm</t>
  </si>
  <si>
    <t>Lai Xu</t>
  </si>
  <si>
    <t>Jochen Malte Küster</t>
  </si>
  <si>
    <t>Hartmut Ehrig</t>
  </si>
  <si>
    <t>Raimar J. Scherer</t>
  </si>
  <si>
    <t>EG-ICE</t>
  </si>
  <si>
    <t>Peter Katranuschkov</t>
  </si>
  <si>
    <t>Patrick Stünkel</t>
  </si>
  <si>
    <t>Harald König</t>
  </si>
  <si>
    <t>Adrian Rutle</t>
  </si>
  <si>
    <t>SLE</t>
  </si>
  <si>
    <t>Magdalena Widl</t>
  </si>
  <si>
    <t>Uwe Egly</t>
  </si>
  <si>
    <t>Marijn Heule</t>
  </si>
  <si>
    <t>Hans Tompits</t>
  </si>
  <si>
    <t>Gerson Sunyé</t>
  </si>
  <si>
    <t>Uwe Wolter</t>
  </si>
  <si>
    <t>Rick Salay</t>
  </si>
  <si>
    <t>Jan Gorzny</t>
  </si>
  <si>
    <t>Sebastian Gabmeyer</t>
  </si>
  <si>
    <t>Kristof Böhmer</t>
  </si>
  <si>
    <t>Stefanie Rinderle-Ma</t>
  </si>
  <si>
    <t>Nirmal Kanagasabai</t>
  </si>
  <si>
    <t>Omar Alam</t>
  </si>
  <si>
    <t>Jörg Kienzle</t>
  </si>
  <si>
    <t>FMOODS</t>
  </si>
  <si>
    <t>Wang Yanjie</t>
  </si>
  <si>
    <t>Chris George</t>
  </si>
  <si>
    <t>DAIS</t>
  </si>
  <si>
    <t>Marie-Pierre Gervais</t>
  </si>
  <si>
    <t>CRIWG</t>
  </si>
  <si>
    <t>Tilman Göhnert</t>
  </si>
  <si>
    <t>Nils Malzahn</t>
  </si>
  <si>
    <t>H. Ulrich Hoppe</t>
  </si>
  <si>
    <t>Christian Thum</t>
  </si>
  <si>
    <t>Michael Schwind</t>
  </si>
  <si>
    <t>Martin Schader</t>
  </si>
  <si>
    <t>ICWE</t>
  </si>
  <si>
    <t>Matthias Farwick</t>
  </si>
  <si>
    <t>Berthold Agreiter</t>
  </si>
  <si>
    <t>Jules White</t>
  </si>
  <si>
    <t>Simon Forster</t>
  </si>
  <si>
    <t>Norbert Lanzanasto</t>
  </si>
  <si>
    <t>Ruth Breu</t>
  </si>
  <si>
    <t>Execure
Query String</t>
  </si>
  <si>
    <t>A Model Repository for Collaborative Modeling with the Jazz Development Platform</t>
  </si>
  <si>
    <t>42nd Hawaii International Conference on System Sciences</t>
  </si>
  <si>
    <t>10.1109/HICSS.2009.23</t>
  </si>
  <si>
    <t>Georg Molter</t>
  </si>
  <si>
    <t>Tim Schumann</t>
  </si>
  <si>
    <t>FLEXISKETCH TEAM- Collaborative Sketching and Notation Creation on the Fly</t>
  </si>
  <si>
    <t>2015 IEEE/ACM 37th IEEE International Conference on Software Engineering</t>
  </si>
  <si>
    <t>10.1109/ICSE.2015.223</t>
  </si>
  <si>
    <t>Dustin Wüest</t>
  </si>
  <si>
    <t>Norbert Seyff</t>
  </si>
  <si>
    <t>Martin Glinz</t>
  </si>
  <si>
    <t>A case-study of wiki-supported collaborative drafting of business processes models</t>
  </si>
  <si>
    <t>CBI</t>
  </si>
  <si>
    <t>2013 IEEE 15th Conference on Business Informatics</t>
  </si>
  <si>
    <t>10.1109/CBI.2013.62</t>
  </si>
  <si>
    <t>Design Management: A Collaborative Design Solution</t>
  </si>
  <si>
    <t>https://doi.org/10.1007/978-3-642-39013-5_12</t>
  </si>
  <si>
    <t>Maged Elaasar</t>
  </si>
  <si>
    <t>James Conallen</t>
  </si>
  <si>
    <t>MetaEdit+ A Fully Configurable Multi-User and Multi-Tool CASE and CAME Environment</t>
  </si>
  <si>
    <t>Seminal Contributions to Information Systems Engineering</t>
  </si>
  <si>
    <t>Steven Kelly</t>
  </si>
  <si>
    <t>Kalle Lyytinen</t>
  </si>
  <si>
    <t>Matti Rossi</t>
  </si>
  <si>
    <t>CAiSE</t>
  </si>
  <si>
    <t>https://doi.org/10.1007/978-3-642-36926-1_9</t>
  </si>
  <si>
    <t>Simplifying the Development of Cross-Platform Web User Interfaces by Collaborative Model-based Design</t>
  </si>
  <si>
    <t>SIGDOC</t>
  </si>
  <si>
    <t>SIGDOC '13: Proceedings of the 31st ACM international conference on Design of communication</t>
  </si>
  <si>
    <t>https://doi.org/10.1145/2507065.2507067</t>
  </si>
  <si>
    <t>Vivian Genaro Motti</t>
  </si>
  <si>
    <t>Dave Raggett</t>
  </si>
  <si>
    <t>Sascha Van Cauwelaert</t>
  </si>
  <si>
    <t>Jean Vanderdonckt</t>
  </si>
  <si>
    <t>Sysiphus: Enabling informal collaboration in global software development</t>
  </si>
  <si>
    <t>2006 IEEE International Conference on Global Software Engineering (ICGSE'06)</t>
  </si>
  <si>
    <t>10.1109/ICGSE.2006.261227</t>
  </si>
  <si>
    <t>Bernd Bruegge</t>
  </si>
  <si>
    <t>Allen H. Dutoit</t>
  </si>
  <si>
    <t>Timo Wolf</t>
  </si>
  <si>
    <t>Research of Consistency Maintenance Mechanism in Real-Time Collaborative Multi-View Business Modeling</t>
  </si>
  <si>
    <t>https://doi.org/10.1007/s12204-015-1593-z</t>
  </si>
  <si>
    <t>SJTU</t>
  </si>
  <si>
    <t>Journal of Shanghai Jiaotong University (Science) </t>
  </si>
  <si>
    <t>Hong-ming Cai</t>
  </si>
  <si>
    <t>Xiao-feng Ji</t>
  </si>
  <si>
    <t>Feng-lin Bu</t>
  </si>
  <si>
    <t>Collaborative Modeling - A Design Science Approach</t>
  </si>
  <si>
    <t>2009 42nd Hawaii International Conference on System Sciences</t>
  </si>
  <si>
    <t>10.1109/HICSS.2009.112</t>
  </si>
  <si>
    <t>Supporting collaborative learning and problem-solving in a constraint-based CSCL environment for UML class diagrams</t>
  </si>
  <si>
    <t>https://doi.org/10.1007/s11412-007-9018-0</t>
  </si>
  <si>
    <t>CSCI</t>
  </si>
  <si>
    <t>International Journal of Computer-Supported Collaborative Learning</t>
  </si>
  <si>
    <t>Nilufar Baghaei</t>
  </si>
  <si>
    <t>Antonija Mitrovic</t>
  </si>
  <si>
    <t xml:space="preserve">Warwick Irwin </t>
  </si>
  <si>
    <t>A model-driven development method for collaborative modeling tools</t>
  </si>
  <si>
    <t>https://doi.org/10.1016/j.jnca.2011.12.009</t>
  </si>
  <si>
    <t>Jesús Gallardo</t>
  </si>
  <si>
    <t>Crescencio Bravo</t>
  </si>
  <si>
    <t>Miguel A.Redondo</t>
  </si>
  <si>
    <t>Odyssey-SCM: An integrated software configuration management infrastructure for UML models</t>
  </si>
  <si>
    <t>Conflicts classification and solving for collaborative feature modeling</t>
  </si>
  <si>
    <t>AdvEI</t>
  </si>
  <si>
    <t>https://doi.org/10.1016/j.aei.2006.05.006</t>
  </si>
  <si>
    <t>Min Tanga</t>
  </si>
  <si>
    <t>Shang-Ching Choub</t>
  </si>
  <si>
    <t>Jin-Xiang Dong</t>
  </si>
  <si>
    <t>https://doi.org/10.1016/j.scico.2006.05.011</t>
  </si>
  <si>
    <t>Leonardo Murta</t>
  </si>
  <si>
    <t>Hamilton Oliveira</t>
  </si>
  <si>
    <t>Cristine Dantas</t>
  </si>
  <si>
    <t>Luiz Gustavo Lopes</t>
  </si>
  <si>
    <t>Cláudia Werner</t>
  </si>
  <si>
    <t>Supporting conflict management in collaborative design: An approach to assess engineering change impacts</t>
  </si>
  <si>
    <t>CompInd</t>
  </si>
  <si>
    <t>Computers in Industry</t>
  </si>
  <si>
    <t>https://doi.org/10.1016/j.compind.2008.07.010</t>
  </si>
  <si>
    <t>Mohamed Zied Ouertani</t>
  </si>
  <si>
    <t>Initial</t>
  </si>
  <si>
    <t>Adding Phase</t>
  </si>
  <si>
    <t>IC/EC State</t>
  </si>
  <si>
    <t>Detecting Web requirements conflicts and inconsistencies under a model-based perspective</t>
  </si>
  <si>
    <t>https://doi.org/10.1016/j.jss.2013.05.045</t>
  </si>
  <si>
    <t>Javier Gutierrez</t>
  </si>
  <si>
    <t>Matías Matias Urbieta</t>
  </si>
  <si>
    <t>Gustavo Rossi</t>
  </si>
  <si>
    <t>J. A. Garcia-Garcia</t>
  </si>
  <si>
    <t>Esteban Robles Luna</t>
  </si>
  <si>
    <t>Using Interactive Whiteboard Technology to Support Collaborative Modeling</t>
  </si>
  <si>
    <t>CIRWG</t>
  </si>
  <si>
    <t>International Workshop of Groupware</t>
  </si>
  <si>
    <t>https://doi.org/10.1007/978-3-540-92831-7_29</t>
  </si>
  <si>
    <t>Michiel Renger</t>
  </si>
  <si>
    <t>Gwendolyn L. Kolfschoten</t>
  </si>
  <si>
    <t>Gert-Jan de Vreede</t>
  </si>
  <si>
    <t>Pyro: Generating Domain-Specific Collaborative Online Modeling Environments</t>
  </si>
  <si>
    <t>https://doi.org/10.1007/978-3-030-16722-6_6</t>
  </si>
  <si>
    <t>Philip Zweihoff</t>
  </si>
  <si>
    <t>Stefan Naujokat</t>
  </si>
  <si>
    <t>Bernhard Steffen</t>
  </si>
  <si>
    <t>Collaborative Modelling of Tasks with CTT: Tools and a Study</t>
  </si>
  <si>
    <t>Computer-Aided Design of User Interfaces VI </t>
  </si>
  <si>
    <t>https://doi.org/10.1007/978-1-84882-206-1_22</t>
  </si>
  <si>
    <t>Ana Isabel Molina</t>
  </si>
  <si>
    <t>Miguel Ángel Redondo</t>
  </si>
  <si>
    <t>Towards Collaborative Cross-Organizational Modeling</t>
  </si>
  <si>
    <t>BPM</t>
  </si>
  <si>
    <t>International Conference on Business Process Management</t>
  </si>
  <si>
    <t>Christian Pichler</t>
  </si>
  <si>
    <t>Marco Zapletal</t>
  </si>
  <si>
    <t>Robert Engel</t>
  </si>
  <si>
    <t>https://doi.org/10.1007/978-3-642-28108-2_28</t>
  </si>
  <si>
    <t>Near Real-Time Collaborative Conceptual Modeling on the Web</t>
  </si>
  <si>
    <t>ER</t>
  </si>
  <si>
    <t>International Conference on Conceptual Modeling</t>
  </si>
  <si>
    <t>https://doi.org/10.1007/978-3-319-25264-3_25</t>
  </si>
  <si>
    <t>Stephan Erdtmann</t>
  </si>
  <si>
    <t>Collaborative Modelling with Version Control</t>
  </si>
  <si>
    <t>STAF</t>
  </si>
  <si>
    <t>https://doi.org/10.1007/978-3-319-74730-9_3</t>
  </si>
  <si>
    <t>Federation of International Conferences on Software Technologies: Applications and Foundations</t>
  </si>
  <si>
    <t>A Framework for Inconsistency Detection Across Heterogeneous Models in Industry 4.0</t>
  </si>
  <si>
    <t>NOK</t>
  </si>
  <si>
    <t>A categorical model of model merging and weaving</t>
  </si>
  <si>
    <t>2012 4th International Workshop on Modeling in Software Engineering (MISE)</t>
  </si>
  <si>
    <t>10.1109/MISE.2012.6226017</t>
  </si>
  <si>
    <t>Jonathan Y. Marchand</t>
  </si>
  <si>
    <t>Benoit Combemale</t>
  </si>
  <si>
    <t>Benoit Baudry</t>
  </si>
  <si>
    <t>Remained</t>
  </si>
  <si>
    <t>Removed</t>
  </si>
  <si>
    <t>FLAME</t>
  </si>
  <si>
    <t>MONDO</t>
  </si>
  <si>
    <t>CSP</t>
  </si>
  <si>
    <t>UML2Merge</t>
  </si>
  <si>
    <t>STEVE</t>
  </si>
  <si>
    <t>MOMENT</t>
  </si>
  <si>
    <t>CoMoDe</t>
  </si>
  <si>
    <t>Odyssey</t>
  </si>
  <si>
    <t>CoRSA</t>
  </si>
  <si>
    <t>Siemens VAI</t>
  </si>
  <si>
    <t>CADEMIA</t>
  </si>
  <si>
    <t>WebGME</t>
  </si>
  <si>
    <t>MOMM</t>
  </si>
  <si>
    <t>DiCoMEF</t>
  </si>
  <si>
    <t>BTMerge</t>
  </si>
  <si>
    <t>OWL2DL</t>
  </si>
  <si>
    <t>SyncMeta</t>
  </si>
  <si>
    <t>ModelVars2SPL</t>
  </si>
  <si>
    <t>ModelBus</t>
  </si>
  <si>
    <t>SMoVer</t>
  </si>
  <si>
    <t>AMOR</t>
  </si>
  <si>
    <t>Colex</t>
  </si>
  <si>
    <t>Mirador</t>
  </si>
  <si>
    <t>CoDesign</t>
  </si>
  <si>
    <t>EMFStore</t>
  </si>
  <si>
    <t>DOL</t>
  </si>
  <si>
    <t>Short</t>
  </si>
  <si>
    <t>UMLCollab</t>
  </si>
  <si>
    <t>SLIM</t>
  </si>
  <si>
    <t>GEMSjax</t>
  </si>
  <si>
    <t>MetaEdit+</t>
  </si>
  <si>
    <t>Systematic review of matching techniques used in model-driven methodologies</t>
  </si>
  <si>
    <t>Full Text State</t>
  </si>
  <si>
    <t>E3MP</t>
  </si>
  <si>
    <t>Rejected</t>
  </si>
  <si>
    <t>Accepted</t>
  </si>
  <si>
    <t>QA1</t>
  </si>
  <si>
    <t>QA2</t>
  </si>
  <si>
    <t>QA3</t>
  </si>
  <si>
    <t>QA4</t>
  </si>
  <si>
    <t>QA5</t>
  </si>
  <si>
    <t>Paper Reference</t>
  </si>
  <si>
    <t>Related Work</t>
  </si>
  <si>
    <t>Future Work</t>
  </si>
  <si>
    <t>Total score</t>
  </si>
  <si>
    <t>% by Max</t>
  </si>
  <si>
    <t>No</t>
  </si>
  <si>
    <t>Number of Papers</t>
  </si>
  <si>
    <t>Yes</t>
  </si>
  <si>
    <t>Partially</t>
  </si>
  <si>
    <t>Objective</t>
  </si>
  <si>
    <t>Related work</t>
  </si>
  <si>
    <t>Research methodology</t>
  </si>
  <si>
    <t>Future work</t>
  </si>
  <si>
    <t>mean</t>
  </si>
  <si>
    <t>STD</t>
  </si>
  <si>
    <t>No.</t>
  </si>
  <si>
    <t>QA6</t>
  </si>
  <si>
    <t>QA7</t>
  </si>
  <si>
    <t>QA8</t>
  </si>
  <si>
    <t>QA9</t>
  </si>
  <si>
    <t>Motiviation</t>
  </si>
  <si>
    <t>Validity and Reliability</t>
  </si>
  <si>
    <t>Evaluation</t>
  </si>
  <si>
    <t>Contribution</t>
  </si>
  <si>
    <t xml:space="preserve">Validity and Reliability </t>
  </si>
  <si>
    <t>F1</t>
  </si>
  <si>
    <t>Type of Model</t>
  </si>
  <si>
    <t>F2</t>
  </si>
  <si>
    <t>Any</t>
  </si>
  <si>
    <t>UML</t>
  </si>
  <si>
    <t>Workflow</t>
  </si>
  <si>
    <t>Other</t>
  </si>
  <si>
    <t>Comment</t>
  </si>
  <si>
    <t>Type of Conflict</t>
  </si>
  <si>
    <t>Textual</t>
  </si>
  <si>
    <t>Static Semantic</t>
  </si>
  <si>
    <t>Behavioral Semantic</t>
  </si>
  <si>
    <t>F3</t>
  </si>
  <si>
    <t>Technique</t>
  </si>
  <si>
    <t>F4</t>
  </si>
  <si>
    <t>F5</t>
  </si>
  <si>
    <t>F6</t>
  </si>
  <si>
    <t>F7</t>
  </si>
  <si>
    <t>F8</t>
  </si>
  <si>
    <t>F9</t>
  </si>
  <si>
    <t>Purpose</t>
  </si>
  <si>
    <t>Conflict Representation</t>
  </si>
  <si>
    <t>Conflict Prevention</t>
  </si>
  <si>
    <t>Cmment</t>
  </si>
  <si>
    <t>Conflict free</t>
  </si>
  <si>
    <t>Conflict Detection</t>
  </si>
  <si>
    <t>General</t>
  </si>
  <si>
    <t>Conflict Awareness</t>
  </si>
  <si>
    <t>Warning</t>
  </si>
  <si>
    <t>Manual</t>
  </si>
  <si>
    <t>Tool</t>
  </si>
  <si>
    <t>Maturity Level</t>
  </si>
  <si>
    <t>Level</t>
  </si>
  <si>
    <t>F10</t>
  </si>
  <si>
    <t>Distribution Support</t>
  </si>
  <si>
    <t>Status</t>
  </si>
  <si>
    <t>Active</t>
  </si>
  <si>
    <t>Retired</t>
  </si>
  <si>
    <t>Open Source</t>
  </si>
  <si>
    <t>Academic</t>
  </si>
  <si>
    <t xml:space="preserve">Commercial </t>
  </si>
  <si>
    <t>Late update</t>
  </si>
  <si>
    <t>Conflict Resolution</t>
  </si>
  <si>
    <t>Collaboration Type</t>
  </si>
  <si>
    <t>Online</t>
  </si>
  <si>
    <t>Offline</t>
  </si>
  <si>
    <t>Both</t>
  </si>
  <si>
    <t>Method Specification</t>
  </si>
  <si>
    <t>Prompt Action</t>
  </si>
  <si>
    <t>Algorithm</t>
  </si>
  <si>
    <t>State Based</t>
  </si>
  <si>
    <t>Operation Based</t>
  </si>
  <si>
    <t>Desktop</t>
  </si>
  <si>
    <t>Mobile</t>
  </si>
  <si>
    <t>Client Type</t>
  </si>
  <si>
    <t>Merging Technique</t>
  </si>
  <si>
    <t>Raw Merging</t>
  </si>
  <si>
    <t>Two-way</t>
  </si>
  <si>
    <t>Three-way</t>
  </si>
  <si>
    <t>Model 
Transformation</t>
  </si>
  <si>
    <t>2: Partially implemented</t>
  </si>
  <si>
    <t>1: Not implemented</t>
  </si>
  <si>
    <t>Maturity Levels</t>
  </si>
  <si>
    <t>Not defined</t>
  </si>
  <si>
    <t>Convert models to XML and afterthat merget them</t>
  </si>
  <si>
    <t>Xmi ID</t>
  </si>
  <si>
    <t>Name of Elment</t>
  </si>
  <si>
    <t>They did not defined how check conflict</t>
  </si>
  <si>
    <t>Not implemented</t>
  </si>
  <si>
    <t>Distributed</t>
  </si>
  <si>
    <t>EMF</t>
  </si>
  <si>
    <t>UUID</t>
  </si>
  <si>
    <t>An algorithm for transforming models to XML, then merge them and vice versa</t>
  </si>
  <si>
    <r>
      <t xml:space="preserve">A person involved in collaborative modeling has a role, which is typed as a </t>
    </r>
    <r>
      <rPr>
        <b/>
        <sz val="10"/>
        <color theme="1"/>
        <rFont val="Calibri"/>
        <family val="2"/>
        <scheme val="minor"/>
      </rPr>
      <t>controller</t>
    </r>
    <r>
      <rPr>
        <sz val="10"/>
        <color theme="1"/>
        <rFont val="Calibri"/>
        <family val="2"/>
        <scheme val="minor"/>
      </rPr>
      <t xml:space="preserve">, </t>
    </r>
    <r>
      <rPr>
        <b/>
        <sz val="10"/>
        <color theme="1"/>
        <rFont val="Calibri"/>
        <family val="2"/>
        <scheme val="minor"/>
      </rPr>
      <t>editor</t>
    </r>
    <r>
      <rPr>
        <sz val="10"/>
        <color theme="1"/>
        <rFont val="Calibri"/>
        <family val="2"/>
        <scheme val="minor"/>
      </rPr>
      <t xml:space="preserve"> or </t>
    </r>
    <r>
      <rPr>
        <b/>
        <sz val="10"/>
        <color theme="1"/>
        <rFont val="Calibri"/>
        <family val="2"/>
        <scheme val="minor"/>
      </rPr>
      <t>observer</t>
    </r>
    <r>
      <rPr>
        <sz val="10"/>
        <color theme="1"/>
        <rFont val="Calibri"/>
        <family val="2"/>
        <scheme val="minor"/>
      </rPr>
      <t xml:space="preserve">. DiCoMEF relies on two concepts such as </t>
    </r>
    <r>
      <rPr>
        <b/>
        <sz val="10"/>
        <color theme="1"/>
        <rFont val="Calibri"/>
        <family val="2"/>
        <scheme val="minor"/>
      </rPr>
      <t>Mainline</t>
    </r>
    <r>
      <rPr>
        <sz val="10"/>
        <color theme="1"/>
        <rFont val="Calibri"/>
        <family val="2"/>
        <scheme val="minor"/>
      </rPr>
      <t xml:space="preserve"> and </t>
    </r>
    <r>
      <rPr>
        <b/>
        <sz val="10"/>
        <color theme="1"/>
        <rFont val="Calibri"/>
        <family val="2"/>
        <scheme val="minor"/>
      </rPr>
      <t>branches</t>
    </r>
    <r>
      <rPr>
        <sz val="10"/>
        <color theme="1"/>
        <rFont val="Calibri"/>
        <family val="2"/>
        <scheme val="minor"/>
      </rPr>
      <t xml:space="preserve"> in order to store models and metamodels. 
The communication framework of DiCoMEF is organized around the controller that acts as a </t>
    </r>
    <r>
      <rPr>
        <b/>
        <sz val="10"/>
        <color theme="1"/>
        <rFont val="Calibri"/>
        <family val="2"/>
        <scheme val="minor"/>
      </rPr>
      <t>central hub</t>
    </r>
    <r>
      <rPr>
        <sz val="10"/>
        <color theme="1"/>
        <rFont val="Calibri"/>
        <family val="2"/>
        <scheme val="minor"/>
      </rPr>
      <t xml:space="preserve">.
They propose a </t>
    </r>
    <r>
      <rPr>
        <b/>
        <sz val="10"/>
        <color theme="1"/>
        <rFont val="Calibri"/>
        <family val="2"/>
        <scheme val="minor"/>
      </rPr>
      <t>history metamodel</t>
    </r>
    <r>
      <rPr>
        <sz val="10"/>
        <color theme="1"/>
        <rFont val="Calibri"/>
        <family val="2"/>
        <scheme val="minor"/>
      </rPr>
      <t>.</t>
    </r>
  </si>
  <si>
    <t>A controller works by consulting a rationale of modification or an editor who proposed the change request in case of conflicts.
The optimal option is to consider M/MM≫wL≫wC. In this strategy, if a conflict occurs while applying wC, changes in wL that caused the conflicta rerolled back.
An operation wCi is conflicting with an other operation wLj if the order of serialization of these operations affects the final state of the (meta)model.</t>
  </si>
  <si>
    <t>The execution of one of the operation could invalidate a precondition of an other one</t>
  </si>
  <si>
    <t>Redundancy
(Check for 
redundancy)</t>
  </si>
  <si>
    <t>Empirical evaluation</t>
  </si>
  <si>
    <t>Eclipse Plugin</t>
  </si>
  <si>
    <t>Academic
PhD Thesis</t>
  </si>
  <si>
    <t>DiCoMEF uses EMF/ECore as its
meta-meta-model definition</t>
  </si>
  <si>
    <t>Change-based</t>
  </si>
  <si>
    <t>Operation-based</t>
  </si>
  <si>
    <r>
      <t xml:space="preserve">Members </t>
    </r>
    <r>
      <rPr>
        <b/>
        <sz val="10"/>
        <color theme="1"/>
        <rFont val="Calibri"/>
        <family val="2"/>
        <scheme val="minor"/>
      </rPr>
      <t>exchange messages to communicate</t>
    </r>
    <r>
      <rPr>
        <sz val="10"/>
        <color theme="1"/>
        <rFont val="Calibri"/>
        <family val="2"/>
        <scheme val="minor"/>
      </rPr>
      <t xml:space="preserve"> their activities with other members. 
The </t>
    </r>
    <r>
      <rPr>
        <b/>
        <sz val="10"/>
        <color theme="1"/>
        <rFont val="Calibri"/>
        <family val="2"/>
        <scheme val="minor"/>
      </rPr>
      <t>controller applies a change request on a master (meta)model</t>
    </r>
    <r>
      <rPr>
        <sz val="10"/>
        <color theme="1"/>
        <rFont val="Calibri"/>
        <family val="2"/>
        <scheme val="minor"/>
      </rPr>
      <t xml:space="preserve"> in order to evolve it from version n to version n+1. In fact, s/he examines proposed changes and solves conflicts by consulting multimedia files that describe rationale of modifications. S/he could also contac an editor who has proposed changes to better understand them and solve conflicts together.
These modifications could cause a new version of a copy (meta)model </t>
    </r>
    <r>
      <rPr>
        <b/>
        <sz val="10"/>
        <color theme="1"/>
        <rFont val="Calibri"/>
        <family val="2"/>
        <scheme val="minor"/>
      </rPr>
      <t>inconsistent with local modifications</t>
    </r>
    <r>
      <rPr>
        <sz val="10"/>
        <color theme="1"/>
        <rFont val="Calibri"/>
        <family val="2"/>
        <scheme val="minor"/>
      </rPr>
      <t>.</t>
    </r>
  </si>
  <si>
    <t>Conflicts are detected by inspecting sets of concurrent operations that change model and metamodel elements, respectively. This type of conflict detection approach could be regarded as operation-based conflict detection. In cases of conflicts, DiCoMEF provides facilities for editors and controller(s) to consult multimedia files that describe rationale of modifications so as to solve conflicts in interactive way.</t>
  </si>
  <si>
    <t>Indeed, DiCoMEF presents sets of local modifications that are conflicting with propagated changes to an editor. The editor selects those changes that s/he wants to keep and sends as a change request later.</t>
  </si>
  <si>
    <t>They only said DiCoMEF is at the early stage of implementation</t>
  </si>
  <si>
    <t>Formalization of models</t>
  </si>
  <si>
    <t xml:space="preserve">Formalization of models and Set Theory </t>
  </si>
  <si>
    <t>Set Theory to Formalize EMF models</t>
  </si>
  <si>
    <t>CDet Method</t>
  </si>
  <si>
    <t>CRes Method</t>
  </si>
  <si>
    <t>if ωC (controler) must be executed before ωL (local), then this would force ωL to be rolled-back, then ωC would be applied and finally ωL could be re-applied. But this process is time consuming. Another option could preserve ωL and then apply ωC while there is no conflict. When a conflict is detected, ωL is rolled-back and the scenario is reversed. A user can keep or drop some changes from ωL when it is re-applied. The optimal option is to consider M/MM&gt;&gt;ωL&gt;&gt;ωC . In this strategy, if a conflict occurs while applying ωC, changes in ωL that caused the conflict are rolled back.</t>
  </si>
  <si>
    <t>A tree view editor for user manually reject or resoulution</t>
  </si>
  <si>
    <t>An operation ωCi is conflicting with another operation ωLj
if the order of serialization of these operations affects the final state of the (meta)model (e.g., two set operations that rename an EObject differently). Besides, the execution of one of the operations could invalidate a precondition of another one. The preconditions of operations are implicitly specified in the formalization of operations.
Conflict relation calculates a set of conflicting operations.
(Syntactic conflict) Meta-model adaptation could also lead to a precondition violation.
Once the user has solved conflicts, the merging process can be continued.</t>
  </si>
  <si>
    <t>RuCORD is an interactive rule-based composite operation detection and recovery framework</t>
  </si>
  <si>
    <t>RuCORD</t>
  </si>
  <si>
    <t>Structural
(Composite)</t>
  </si>
  <si>
    <t>Only the result of the operations are taken into account, and the intermediate states are ignored, which might be crucial information to understand the intention of the model developers.</t>
  </si>
  <si>
    <t>Validation Tree</t>
  </si>
  <si>
    <r>
      <t xml:space="preserve">They identify conflicts and inconsistencies in the temporary merged model using </t>
    </r>
    <r>
      <rPr>
        <b/>
        <sz val="10"/>
        <color theme="1"/>
        <rFont val="Calibri"/>
        <family val="2"/>
        <scheme val="minor"/>
      </rPr>
      <t>existing</t>
    </r>
    <r>
      <rPr>
        <sz val="10"/>
        <color theme="1"/>
        <rFont val="Calibri"/>
        <family val="2"/>
        <scheme val="minor"/>
      </rPr>
      <t xml:space="preserve"> model versioning techniques</t>
    </r>
  </si>
  <si>
    <r>
      <t xml:space="preserve">They focused on composite operations conflicts.
With the detected conflict operation pairs, our approach first generate a temporary merged model based on </t>
    </r>
    <r>
      <rPr>
        <b/>
        <sz val="10"/>
        <color theme="1"/>
        <rFont val="Calibri"/>
        <family val="2"/>
        <scheme val="minor"/>
      </rPr>
      <t>composite level operations</t>
    </r>
    <r>
      <rPr>
        <sz val="10"/>
        <color theme="1"/>
        <rFont val="Calibri"/>
        <family val="2"/>
        <scheme val="minor"/>
      </rPr>
      <t>, which represent the central intention of model developers. And for the inconsistencies in this model, we then generate complete and correct repair options to assist the software architects in the merging process.</t>
    </r>
  </si>
  <si>
    <t>Prototype</t>
  </si>
  <si>
    <t>Integerated with EMFStore</t>
  </si>
  <si>
    <t>Chong et al.</t>
  </si>
  <si>
    <t>Class diagram</t>
  </si>
  <si>
    <r>
      <t xml:space="preserve">Comparison Technique
</t>
    </r>
    <r>
      <rPr>
        <b/>
        <sz val="6"/>
        <rFont val="Arial"/>
        <family val="2"/>
      </rPr>
      <t>(Change Tracking)</t>
    </r>
  </si>
  <si>
    <t>Implemented in Unicase</t>
  </si>
  <si>
    <t>Model Element ID</t>
  </si>
  <si>
    <r>
      <t>The server (</t>
    </r>
    <r>
      <rPr>
        <b/>
        <sz val="10"/>
        <color theme="1"/>
        <rFont val="Calibri"/>
        <family val="2"/>
        <scheme val="minor"/>
      </rPr>
      <t>EmfStore</t>
    </r>
    <r>
      <rPr>
        <sz val="10"/>
        <color theme="1"/>
        <rFont val="Calibri"/>
        <family val="2"/>
        <scheme val="minor"/>
      </rPr>
      <t>) maintains the history of the project as a version tree and provides persistency and access control.
Two lists of operations are conflicting if any operation in the first list conflicts with any operation in the second list.</t>
    </r>
  </si>
  <si>
    <t>Requires and Conflicting relations</t>
  </si>
  <si>
    <r>
      <t>If a conflict occurs in the execution of a proposal, the operation that causes the conflict is added as additional proposal and designated as solution. (</t>
    </r>
    <r>
      <rPr>
        <b/>
        <sz val="10"/>
        <color theme="1"/>
        <rFont val="Calibri"/>
        <family val="2"/>
        <scheme val="minor"/>
      </rPr>
      <t>Consider conflict side-effects</t>
    </r>
    <r>
      <rPr>
        <sz val="10"/>
        <color theme="1"/>
        <rFont val="Calibri"/>
        <family val="2"/>
        <scheme val="minor"/>
      </rPr>
      <t>)</t>
    </r>
  </si>
  <si>
    <t>As merging issue</t>
  </si>
  <si>
    <t>Unicase is based on Eclipse and Open source</t>
  </si>
  <si>
    <t>Partially implemented</t>
  </si>
  <si>
    <t>SCM (UniCase+)</t>
  </si>
  <si>
    <t>SCM for Operation-based conflict detection and resolution</t>
  </si>
  <si>
    <t>They discussed about the differences between state-based and change-based change tracking.
Operation-based approaches are a special class of change-based approaches which represent the changes as transformation operations on a state.</t>
  </si>
  <si>
    <t>For change recording, observer mechanisms can be used; for composite detection, the command pattern can be used.</t>
  </si>
  <si>
    <t>They proposed an approach to conflict detection on operations, which is able to reliably detect conflicts between composite changes with a reasonable computational complexity.</t>
  </si>
  <si>
    <t>Formalism and algebra</t>
  </si>
  <si>
    <t>Operation-based conflict detection
Conflicts are changing the same part of a model. This can be caused by two different situations. Either applying two changes to a model results in a different model depending on the serialization order</t>
  </si>
  <si>
    <t>Can be used</t>
  </si>
  <si>
    <t>They detect conflicts on the attribute and reference level
of model elements.
Our current design supports two di erent types of soft conflicts: model integrity conflicts and reference index conflicts.</t>
  </si>
  <si>
    <t>Fully implemented</t>
  </si>
  <si>
    <t>Open source</t>
  </si>
  <si>
    <t>http://emfstore.org</t>
  </si>
  <si>
    <t>Issue-based Model Merging
Rationale
management techniques</t>
  </si>
  <si>
    <r>
      <t xml:space="preserve">They propose to allow developers to postpone a decision of a modeling conflict.
They call the approach </t>
    </r>
    <r>
      <rPr>
        <b/>
        <i/>
        <sz val="10"/>
        <color theme="1"/>
        <rFont val="Calibri"/>
        <family val="2"/>
        <scheme val="minor"/>
      </rPr>
      <t>Issue-based Model Merging</t>
    </r>
    <r>
      <rPr>
        <sz val="10"/>
        <color theme="1"/>
        <rFont val="Calibri"/>
        <family val="2"/>
        <scheme val="minor"/>
      </rPr>
      <t xml:space="preserve">. In this approach conflicts are aggregated into one problem that needs to be decided upon—an </t>
    </r>
    <r>
      <rPr>
        <i/>
        <sz val="10"/>
        <color theme="1"/>
        <rFont val="Calibri"/>
        <family val="2"/>
        <scheme val="minor"/>
      </rPr>
      <t>issue</t>
    </r>
    <r>
      <rPr>
        <sz val="10"/>
        <color theme="1"/>
        <rFont val="Calibri"/>
        <family val="2"/>
        <scheme val="minor"/>
      </rPr>
      <t>. The alternative choices for resolving the conflicts represent proposals.</t>
    </r>
  </si>
  <si>
    <t>Statechart</t>
  </si>
  <si>
    <t>PCD  (Proactive Conflict
Detection)</t>
  </si>
  <si>
    <t>Proactive Conflict Detection</t>
  </si>
  <si>
    <t>http://flamedesign.org</t>
  </si>
  <si>
    <t>FLAME's finer granularity enables more
precise conflict detection and allows identifying specific actions responsible for conflicts</t>
  </si>
  <si>
    <t>Two types of design conflicts: synchronization and high-order design conflicts. 
Synchronization conflicts are mutually-inconsistent design decisions that cannot be merged automatically by the VCS.
High-order conflicts are decisions that, once merged, violate one or more system requirements or constraints.</t>
  </si>
  <si>
    <t>higher-order conflicts</t>
  </si>
  <si>
    <t>We focus on the ways to proactively detect those conflicts by exploiting the existing techniques, and further, on the impact of doing so on collaborative design cost.</t>
  </si>
  <si>
    <t>.</t>
  </si>
  <si>
    <t>FLAME minimize the duration of time that conflict is unknown</t>
  </si>
  <si>
    <t>Plug-in based
three off-the-shelf software tools: (1) GME, (2) XTEAM, (3) Prism-MW</t>
  </si>
  <si>
    <t>Academic - PhD thesis
(It is extensible to allow architects to plug-in the most appropriate conflict detection tools for their modeling environment)</t>
  </si>
  <si>
    <t>Software design model
(Architect model)</t>
  </si>
  <si>
    <t>FLAME’s finer granularity enables more precise conflict detection and allows identifying specific actions responsible for conflicts.</t>
  </si>
  <si>
    <t>By definition, all possible conflicts are either synchronization (version control can detect them) or high-order (version control cannot detect them). FLAME detects both these kinds of conflicts and can detect all possible high-order conflicts for which there exists an analysis implementation that computes whether a model satisfies the rule, requirement, or constraint potentially violated by the conflict.</t>
  </si>
  <si>
    <t>ID</t>
  </si>
  <si>
    <t>a collaborative software modeling environment that supports system design in geographically distributed work settings.</t>
  </si>
  <si>
    <t>CoDesign relies on CoWare, a lightweight middleware platform that (1) provides the integration infrastructure, (2) synchronizes concurrent edits made in distributed CoDesign instances, and (3) notifies architects of conflicting modeling decisions.</t>
  </si>
  <si>
    <t>We categorize modeling-level conflicts into three classes based on the rules that the system modeling events violate: (1) synchronization, (2) syntactic, and (3) semantic conflicts.</t>
  </si>
  <si>
    <t>Constraint and Rule based</t>
  </si>
  <si>
    <t>Dam et al.</t>
  </si>
  <si>
    <t>Architectural model</t>
  </si>
  <si>
    <t>Semi-automatic</t>
  </si>
  <si>
    <r>
      <t xml:space="preserve">Finally if the user accepted one of the two operations but still decided to
</t>
    </r>
    <r>
      <rPr>
        <b/>
        <sz val="11"/>
        <color theme="1"/>
        <rFont val="Calibri"/>
        <family val="2"/>
        <scheme val="minor"/>
      </rPr>
      <t>create an issue to document his or her choice, the respective proposal is designated as solution to the issue</t>
    </r>
    <r>
      <rPr>
        <sz val="11"/>
        <color theme="1"/>
        <rFont val="Calibri"/>
        <family val="2"/>
        <scheme val="minor"/>
      </rPr>
      <t>.
Consider, EMFStore [16] for snowballing</t>
    </r>
  </si>
  <si>
    <t>The approach involves looking ahead to account for the side-effects of a repair (for an inconsistency) on the other inconsistencies that may exist.</t>
  </si>
  <si>
    <t>They guide the software architects to resolve inconsistencies found in the initial merging by a combination of three methods: (a) reversing the nonconflicting changes which have been applied; (b) applying a (non-conflicting) subsets of conflicting changes; and (c) making further “new” changes to the model.</t>
  </si>
  <si>
    <t>Trial and Error Approach 
+ 
Incremental Consistency Checker</t>
  </si>
  <si>
    <t>retrieve a set of alternative repair plans for inconsistency then suggests alternative options in
selecting which changes should be merged.</t>
  </si>
  <si>
    <t>Inconsistency Checking</t>
  </si>
  <si>
    <t>IBM RSA + OCL</t>
  </si>
  <si>
    <t>Commercial</t>
  </si>
  <si>
    <t>Notification</t>
  </si>
  <si>
    <t>They argue that the space of repairs for resolving inconsistencies in model merging is constrained by the changes made to the original model and thus it is practically feasible to explore them</t>
  </si>
  <si>
    <t>A customizable set of consistency constraints that consistent model merging should consider. Then they check for nonpersistent inconsistencies in the initial merged model, and if they do not exist, the process is finished. If nonpersistent inconsistencies are found, the process moves to the second phase where variations of the initial merged model are computed to find consistent solutions.</t>
  </si>
  <si>
    <t>Support modelers in understanding the rationale and context of conflicting changes.</t>
  </si>
  <si>
    <t>Event-driven Process Chains (EPC) and change pattern</t>
  </si>
  <si>
    <t>Change pattern</t>
  </si>
  <si>
    <t>xoWiki</t>
  </si>
  <si>
    <t>DSE Merge presents a novel technique for search-based automated model merge which builds on off-the-shelf tools for model comparison, but uses guided rule-based design space exploration (DSE) for merging models.</t>
  </si>
  <si>
    <t>The DSE technique carries out conflict detection dynamically, during exploration time as conflicting rule activations and constraint violations.</t>
  </si>
  <si>
    <t>Conflict-free merge
(rule &amp; constraint violation)</t>
  </si>
  <si>
    <t>multiple consistent resolutions of conflicts are presented to the
domain experts</t>
  </si>
  <si>
    <t>Good idea for evaluating merge techniques</t>
  </si>
  <si>
    <t>They present a collaborative modeling framework that provides secure views with precisely defined model access to each collaborator by rule-based model-level access control policies.</t>
  </si>
  <si>
    <t>Security policies (access control rules)</t>
  </si>
  <si>
    <t>Search-based
automated model merge</t>
  </si>
  <si>
    <t>Secure views</t>
  </si>
  <si>
    <t>Cheng &amp; Liu</t>
  </si>
  <si>
    <t>Thakare &amp; Dube</t>
  </si>
  <si>
    <t>Property-based locking</t>
  </si>
  <si>
    <t>that generalizes traditional locking techniques, and further allows more fine-grained locks in order to restrict modifications only when necessary.</t>
  </si>
  <si>
    <t>that grant or deny read or write permissions over some assets for certain collaborators</t>
  </si>
  <si>
    <t>Lock violation</t>
  </si>
  <si>
    <t>This approach avoids regular conflicts by ensuring that multiple users cannot modify exactly the same part of the model.</t>
  </si>
  <si>
    <t>To prevent the execution of conflicting operations, collaborators may lock certain properties of the model. If another collaborator attempts to execute an operation that violates a lock, the operation will be rejected.
Complex properties are described as graph patterns, the matches of graph pattern, can becalculated by pattern matchers or query engines.
Each lock is associated with a model query that can be evaluated on different snapshots of the model. Only those modifications are allowed that do not change the result set of this query.</t>
  </si>
  <si>
    <t>Integerated into Mondo</t>
  </si>
  <si>
    <t>rule-based fine-grained model-level secure access control, property-based locking and automated model merge integrated over existing version control systems</t>
  </si>
  <si>
    <t>rule-based access control</t>
  </si>
  <si>
    <t>Search-based automated model merging</t>
  </si>
  <si>
    <t>During the merge phase, changes introduced by different collaborators may contradict each other which leads to conflicts that have to be resolved</t>
  </si>
  <si>
    <t>The tool computes and displays all possible candidate resolutions of a conflict, and the user can select the most suitable one.</t>
  </si>
  <si>
    <t>Conflict-free merge</t>
  </si>
  <si>
    <t>Locking</t>
  </si>
  <si>
    <t>Contradicting changes</t>
  </si>
  <si>
    <t>Locking
(element-level)</t>
  </si>
  <si>
    <t>Two main avenues: first, better security through modelaware fine-grained access control of modeling artifacts and second, better conflict management either (i) through simultaneous multi-user model editing in online collaboration; or in case of traditional offline collaboration, (ii) through rule-based model element-level locking to avoid conflicts, and (iii) through intelligent automated merging to resolve conflicts when they do occur.</t>
  </si>
  <si>
    <t>Mondo</t>
  </si>
  <si>
    <t>EMF models,
Domain specific language</t>
  </si>
  <si>
    <t>produces the set of “maximally merged” conflict-free states that cannot be extended further by including more of these editing operations.</t>
  </si>
  <si>
    <t>intelligent automated merging
DSEMerge may be customized for each modeling language by domain specific operations and well-formedness constraints in order to reduce the search space and obtain accurate merged models (that are semantically consistent as well).</t>
  </si>
  <si>
    <t xml:space="preserve">well-formedness constraints </t>
  </si>
  <si>
    <t>Rule-based access control,
Property-based locking,
Model indexing</t>
  </si>
  <si>
    <t>search-based automated model merge</t>
  </si>
  <si>
    <t>EMF Compare or Diff/Merge</t>
  </si>
  <si>
    <t>DSE technique carries out conflict detection dynamically during exploration time as conflicting rule activations and constraint violations.
we detect conflicts on- the-fly during the exploration process by relying upon the incremental book-keeping of rule activations and constraints.</t>
  </si>
  <si>
    <t>In case of a conflict, (1) firing one rule may prevent the application of another activation, or (2) both rules are fireable, but the result state violates a constraint.</t>
  </si>
  <si>
    <t>EMF Model</t>
  </si>
  <si>
    <t>Train Benchmark</t>
  </si>
  <si>
    <t>Desktop and Web browser</t>
  </si>
  <si>
    <t>EMF as XMI</t>
  </si>
  <si>
    <t>fine-grained access control necessitates to assign access rights to each model element
They define an approach for secure collaborative modelling using bidirectional model transformations to derive filtered secure views for each collaborator and to propagate changes introduced into these views back to a server.</t>
  </si>
  <si>
    <t>We formalize the collaboration schema using communicating state machines and provide formal proofs for certain correctness criteria using the FDR4 tool [30]. The schema is integrated into existing version control systems using hook programs triggered by repository events to support offline collaborative scenarios, whereas a prototype tool of online collaboration is also realized on the top of Eclipse RAP.</t>
  </si>
  <si>
    <t>Formalization of the collaboration</t>
  </si>
  <si>
    <t>As the online collaboration operates with short transactions, it has only a small chance that conflict occurs during the session (e.g. a collaborator modifies an object that is deleted by another collaborator and the propagation of the deletion is under execution).</t>
  </si>
  <si>
    <t>access control</t>
  </si>
  <si>
    <t>business process models</t>
  </si>
  <si>
    <t>They propose an approach for deciding equivalence of structured and unstructured business process models and individual parts of them.</t>
  </si>
  <si>
    <t>Equal name</t>
  </si>
  <si>
    <t>To decide equivalence between two business process models (or parts of them), we compute process structure trees from the process models that reflect the models hierarchical structure. Using a tree walk algorithm, the process structure tree is transformed into a term notation. The resulting process model terms capture semantical information concerning the execution order and the execution logic (such as AND, OR, XOR) of the business process models. In a second step, these terms are normalized using a semantic preserving term rewriting system. Based on a comparison of the normal forms, we can efficiently decide the equivalence of the business process models.</t>
  </si>
  <si>
    <t>Gerth et al.</t>
  </si>
  <si>
    <t>Formalism</t>
  </si>
  <si>
    <t>Formalism
(Trace equivalence)</t>
  </si>
  <si>
    <t>conflict detection that is solely based on syntactic features potentially results in false-positive conflicts, that is two changes are detected as being conflicting, although both changes are semantically equivalent.</t>
  </si>
  <si>
    <t>similar name</t>
  </si>
  <si>
    <r>
      <t xml:space="preserve">They call op1 and op2 syntactically conflicting if op2 is not
applicable on V1 or op1 is not applicable on V2. 
They use </t>
    </r>
    <r>
      <rPr>
        <b/>
        <sz val="10"/>
        <color theme="1"/>
        <rFont val="Calibri"/>
        <family val="2"/>
        <scheme val="minor"/>
      </rPr>
      <t>trace equivalence</t>
    </r>
    <r>
      <rPr>
        <sz val="10"/>
        <color theme="1"/>
        <rFont val="Calibri"/>
        <family val="2"/>
        <scheme val="minor"/>
      </rPr>
      <t xml:space="preserve"> as equivalence relation for semantics. Then, two change operations are semantically conflicting if they modify corresponding model elements and after their application the underlying elements are in different positions in the merged process model resulting in different
traces. To decide trace equivalence, they first, formalize business process models to business process terms (a process structure tree), then they normalize business process terms to normal forms and compare them. 
It avoids false-positive conflicts by taking into account semantic equivalence of business process models.</t>
    </r>
  </si>
  <si>
    <t>Deny operation(s) or change operations order</t>
  </si>
  <si>
    <t>Change Operation</t>
  </si>
  <si>
    <t>Process Structure Tree
ProcessModels Terms
trace equivalent</t>
  </si>
  <si>
    <t>Theorem prove</t>
  </si>
  <si>
    <t xml:space="preserve">Comparison of change operation for independent change operations (by conflict matrix) and for dependent change operations (the second one requires the application of the first one), they check for equivalent trace </t>
  </si>
  <si>
    <t>transformation rule conflicting (TR-conflicting) if op2 is not applicable on V1 and op2 is applicable on V2.</t>
  </si>
  <si>
    <t>Conflict matrix (Transformation rule conflicting)</t>
  </si>
  <si>
    <t>Conflicts are visualized to the user as soon as a conflicting operations is selected for application.</t>
  </si>
  <si>
    <t>IBM WebSphere</t>
  </si>
  <si>
    <t>For computation of conflicts, the operations in two change sequences are analyzed pairwise for conflicts</t>
  </si>
  <si>
    <t>For   a   syntactical   consistency   check, the generated OWL expressions of the Tbox and the ABox are joined together in one ontology. 
This syntactic inconsistency can be identified by a OWL  reasoner. An inconsistency can be analyzed by conjunctive queries on  the generated ontology.  The semantics inconsistency can be analyzed more  comprehensively with conjunctive queries.</t>
  </si>
  <si>
    <t>Formal
(Description logics)</t>
  </si>
  <si>
    <t>State-based</t>
  </si>
  <si>
    <t>OWL reasoner</t>
  </si>
  <si>
    <t>OWL2  and DL-Lite   reasoners   as Pellet   and QuOnto   provide   consistency   and   concept satisfiability   checks  which   can   be   used   for   conflict management.</t>
  </si>
  <si>
    <t>Applicable for any MOF &amp; Ecore. However, the generation of OWL  representation  cannot cover the whole ECore meta-meta-model.</t>
  </si>
  <si>
    <t>Bartelt</t>
  </si>
  <si>
    <t>Jazz</t>
  </si>
  <si>
    <t>EMF-based</t>
  </si>
  <si>
    <t>UML &amp; EMF-based</t>
  </si>
  <si>
    <t>Constraints</t>
  </si>
  <si>
    <t>At first the integration infrastructure transforms the imported XMI-models in a meta-model independent representation. This representation is a set of decoupled artifacts which can be merged by the optimistic merge algorithm of the Jazz platform. 
The constraint is formal described as OCL-expressions in the OMG specification.</t>
  </si>
  <si>
    <t>EMF Compare</t>
  </si>
  <si>
    <t>OCL Expression</t>
  </si>
  <si>
    <t>Metamodel independent</t>
  </si>
  <si>
    <t>Plug-in for IBM Jazz platform</t>
  </si>
  <si>
    <t>Plug-in</t>
  </si>
  <si>
    <t>Conflict UML Profile</t>
  </si>
  <si>
    <t>Consistency-preserving edit
scripts</t>
  </si>
  <si>
    <t>To recognize such a change pattern they use Henshin transformation rules. These transformations rules are referred to as recognition rules. They can be automatically generated from their corresponding edit rules. In contrast to edit rules, which are applied to models, recognition rules operate on a low-level difference.</t>
  </si>
  <si>
    <t>Support order of operations</t>
  </si>
  <si>
    <t>They define recognition rules which are some patterns to specify which operation (edit rule) must applied and which are not allowed to applied. They decide by Dependency Analysis, which it checks operation-pairs to find dependent Edit rules and then correcting them.</t>
  </si>
  <si>
    <t>in SiLift environment</t>
  </si>
  <si>
    <t>Eclipse based</t>
  </si>
  <si>
    <t>Kehrer et al.</t>
  </si>
  <si>
    <t>History-based Merging</t>
  </si>
  <si>
    <t>Constraint</t>
  </si>
  <si>
    <t>Consistent merge decision</t>
  </si>
  <si>
    <t>Revision graph</t>
  </si>
  <si>
    <t>The difference algorithm is used for UML</t>
  </si>
  <si>
    <t>History-based Merge</t>
  </si>
  <si>
    <t>Scalability</t>
  </si>
  <si>
    <t>Scalable copy-modify merge
mechanism</t>
  </si>
  <si>
    <t>UML &amp; DSL which are stored as XMI files</t>
  </si>
  <si>
    <t>Semi-Automatic</t>
  </si>
  <si>
    <t>Conflict resolution rules that the developer can choose: (a) the conflicting command is cancelled. (b) WorkspaceManager restores the deleted elements by copying them from Vbase to Vrep.</t>
  </si>
  <si>
    <t>Updating moved elements
Moving referenced elements
Creating links to deleted elements
Deleting referenced elements</t>
  </si>
  <si>
    <t>Check for changes that occure specific conflict condition</t>
  </si>
  <si>
    <t>Check specific conflict condition</t>
  </si>
  <si>
    <t>MDDi project</t>
  </si>
  <si>
    <t>Centralized</t>
  </si>
  <si>
    <t>MOF models</t>
  </si>
  <si>
    <t>copy-modify merge</t>
  </si>
  <si>
    <t>They propose the scalable copy-modify merge mechanism, which allows each developer to copy only a model subset from the entire model set, to manipulate this subset locally, and to merge it back to the repository.
They use delta metamodel, which can express changes to ordered association end values.</t>
  </si>
  <si>
    <t>They propose the delta metamodel to represent the deltas themselves as models. A delta contains a set of modification operations.</t>
  </si>
  <si>
    <t>They offer a framework to build programs for automating conflict resolution according to the developer-specific rules.
1) Reporting the operations causing conflicts to the conflict resolution programs.
2) Enabling the programs to drop or alter conflicting operations.</t>
  </si>
  <si>
    <t>limited conflict examples</t>
  </si>
  <si>
    <t>C-Praxis is based upon Telex, a middleware layer designed for collaborative application software.</t>
  </si>
  <si>
    <t>The state of a model is represented by its corresponding sequence of operations. When a change is made to a model, a new operation is added to the sequence. Indeed, two replicas are consistent if their corresponding sequences of operations are equivalent. Because the system is totally replicated, every change regardless of its type is propagated to all sites by Telex.</t>
  </si>
  <si>
    <t>Modification of the same elements! The following conicts have been identied:
1) different property values, 2) add and remove property value, 3) different reference values, 4) add and remove reference value, 5) delete a model element and add a reference value that targets it, 6) delete a model element and add a reference
value from it, 7)delete a model element and add a property value to it.</t>
  </si>
  <si>
    <r>
      <t xml:space="preserve">For conflicts 1 to 4, deciding on an order between the two actions by using the </t>
    </r>
    <r>
      <rPr>
        <b/>
        <i/>
        <sz val="10"/>
        <color theme="1"/>
        <rFont val="Calibri"/>
        <family val="2"/>
        <scheme val="minor"/>
      </rPr>
      <t>not-after</t>
    </r>
    <r>
      <rPr>
        <sz val="10"/>
        <color theme="1"/>
        <rFont val="Calibri"/>
        <family val="2"/>
        <scheme val="minor"/>
      </rPr>
      <t xml:space="preserve"> constraint. Also, for conflicts 5 to 7, they ignored delete operation or reorder the modification and delete operations, and first execute modificaiton then execute the delete.</t>
    </r>
  </si>
  <si>
    <t>Telex compares the keys associated with the new action to those associated to all the actions from the local edition history.
(C-Praxis application-level invariants)</t>
  </si>
  <si>
    <t>Constraint Checker</t>
  </si>
  <si>
    <t>Action-Constraint Graph
peer-to-peer</t>
  </si>
  <si>
    <t>Formal
peer-to-peer</t>
  </si>
  <si>
    <t>Use Alloy which is a lightweight specification language based on first-order relational logic</t>
  </si>
  <si>
    <t>They used Alloy in order to validate conflicts identification: (1) specify the changes with Alloy and (2) ask Alloy to find a configuration where there is a group g with two site performing the changes and a changed group g’ integrating both of them. If no configuration can be found by Alloy or if Alloy returns more than one configuration, then the two changes are said to be a conflict.</t>
  </si>
  <si>
    <t>Eclipse Plug-in
http://meta.lip6.fr</t>
  </si>
  <si>
    <t>The strategy they use is based on two principles: (1) an order computed by the Lamport clock and (2) the delete semantics of Praxis. They consider that when two operations are in conflict, then the later one is kept and the former one is canceled unless it is a delete operation.</t>
  </si>
  <si>
    <t>Modification of the same elements! The following conicts have been identied:
1) different property values, 2) add and remove property value, 3) different reference values, 4) add and remove reference value, 5) delete a model element and add a reference value that targets it, 6) delete a model element and add a reference value from it, 7)delete a model element and add a property value to it.</t>
  </si>
  <si>
    <t>D-PRAXIS</t>
  </si>
  <si>
    <t>UML Profile</t>
  </si>
  <si>
    <t>Conflict modeling by example</t>
  </si>
  <si>
    <t>A UML proflie for modeling conflict by defining example of part of model in base and new versions.</t>
  </si>
  <si>
    <t>By example</t>
  </si>
  <si>
    <t>Configurable three-way model merging</t>
  </si>
  <si>
    <t>similarity criteria + User intention</t>
  </si>
  <si>
    <t>Eclipse plug-in upon Epsilon</t>
  </si>
  <si>
    <t>Model 
Transformation 
+ 
Formalisms</t>
  </si>
  <si>
    <t>By analyzing the dynamic traces of model-altering user actions gathered during replica modification, operations may be selected, interleaved, reordered, and simplified in order to create a merged trace of model changes.</t>
  </si>
  <si>
    <t xml:space="preserve">In subtransformation plan the execution of an operation falied or the created model is not well-formed. </t>
  </si>
  <si>
    <t>Inference algorithm and Resolution pattern</t>
  </si>
  <si>
    <t>First, by reordering the change sequences and conflicts that remain are resolved by arbitrarily selecting one change over the other, employing heuristics, or by appealing to the user.</t>
  </si>
  <si>
    <t>Matching Strategy</t>
  </si>
  <si>
    <t>Partial</t>
  </si>
  <si>
    <t>Use case models</t>
  </si>
  <si>
    <t>an equivalence operator for FSMs is defined in order to aid in the detection of conflicts in accordance with the merging metamodel.</t>
  </si>
  <si>
    <t>Syntactic Analyzer and 
Equivalence Checker</t>
  </si>
  <si>
    <t>weave of subtransformations</t>
  </si>
  <si>
    <t>UUID + similar name + other similarity measure</t>
  </si>
  <si>
    <t>4: Fully implemented</t>
  </si>
  <si>
    <t>3: Prototype</t>
  </si>
  <si>
    <t>5: Empirical evaluation</t>
  </si>
  <si>
    <t>Model Transformation
+
Decision table rules</t>
  </si>
  <si>
    <t>Hybrid</t>
  </si>
  <si>
    <t>All changes and conflicts, whether resolved or not, are presented to the user in the form of a merge plan—a visualization of the merged model transformation, the recommendations of which the user is free to change.</t>
  </si>
  <si>
    <t>Fujaba models</t>
  </si>
  <si>
    <t>only supports Ecore and Fujaba models;</t>
  </si>
  <si>
    <t>No support</t>
  </si>
  <si>
    <t>Game-based belief merging</t>
  </si>
  <si>
    <t>Subjective belief game model, where the significance of each formula is addressed through the framework of Subjective logic using Subjective opinions. Each belief source is represented by a Subjective belief base (SBB). In collaborative modeling, the information coming from each participant can be represented as a belief base. Now, since the individual participants information are given from their own point of view, they can contain contradicting or inconsistent information when they are put together.</t>
  </si>
  <si>
    <t>priority
relationships</t>
  </si>
  <si>
    <t>They propose an approach to merge N model. They try to merge models by prioritize some modeler
priority relationships between the belief bases</t>
  </si>
  <si>
    <t>Belief Games</t>
  </si>
  <si>
    <t>Classifiction</t>
  </si>
  <si>
    <t>They introduced a classification for classifying, understanding and reviewing various aspects of a collaborative modeling and design process.</t>
  </si>
  <si>
    <t>CAD model</t>
  </si>
  <si>
    <t>Qamar et al.</t>
  </si>
  <si>
    <t>UML class models and also to Domain-Specific models</t>
  </si>
  <si>
    <t>Conflict detection rules</t>
  </si>
  <si>
    <t>formal description of a Detection rule.</t>
  </si>
  <si>
    <t>Formal</t>
  </si>
  <si>
    <t>a constraint solver based on our CSP model is in charge of detecting violated constraints and finding one or several solutions that satisfies the requirements.
the conflict specification rule contains a condition which is composed of a predefined list of changes that can cause conflicts and it returns as result this detected conflict.</t>
  </si>
  <si>
    <t>Each conflict detection rule defines the constraints that are used in our CSP model, as they group conflicting changes.</t>
  </si>
  <si>
    <t>When a conflict is detected, the solver searches the set of actions to be applied in order to satisfy all constraints. Each resolution will be stored as a resolution rule. For each conflict, several resolution rules can be specified.</t>
  </si>
  <si>
    <t>For modifications affecting the same element, and check if there is any inconsistency between them. In case it detects a conflict,</t>
  </si>
  <si>
    <t>Constraint Satisfaction Problem (CSP) formalism</t>
  </si>
  <si>
    <t>They propose to use the Constraint Satisfaction Problem formalism, which traits the combinatorial problem of what choices best satisfy a given set of constraints, a constraint solver is in charge of detecting violated constraints and finding one or several solutions satisfying all constraints.</t>
  </si>
  <si>
    <t>They use Constraint Logic Programming to provide a more formal definition of conflicting cases.</t>
  </si>
  <si>
    <t>Conflict Solver</t>
  </si>
  <si>
    <t>Taxonomy</t>
  </si>
  <si>
    <t xml:space="preserve">They introduce a basic conceptual model of real-time collaborative editing systems which differentiates the coordination aspect of actions for code centric development. </t>
  </si>
  <si>
    <t>Code</t>
  </si>
  <si>
    <t>Use zargo file for semantic of XMI or PGML files</t>
  </si>
  <si>
    <t>UUID
href tag</t>
  </si>
  <si>
    <t>Eclipse plug-in based on Argo and integrated in Advanced Artefact Management System (ADAMS)</t>
  </si>
  <si>
    <t>They claim that this work is synchronos modeling but it need check-in and chock-out</t>
  </si>
  <si>
    <t>A pessimistic approach by token</t>
  </si>
  <si>
    <t>Maybe all types! 
A lock based approach that user to edit model should recived synchronously last version of model from the server.</t>
  </si>
  <si>
    <t>Lock-based synchronisation</t>
  </si>
  <si>
    <t>ArgoEclipse+ADAMS</t>
  </si>
  <si>
    <t>There are four strategies to solve conflicts among
operations, that is lock mechanism [4,5], serialization [7], dOPT (distributed operational transformation) [8] and object replication [3,9].</t>
  </si>
  <si>
    <t>CAMEL</t>
  </si>
  <si>
    <t>Dou et al.</t>
  </si>
  <si>
    <t>Architecture of Repository</t>
  </si>
  <si>
    <t>Token locking</t>
  </si>
  <si>
    <t>Lock-based</t>
  </si>
  <si>
    <t>Based on Papyrus</t>
  </si>
  <si>
    <t>Search-based</t>
  </si>
  <si>
    <t>N-way</t>
  </si>
  <si>
    <t>They used heuristic search algorithm to maximize the number of successfully applied operations.
They used GA algorithm. The order of operations in the vector represents the sequence in which the operations are applied. Some operations can be eliminated in case they are equivalent;</t>
  </si>
  <si>
    <t>Heuristic search</t>
  </si>
  <si>
    <t>Find a sequence of operation with the minimum disabled operations</t>
  </si>
  <si>
    <t>Using natural language to describe all types of conflict</t>
  </si>
  <si>
    <t>The main goal of Colex is to collect and explicitly document conflict scenarios of various modeling languages in a community driven manner.</t>
  </si>
  <si>
    <t>Natural language</t>
  </si>
  <si>
    <t>Conflict profile</t>
  </si>
  <si>
    <t>A uml profile to describe conflict based on the changes over two versions</t>
  </si>
  <si>
    <t>Academic
Phd Thesis</t>
  </si>
  <si>
    <t>A recommender system which suggests automatically executable resolution patterns to the developer.</t>
  </si>
  <si>
    <t>They propose a recommender system which suggests
automatically executable resolution patterns to the developer responsible for the conflict resolution. The lookup
algorithm is based on a similarity-aware graph matching approach incorporating information from the metamodel of the used modeling language.</t>
  </si>
  <si>
    <t>UML Class diagram</t>
  </si>
  <si>
    <t>Pattern based</t>
  </si>
  <si>
    <t>Similarity aware graph comparison algorithm</t>
  </si>
  <si>
    <t>Conflicts are represented as Ecore models and are stored in a conflict repository. For the lookup of suitable resolution patterns we apply a novel kind of similarity-aware graph comparison algorithm allowing for exact matches, type compatibility matches, and type similarity matches.</t>
  </si>
  <si>
    <t>Pattern + Resoaner</t>
  </si>
  <si>
    <t>Conflict Resolution Reasoner + Conflict Resolution Pattern</t>
  </si>
  <si>
    <t>Wieland et al.</t>
  </si>
  <si>
    <t>Conflict-tolerant</t>
  </si>
  <si>
    <t>Taentzer et al.</t>
  </si>
  <si>
    <t>Pichler et al.</t>
  </si>
  <si>
    <t>Mussa &amp; Khendek</t>
  </si>
  <si>
    <t>Gao et al.</t>
  </si>
  <si>
    <t>Tröls et al.</t>
  </si>
  <si>
    <t>DISCOM</t>
  </si>
  <si>
    <t>Cicchetti et al.</t>
  </si>
  <si>
    <t>COMA</t>
  </si>
  <si>
    <t>Product line</t>
  </si>
  <si>
    <t>Beanbag</t>
  </si>
  <si>
    <t>CCM-algorithm</t>
  </si>
  <si>
    <t>Kallweit et al.</t>
  </si>
  <si>
    <t>Foucault et al.</t>
  </si>
  <si>
    <t>Sun et al.</t>
  </si>
  <si>
    <t>Vanilla</t>
  </si>
  <si>
    <t>Mafazi et al.</t>
  </si>
  <si>
    <t>SMT</t>
  </si>
  <si>
    <t>Requirements</t>
  </si>
  <si>
    <t>EML</t>
  </si>
  <si>
    <t>TGG</t>
  </si>
  <si>
    <t>Strüber et al.</t>
  </si>
  <si>
    <t>Diff-Merge</t>
  </si>
  <si>
    <t>URN</t>
  </si>
  <si>
    <t>Phalp et al.</t>
  </si>
  <si>
    <t>SAT Solver</t>
  </si>
  <si>
    <t>Model Consistency</t>
  </si>
  <si>
    <t>GenMyModel</t>
  </si>
  <si>
    <t>RAISE</t>
  </si>
  <si>
    <t>Undo-Redo</t>
  </si>
  <si>
    <t>Pyro</t>
  </si>
  <si>
    <t>TGG_CSynch</t>
  </si>
  <si>
    <t>Did the study clearly define the research objectives?</t>
  </si>
  <si>
    <t>Did the study provide a review of previous work?</t>
  </si>
  <si>
    <t>Did the study provide a practical motivation?</t>
  </si>
  <si>
    <t>Was the research methodology clearly established?</t>
  </si>
  <si>
    <t>Was the proposed approach clearly described?</t>
  </si>
  <si>
    <t>Were the contributions of the study clearly specified?</t>
  </si>
  <si>
    <t>Did the study include an empirical evaluation of approach?</t>
  </si>
  <si>
    <t>Did the study include a discussion on the validity and reliability of their results?</t>
  </si>
  <si>
    <t>Did the study point out potential further research?</t>
  </si>
  <si>
    <t>Hints or Proposals</t>
  </si>
  <si>
    <t>Y</t>
  </si>
  <si>
    <t>N</t>
  </si>
  <si>
    <t>Is the purpose of the study clearly stated?</t>
  </si>
  <si>
    <t>Is the interest and the usefulness of the work clearly presented?</t>
  </si>
  <si>
    <t>Is the work compared and measured with other similar work?</t>
  </si>
  <si>
    <t>Are the limitations of the work clearly mentioned?</t>
  </si>
  <si>
    <t>Emprical Evaluation</t>
  </si>
  <si>
    <t>Did the Primary study evaluated empirically?</t>
  </si>
  <si>
    <t>Are the used techniques and concepts of the approach clearly defined?</t>
  </si>
  <si>
    <t>Limitation</t>
  </si>
  <si>
    <t>QA10</t>
  </si>
  <si>
    <t>Are the results reporting quality and authenticity?</t>
  </si>
  <si>
    <t>Is the study methodology clearly established?</t>
  </si>
  <si>
    <t>Quality Ass. State</t>
  </si>
  <si>
    <t>Disapproved</t>
  </si>
  <si>
    <t>Approved</t>
  </si>
  <si>
    <t>Final State</t>
  </si>
  <si>
    <t>Approach Name</t>
  </si>
  <si>
    <t>Approach Number</t>
  </si>
  <si>
    <t>Apply Quality Assesment</t>
  </si>
  <si>
    <t>Sequence diagram</t>
  </si>
  <si>
    <t>Model checking
(Spin)</t>
  </si>
  <si>
    <t>They propose to use a model checker like Spin within the merge process. The idea is to generate possible merge results and to check for each if it is consistent with the behavior defined by the corresponding state machine. We first give a short definition of the modeling language concepts needed, and then introduce our approach in detail.</t>
  </si>
  <si>
    <t>They checked the merged version with other models. For example, they checked the possibility of merged version of sequence diagram over Promela code of state machine diagram using Spin model checker</t>
  </si>
  <si>
    <t>Adcademic
Phd Thesis
http://www.modelevolution.org/prototypes/semantic-merging</t>
  </si>
  <si>
    <t>Spin Model Checking</t>
  </si>
  <si>
    <t>Conflict pattern</t>
  </si>
  <si>
    <t>CTolerate Method</t>
  </si>
  <si>
    <t>Cpre Method</t>
  </si>
  <si>
    <t>In the merge process, the information on occurred conflicts is not lost, but is annotated in the model to enable a collaborative resolution at a later point in time. They prioritize the update and annotate the object o1 with a Delete/Update annotation. In this annotation, the old value and the update value of the changed feature is preserved.</t>
  </si>
  <si>
    <t>Well-defined conflict detection patterns based on the contraditing operations such as delete/update and so on</t>
  </si>
  <si>
    <t>Two possible kinds of resolution strategies
exist: (1) either select one out of the conflicting changes, or (2) discard both
and perform a custom resolution, which may contain several changes. User should select on of them.</t>
  </si>
  <si>
    <t>By extentin of UML profile for EMF models</t>
  </si>
  <si>
    <t xml:space="preserve">Adcademic </t>
  </si>
  <si>
    <t>A22</t>
  </si>
  <si>
    <t>A21</t>
  </si>
  <si>
    <t>A20</t>
  </si>
  <si>
    <t>A19</t>
  </si>
  <si>
    <t>A18</t>
  </si>
  <si>
    <t>A17</t>
  </si>
  <si>
    <t>A16</t>
  </si>
  <si>
    <t>A15</t>
  </si>
  <si>
    <t>A14</t>
  </si>
  <si>
    <t>A13</t>
  </si>
  <si>
    <t>A12</t>
  </si>
  <si>
    <t>A11</t>
  </si>
  <si>
    <t>A10</t>
  </si>
  <si>
    <t>A9</t>
  </si>
  <si>
    <t>A8</t>
  </si>
  <si>
    <t>A7</t>
  </si>
  <si>
    <t>A6</t>
  </si>
  <si>
    <t>A5</t>
  </si>
  <si>
    <t>A4</t>
  </si>
  <si>
    <t>A3</t>
  </si>
  <si>
    <t>A2</t>
  </si>
  <si>
    <t>A1</t>
  </si>
  <si>
    <t>contexts.</t>
  </si>
  <si>
    <t>Formalism
(Graph modifications)</t>
  </si>
  <si>
    <t>They present a formalization of two different kinds of conflicts based on graph modifications. They extract minimal rules from graph modifications and/or select suitable predefined operations and construct graph transformations in that way. Conflict detection is then based on parallel dependence of graph transformations and the extraction of critical pairs. State-based conflicts are concerned with the well-formedness of the result after merging graph modifications.
They can detect conflicts such as, Delete/Use conflicts: one transformation deletes a graph item while the other one reads it, and Change/Use conflict.</t>
  </si>
  <si>
    <t>A23</t>
  </si>
  <si>
    <t xml:space="preserve">by giving priority to some operations and after that manually checking of operations which are not applied in the tentative merged model </t>
  </si>
  <si>
    <t>SparxSystems</t>
  </si>
  <si>
    <t>Conflict Resolution Model</t>
  </si>
  <si>
    <t>Their workflow provide three different options
for resolving conflicts:
1) Conflict Resolution by Delegation: the business partners themselves in resolving the conflict represented.
2) Conflict Resolution by Voting 
3) Conflict Resolution by Enforcement</t>
  </si>
  <si>
    <t>A24</t>
  </si>
  <si>
    <t>A25</t>
  </si>
  <si>
    <t>Similarity and Feature values</t>
  </si>
  <si>
    <t>They consider not only context-free conflicts occurring on the same feature of some EMF object. In addition, context-sensitive conflicts with respect to changes of different features of (potentially) different objects are taken into account.</t>
  </si>
  <si>
    <t>Algorithm preserve consistency</t>
  </si>
  <si>
    <t>Prapare resolution alternatives</t>
  </si>
  <si>
    <t>Coflict is raised whenever the merge algorithm cannot apply a merge rule automatically. They checked different conflict conditions for model elements.</t>
  </si>
  <si>
    <t>Show a list of conflicts in the outlines</t>
  </si>
  <si>
    <t>Eclipse plugin</t>
  </si>
  <si>
    <t>The conflicts are resolved either interactively or by default rules.</t>
  </si>
  <si>
    <t>Conflicts occur in case the order of elements cannot be deduced automatically.</t>
  </si>
  <si>
    <t>Sequence matching</t>
  </si>
  <si>
    <t>Graph-based + Set formula + Topological sort</t>
  </si>
  <si>
    <t>Directed graphs</t>
  </si>
  <si>
    <t>Feature Ordering</t>
  </si>
  <si>
    <t>Interruption of merge rule</t>
  </si>
  <si>
    <t>BTMerge includes specific resolution wizards for each of its 16 conflict types, including order conflictswhich correspond to the non-deterministic steps of the GTS algorithm. The order conflictsresolution wizard lets the user choose the value he wants to appear previously to all other selectable values.</t>
  </si>
  <si>
    <t>List of conflicts</t>
  </si>
  <si>
    <t>Merging of EMF models - Formal foundations</t>
  </si>
  <si>
    <t>Formal specification</t>
  </si>
  <si>
    <t>Here, a conflict between two operations op1 ∈ c1 and op2 ∈ c2 occurs in some state s reached during the merge if either one of the operations invalidates the other one (Condition 1) or both operations are applicable in sequence, but they do not commute</t>
  </si>
  <si>
    <t>Classification conflicts
Containment conflicts
Delete conflicts</t>
  </si>
  <si>
    <t>This approach detects and resolves both context-free and context-sensitive conflicts (contradictory changes to the same element and to different elements, respectively)</t>
  </si>
  <si>
    <t>We specify context-free and context-sensitive rules for model merging which both detect and resolve merge conflicts.
The object matching has to be type consistent.</t>
  </si>
  <si>
    <t>Matching algorithm with different metrics</t>
  </si>
  <si>
    <t>A conflict is a graph pattern which violates the tree structure of the containment graph</t>
  </si>
  <si>
    <t>Select one option</t>
  </si>
  <si>
    <t>A domain specific language able to define and manage
conflicts caused by cooperative updates over the same model elements.</t>
  </si>
  <si>
    <t>DSL
+
Difference models</t>
  </si>
  <si>
    <t>This work proposes a conflict definition technique consisting of a domain-specific language able to specify both syntactic and semantic conflicts endowed with associated resolution criteria.</t>
  </si>
  <si>
    <t>Conflict Model based on the Patterns</t>
  </si>
  <si>
    <t>Conflict model</t>
  </si>
  <si>
    <t>A metamodel</t>
  </si>
  <si>
    <t>Feature model</t>
  </si>
  <si>
    <t xml:space="preserve">Three requirements for collaborative edinting:
Concurrency, Intention Preservation, Optimism </t>
  </si>
  <si>
    <t>They use a multi-versioning concurrency control technique</t>
  </si>
  <si>
    <t>For two given operations, all of their causally preceding operations must be compatible. (checked by OuterConflict function which is a recursive function)</t>
  </si>
  <si>
    <t>They propose a manual conflict resolution process. They allow collaborators to cast votes for their preferred feature model versions.</t>
  </si>
  <si>
    <t>variED
https://github.com/ekuiter/variED</t>
  </si>
  <si>
    <t>A26</t>
  </si>
  <si>
    <t>Graph-based</t>
  </si>
  <si>
    <t>In particular four different update strategies to detect structural changes in a graph that are of interest for conflict detection are considered:
Attribute update, Reference update, Role update, Referenced element update</t>
  </si>
  <si>
    <t>http://smover.tk.uni-linz.ac.at/</t>
  </si>
  <si>
    <t>retired</t>
  </si>
  <si>
    <t>A27</t>
  </si>
  <si>
    <t>XML Schema</t>
  </si>
  <si>
    <t>XSD-aware (XSM)</t>
  </si>
  <si>
    <t>They first find all the differences between the base version and both derivative versions. The change detection task is achieved by running an XS-Diff algorithm within XSM versioning system.</t>
  </si>
  <si>
    <t>For conflict handling, we discuss situations where two users perform changes to the same component or at the same position in the schema tree. A conflict in XML Schema context can occur between the following pairs of operations performed to vb: insert-insert, updateupdate, and update-delete.</t>
  </si>
  <si>
    <t>Tree</t>
  </si>
  <si>
    <t>Conflict View</t>
  </si>
  <si>
    <t>Transformational approach</t>
  </si>
  <si>
    <t>Java-based</t>
  </si>
  <si>
    <t>Similarity
(value, type and position)</t>
  </si>
  <si>
    <t>A28</t>
  </si>
  <si>
    <t>DSML</t>
  </si>
  <si>
    <t>Opensource</t>
  </si>
  <si>
    <t>The simulation platform is implemented in C++. Graphical
user interfaces are based on on the wxWidgets toolkit.</t>
  </si>
  <si>
    <t>Versioning algorithm</t>
  </si>
  <si>
    <t>Equality
and Similarity mapping element</t>
  </si>
  <si>
    <t>An algorithm to satisfy all Generic Merge Requirements</t>
  </si>
  <si>
    <t>They categorize conflicts based on the meta-level at which they occur: Representation conflicts, Meta-model conflicts, and Fundamental conflicts</t>
  </si>
  <si>
    <t>Merge algorithm</t>
  </si>
  <si>
    <t>Constraint violation</t>
  </si>
  <si>
    <t>Automatic 
Manual</t>
  </si>
  <si>
    <t>Merge algorithm resolves representation conflicts using the input mapping. Foundation conflict using Vanilla meta-meta-model. And they do not resolve meta-model conflicts.</t>
  </si>
  <si>
    <t>C#</t>
  </si>
  <si>
    <t>Post-analysis</t>
  </si>
  <si>
    <t>On-the-fly</t>
  </si>
  <si>
    <t>Process Model (BPMN)</t>
  </si>
  <si>
    <t>Graph</t>
  </si>
  <si>
    <t>A29</t>
  </si>
  <si>
    <t>Business process model
BPMN, Petri Net</t>
  </si>
  <si>
    <t>Applying update-update, update-delete, and insert-insert of different process fragments in corresponding regions of different models may cause conflict.</t>
  </si>
  <si>
    <t>Mapping function</t>
  </si>
  <si>
    <t>Check contraditing changes</t>
  </si>
  <si>
    <t>On-the-fly change propagation</t>
  </si>
  <si>
    <t>Formal
(peer-to-peer)</t>
  </si>
  <si>
    <t>Unique Identity
(OID, NID, ...)</t>
  </si>
  <si>
    <t>Raw merging</t>
  </si>
  <si>
    <t>Transformational approach
(QVT Relations language)</t>
  </si>
  <si>
    <t>They only detect conflict which includes two groups of elements (that belong to different models) are equivalent due to the Equals operation, although they differ syntactically.</t>
  </si>
  <si>
    <t>Same name</t>
  </si>
  <si>
    <t>Equations for the Equals operator</t>
  </si>
  <si>
    <t>Using the Resolve operator, which creates a new element including one of two options and replace it in both input models</t>
  </si>
  <si>
    <t>MOMENT + QVTr
Eclipse based</t>
  </si>
  <si>
    <t>A30</t>
  </si>
  <si>
    <t>Web based</t>
  </si>
  <si>
    <t xml:space="preserve">https://github.com/rwth-acis/syncmeta </t>
  </si>
  <si>
    <t>Actions performed on a model that can be directly applied without any further computations or changes are non-conflicting. An example of such an action is the node creation.
A number of operations can lead to conflicts, e.g. two or more collaborators edit the same text attribute at the same position. Such conflicts are automatically resolved in NRT</t>
  </si>
  <si>
    <r>
      <t xml:space="preserve">For dealing with concurrent editing conflicts, two prominent algorithm types, </t>
    </r>
    <r>
      <rPr>
        <b/>
        <sz val="11"/>
        <color theme="1"/>
        <rFont val="Calibri"/>
        <family val="2"/>
        <scheme val="minor"/>
      </rPr>
      <t>Operational Transformation</t>
    </r>
    <r>
      <rPr>
        <sz val="11"/>
        <color theme="1"/>
        <rFont val="Calibri"/>
        <family val="2"/>
        <scheme val="minor"/>
      </rPr>
      <t xml:space="preserve"> [10,27] and </t>
    </r>
    <r>
      <rPr>
        <b/>
        <sz val="11"/>
        <color theme="1"/>
        <rFont val="Calibri"/>
        <family val="2"/>
        <scheme val="minor"/>
      </rPr>
      <t>conflict- free replicated data types</t>
    </r>
    <r>
      <rPr>
        <sz val="11"/>
        <color theme="1"/>
        <rFont val="Calibri"/>
        <family val="2"/>
        <scheme val="minor"/>
      </rPr>
      <t xml:space="preserve"> [28] are nowadays state-of-the-art in the CSCW literature. 
Operational Transformation for solving conflicts  transform remote operations before executing them on the local document copy. These transformations ensure that all local and remote copies are identical. </t>
    </r>
  </si>
  <si>
    <t>NRT collaboration algorithms and protocols</t>
  </si>
  <si>
    <t>Architecture model, 
ER model</t>
  </si>
  <si>
    <t>A31</t>
  </si>
  <si>
    <t>When a conflict is detected during the merge procedure, the whole check-in is rolled-back and the developer
receives a message containing a detailed conflict description and the original, user and current configurations. This approach only detects conflicts at check-in time, which may be too late.</t>
  </si>
  <si>
    <t>Odyssey-VCS plug-in and Odyssey-VCS client tool</t>
  </si>
  <si>
    <t>name</t>
  </si>
  <si>
    <t>Check conditions</t>
  </si>
  <si>
    <t>In the merge algorithem and after each change commition, they check concurrent changes over the same elements for specific situations.</t>
  </si>
  <si>
    <t>SCM (Software Configuration Management) approach</t>
  </si>
  <si>
    <t>A32</t>
  </si>
  <si>
    <t>Process model</t>
  </si>
  <si>
    <t>Reuse pattern</t>
  </si>
  <si>
    <t>Conflicts in a process model are contradictious relationships that may exist between the process model elements. They investigate first-order conflict which derives from the fact that these conflicts are caused by contradictious relationships linking the same couple of process elements. They defined about 18 conflict cases based on contradicting changes.</t>
  </si>
  <si>
    <t>Algorithm to find a conflict case</t>
  </si>
  <si>
    <t>Replace adequate reuse pattern</t>
  </si>
  <si>
    <t>By analyzing all combinations of relationships between a couple of process elements and search if a relationship correspond with one of 18 conflict case which they defiend as first-order conflict for porcess model</t>
  </si>
  <si>
    <t>Graph-pattern based approach</t>
  </si>
  <si>
    <t>The process of conflict detection and reconciliation is not only meta-model specific but also usage context specific.</t>
  </si>
  <si>
    <t>This means only those changes recorded in the delta models are relevant that match the types specified in the pattern graph. Also, of these matching changes only those changes are relevant that can form valid paths from the root of the pattern graph.</t>
  </si>
  <si>
    <t>Tata Consultancy Services</t>
  </si>
  <si>
    <t>A33</t>
  </si>
  <si>
    <t>They provide an initial merged model withoud elements with conflicting containement and without references to the conflicting elements which are omited.  And, model might have merge conflict, then user should resolve the merged model manually.</t>
  </si>
  <si>
    <t>Conflicting changes are highlighted in a different colour to nonconflictingly
ones.</t>
  </si>
  <si>
    <t>The ideal scenario would be to allow modellers to create diagrams the way they want with all possible layout freedom, but still be able to rely on mental-map-preserving automatic layout</t>
  </si>
  <si>
    <t>Semi-automatic merge</t>
  </si>
  <si>
    <t>A34</t>
  </si>
  <si>
    <t>A35</t>
  </si>
  <si>
    <t>They distinguish operation-based conflicts where deletion actions are in conflict with insertion actions and state-based conflicts where the tentative merge result of two graph modifications is not well-formed wrt. a set of language-specific
constraints.</t>
  </si>
  <si>
    <t>we propose a general merge
construction that resolves conflicts by giving insertion priority over deletion in case of delete-insert conflicts</t>
  </si>
  <si>
    <t>Diagram Predicate Framework</t>
  </si>
  <si>
    <t>They provide a formalisation of the copy-modify-merge paradigm in MDE.
Diagram Predicate Framework (DPF), is a diagrammatic formalism for the definition and reasoning about modelling languages, (meta)models and model transformations. The formalism is based on category theory and first order logic.</t>
  </si>
  <si>
    <t>DPF enables them to define a language to represent model differences and a logic to detect conflicting modifications. 
If the reduced merge model Vj,iU contains the predicate [conflict]. 
The definition of new rules/conflicting situations is also allowed in DPF.</t>
  </si>
  <si>
    <t>The identification of what is common is the same as the identification of what is not modified, which should be feasible to implement in any tool.</t>
  </si>
  <si>
    <t>Common model</t>
  </si>
  <si>
    <t>The following is a summary of the concurrent modifications which they identify as conflicts:
– adding structure to an element which has been deleted
– renaming an element which has been renamed
– moving an element which has been moved
The difference between two models is identified by means of category theoretical constructs and represented through the language Δ. (with the injective and the inclusion morphisms)</t>
  </si>
  <si>
    <t>A36</t>
  </si>
  <si>
    <t>DPF</t>
  </si>
  <si>
    <t>Pessimistic</t>
  </si>
  <si>
    <t>Optimistic</t>
  </si>
  <si>
    <t>Decision Tree</t>
  </si>
  <si>
    <t>Automatically</t>
  </si>
  <si>
    <t>CoMBM</t>
  </si>
  <si>
    <t>Business model</t>
  </si>
  <si>
    <t>Conflicts of simultaneously editing the same model element at the same time can be detected by violating the given static semantics defined in the metamodel.</t>
  </si>
  <si>
    <t>Architecture Analysis and Design Language
(AADL)</t>
  </si>
  <si>
    <t>Simultaneous Synchronization as operational transformation</t>
  </si>
  <si>
    <t xml:space="preserve">https://pyro.scce.info </t>
  </si>
  <si>
    <t>Private</t>
  </si>
  <si>
    <t>A37</t>
  </si>
  <si>
    <t>A38</t>
  </si>
  <si>
    <t>Operational Transformation
algorithms</t>
  </si>
  <si>
    <t xml:space="preserve">The consistency maintenance for NRT
collaboration is based on a decentralized peer-to-peer architecture. The peer OT engines apply the OT algorithms when a conflict is detected and return the new operations to be applied on the local documents. </t>
  </si>
  <si>
    <t>OT Algorithm</t>
  </si>
  <si>
    <t>Conflicts typically occur when at some point in time two or more users update the same object</t>
  </si>
  <si>
    <t>Graph-based model</t>
  </si>
  <si>
    <t>A Formalism for Specifying Model Merging Conflicts</t>
  </si>
  <si>
    <t>SAM '20: Proceedings of the 12th System Analysis and Modelling Conference</t>
  </si>
  <si>
    <t>https://doi.org/10.1145/3419804.3421447</t>
  </si>
  <si>
    <t>CPL</t>
  </si>
  <si>
    <t>Enhancing collaborative modeling</t>
  </si>
  <si>
    <t>MODELS '20: Proceedings of the 23rd ACM/IEEE International Conference on Model Driven Engineering Languages and Systems: Companion Proceedings</t>
  </si>
  <si>
    <t>https://doi.org/10.1145/3417990.3419490</t>
  </si>
  <si>
    <t>Jakob Pietron</t>
  </si>
  <si>
    <t>Object Graph</t>
  </si>
  <si>
    <t>share and lock</t>
  </si>
  <si>
    <t>Fine granularity locks ensure no conflicts</t>
  </si>
  <si>
    <t>Similarity</t>
  </si>
  <si>
    <t>A formalism and a conflict pattern language for conflict specification</t>
  </si>
  <si>
    <t>A39</t>
  </si>
  <si>
    <t>Consistent change propagation within models</t>
  </si>
  <si>
    <t>https://doi.org/10.1007/s10270-020-00823-4</t>
  </si>
  <si>
    <t>Roland Kretschmer</t>
  </si>
  <si>
    <t>Djamel Eddine Khelladi</t>
  </si>
  <si>
    <t>Semantically enhanced conflict detection between model versions in SMoVer by example</t>
  </si>
  <si>
    <t>Workshop on Semantic-Based Software Development at OOPSLA</t>
  </si>
  <si>
    <t>http://citeseerx.ist.psu.edu/viewdoc/download?doi=10.1.1.94.9998&amp;rep=rep1&amp;type=pdf</t>
  </si>
  <si>
    <t>Alexander Bergmayr</t>
  </si>
  <si>
    <t>Wieland Schwinger</t>
  </si>
  <si>
    <t>Composite-level conflict detection in uml model versioning</t>
  </si>
  <si>
    <t>Journal of Mathematical Problems in Engineering</t>
  </si>
  <si>
    <t>MPE</t>
  </si>
  <si>
    <t>https://doi.org/10.1155/2015/650748</t>
  </si>
  <si>
    <t>Zu Zhang</t>
  </si>
  <si>
    <t>Model-based Real-time Synchronization</t>
  </si>
  <si>
    <t>International Workshop on Comparison and Versioning of Software Models</t>
  </si>
  <si>
    <t>Stephan Krusche</t>
  </si>
  <si>
    <t>https://pi.informatik.uni-siegen.de/CVSM2014/cvsm2014_submission_4.pdf</t>
  </si>
  <si>
    <t>Detecting structural refactoring conflicts using critical pair analysis</t>
  </si>
  <si>
    <t>J.entcs</t>
  </si>
  <si>
    <t>Olga Runge</t>
  </si>
  <si>
    <t>https://doi.org/10.1016/j.entcs.2004.08.038</t>
  </si>
  <si>
    <t>Conflict Visualization for Evolving UML Models</t>
  </si>
  <si>
    <t>JOT</t>
  </si>
  <si>
    <t>Journal of Object Technology</t>
  </si>
  <si>
    <t>doi:10.5381/jot.2012.11.3.a2</t>
  </si>
  <si>
    <t>Consistency Control for Model Versions in Evolving Model-Driven Software Product Lines</t>
  </si>
  <si>
    <t xml:space="preserve"> 2019 ACM/IEEE 22nd International Conference on Model Driven Engineering Languages and Systems Companion (MODELS-C)</t>
  </si>
  <si>
    <t>10.1109/MODELS-C.2019.00043</t>
  </si>
  <si>
    <t>Johannes Schröpfer</t>
  </si>
  <si>
    <t>A Generic Approach to Supporting Diagram Differencing and Merging for Collaborative Design</t>
  </si>
  <si>
    <t>ASE '05: Proceedings of the 20th IEEE/ACM international Conference on Automated software engineering</t>
  </si>
  <si>
    <t>https://doi.org/10.1145/1101908.1101940</t>
  </si>
  <si>
    <t xml:space="preserve">Akhil Mehra </t>
  </si>
  <si>
    <t>John Grundy</t>
  </si>
  <si>
    <t>John Hosking</t>
  </si>
  <si>
    <t>Automatically Detecting and Tracking Inconsistencies in Software Design Models</t>
  </si>
  <si>
    <t xml:space="preserve">IEEE Transactions on Software Engineering </t>
  </si>
  <si>
    <t>10.1109/TSE.2010.38</t>
  </si>
  <si>
    <t>Global consistency checking of distributed models with TReMer+</t>
  </si>
  <si>
    <t>ACM/IEEE 30th International Conference on Software Engineering</t>
  </si>
  <si>
    <t>10.1145/1368088.1368208</t>
  </si>
  <si>
    <t>TReMer+</t>
  </si>
  <si>
    <t xml:space="preserve">Instant Consistency Checking for the UML </t>
  </si>
  <si>
    <t>Proceedings of the 28th international conference on Software engineering</t>
  </si>
  <si>
    <t>https://doi.org/10.1145/1134285.1134339</t>
  </si>
  <si>
    <t>Handling constraints in model versioning</t>
  </si>
  <si>
    <t>https://cs.gssi.it/commitmde2018/?page_id=256</t>
  </si>
  <si>
    <t>http://ceur-ws.org/Vol-2245/commitmde_paper_3.pdf</t>
  </si>
  <si>
    <t>A formalisation of the copy-modify-merge approach to version control in MDE</t>
  </si>
  <si>
    <t>JLAP</t>
  </si>
  <si>
    <t>The Journal of Logic and Algebraic Programming</t>
  </si>
  <si>
    <t>https://doi.org/10.1016/j.jlap.2009.10.003</t>
  </si>
  <si>
    <t>Adaptable Model Versioning in Action</t>
  </si>
  <si>
    <t>Modellierung</t>
  </si>
  <si>
    <t>https://dl.gi.de/handle/20.500.12116/19700</t>
  </si>
  <si>
    <t>Semantics for Accurate Conflict Detection in SMoVer: Specification, Detection and Presentation by Example</t>
  </si>
  <si>
    <t>IJEIS</t>
  </si>
  <si>
    <t>International Journal of Enterprise Information Systems (IJEIS)</t>
  </si>
  <si>
    <t>10.4018/jeis.2010120206</t>
  </si>
  <si>
    <t>Semantic Conflicts Detection in Model-driven Engineering</t>
  </si>
  <si>
    <t>SEKE</t>
  </si>
  <si>
    <t>http://www.ic.uff.br/~leomurta/papers/costa2013.pdf</t>
  </si>
  <si>
    <t>Valéria Oliveira Costa</t>
  </si>
  <si>
    <t xml:space="preserve"> João M. B. Oliveira Junior</t>
  </si>
  <si>
    <t>Leonardo Gresta Paulino Murta</t>
  </si>
  <si>
    <t>Consistency maintenance in real-time collaborative graphics editing systems</t>
  </si>
  <si>
    <t>TOCHI</t>
  </si>
  <si>
    <t>ACM Transactions on Computer-Human Interaction</t>
  </si>
  <si>
    <t>https://doi.org/10.1145/505151.505152</t>
  </si>
  <si>
    <t>GRACE</t>
  </si>
  <si>
    <t>David  Chen</t>
  </si>
  <si>
    <t>Merging software architectures with conflicts detections</t>
  </si>
  <si>
    <t>IJISCM</t>
  </si>
  <si>
    <t>International Journal of Information Systems and Change Management</t>
  </si>
  <si>
    <t>https://doi.org/10.1504/IJISCM.2015.073097</t>
  </si>
  <si>
    <t>Zine-Eddine Bouras</t>
  </si>
  <si>
    <t>Mourad Maouche</t>
  </si>
  <si>
    <t>Model-Driven Software Engineering in the Resource Description Framework: a way to version control</t>
  </si>
  <si>
    <t>NIK</t>
  </si>
  <si>
    <t>https://ojs.bibsys.no/index.php/NIK/article/view/494</t>
  </si>
  <si>
    <t>Hans Georg Schaathun</t>
  </si>
  <si>
    <t>Improvement of Adaptable Model Versioning (AMOR) framework for software model versioning using critical pair analysis</t>
  </si>
  <si>
    <t>ICODSE</t>
  </si>
  <si>
    <t>International Conference on Data and Software Engineering (ICODSE)</t>
  </si>
  <si>
    <t>10.1109/ICODSE.2014.7062697</t>
  </si>
  <si>
    <t>AMOR+</t>
  </si>
  <si>
    <t>Ni Made Satvika Iswari</t>
  </si>
  <si>
    <t>Fazat Nur Azizah</t>
  </si>
  <si>
    <t>Detecting and Resolving Model Inconsistencies Using Transformation Dependency Analysis</t>
  </si>
  <si>
    <t>https://doi.org/10.1007/11880240_15</t>
  </si>
  <si>
    <t>Ragnhild Van Der Straeten</t>
  </si>
  <si>
    <t>Maja D’Hondt</t>
  </si>
  <si>
    <t>Multi-granular conflict and dependency analysis in software engineering based on graph transformation</t>
  </si>
  <si>
    <t>Proceedings of the 40th International Conference on Software Engineering</t>
  </si>
  <si>
    <t>https://doi.org/10.1145/3180155.3180258</t>
  </si>
  <si>
    <t>Gabriele  Taentzer</t>
  </si>
  <si>
    <t>Kristopher  Born</t>
  </si>
  <si>
    <t>Jevgenij Huebert</t>
  </si>
  <si>
    <t>Change Propagation and Conflict Resolution for the Co-Evolution of Business Processes</t>
  </si>
  <si>
    <t>IJCIS</t>
  </si>
  <si>
    <t>International Journal of Cooperative Information Systems</t>
  </si>
  <si>
    <t>https://doi.org/10.1142/S021884301540002X</t>
  </si>
  <si>
    <t>Georg Grossmann</t>
  </si>
  <si>
    <t>Michael Schrefl</t>
  </si>
  <si>
    <t>Concurrent model synchronization with conflict resolution based on triple graph grammars</t>
  </si>
  <si>
    <t>Frank Hermann</t>
  </si>
  <si>
    <t>https://doi.org/10.1007/978-3-642-28872-2_13</t>
  </si>
  <si>
    <t>Using versioned trees, change detection and node identity for three-way XML merging</t>
  </si>
  <si>
    <t>SICS</t>
  </si>
  <si>
    <t>Software-Intensive Cyber-Physical Systems</t>
  </si>
  <si>
    <t>https://doi.org/10.1007/s00450-013-0253-5</t>
  </si>
  <si>
    <t>Cheng Thao</t>
  </si>
  <si>
    <t>Ethan V. Munson</t>
  </si>
  <si>
    <t>A conflicts detection approach for merging formal specification views</t>
  </si>
  <si>
    <t>Journal of Software Engineering and Applications</t>
  </si>
  <si>
    <t>:10.4236/jsea.2010.35052</t>
  </si>
  <si>
    <t>Fathi Taibi</t>
  </si>
  <si>
    <t>Fouad Mohammed Abbou</t>
  </si>
  <si>
    <t>Md. Jahangir Alam</t>
  </si>
  <si>
    <t>View-based near real-time collaborative modeling for information systems engineering</t>
  </si>
  <si>
    <t>International Conference on Advanced Information Systems Engineering</t>
  </si>
  <si>
    <t>https://doi.org/10.1007/978-3-319-39696-5_1</t>
  </si>
  <si>
    <t>Conflict control locking in distributed cooperative graphics editors</t>
  </si>
  <si>
    <t>JSEA</t>
  </si>
  <si>
    <t>WISE</t>
  </si>
  <si>
    <t>Proceedings of the First International Conference on Web Information Systems Engineering</t>
  </si>
  <si>
    <t>10.1109/WISE.2000.882418</t>
  </si>
  <si>
    <t xml:space="preserve">Liyin Xue </t>
  </si>
  <si>
    <t>Kang Zhang</t>
  </si>
  <si>
    <t xml:space="preserve">Chengzheng Sun </t>
  </si>
  <si>
    <t>Towards odyssey-VCS 2: improvements over a UML-based version control system</t>
  </si>
  <si>
    <t xml:space="preserve"> Proceedings of the 2008 international workshop on Comparison and versioning of software models</t>
  </si>
  <si>
    <t>https://doi.org/10.1145/1370152.1370159</t>
  </si>
  <si>
    <t>Leonardo Gresta</t>
  </si>
  <si>
    <t>Chessman K F Corrêa</t>
  </si>
  <si>
    <t>João Gustavo Prudêncio</t>
  </si>
  <si>
    <t>Feature Model</t>
  </si>
  <si>
    <t>Well-formedness analysis and repair</t>
  </si>
  <si>
    <t>The underlying approach is generic</t>
  </si>
  <si>
    <t>SuperMod</t>
  </si>
  <si>
    <t>A novel approach to consistency control for evolving model-driven product lines that covers evolution in both time and space. This approach is based on the paradigm of product-based product line engineering: Development is performed on single product versions but each change may affect a set of product versions. When the workspace is populated with a single version, well-formedness analysis and repair detects and repairs conflicts, i.e., violations of constraints to be satisfied by consistent versions. Evolution in time is captured by revision graphs while feature models are used to model evolution in space.</t>
  </si>
  <si>
    <t>The well-formedness analysis and repair workflow consists of the following tasks:
1) Filter. Request a version selection from the user and apply all necessary version consistency checks. Then, filter the multi-version product to obtain a single-version product.
2) Analysis. Identify conflicts in the filtered product by matching and recording the conflicts to be described in Sections IV-B and V-B.
3) Export. Perform a preliminary export into a preliminary workspace, without considering product conflicts.
4) Repair. Repair the products in the workspace based on the previously recorded conflict descriptions, applying a default resolution strategy (cf. Section III-B). Attach markers to product elements explaining conflicts and their resolution. Present the repaired workspace to the user.</t>
  </si>
  <si>
    <t>All in all, six default conflict resolution strategies are provided – three pairs of contrary strategies.
1) Most Recent
2) Least Recent
3) Most Specific
4) Least Specific
5) Mine: My change wins
6) Their</t>
  </si>
  <si>
    <t>Check for following conflict types:
1) Single-Valued SF (Structural Feature) Value
2) Object Container
3) Cyclic Containment
4) Order
5) Link Target
6) Dangling Component</t>
  </si>
  <si>
    <t>PhD thesis</t>
  </si>
  <si>
    <t>A40</t>
  </si>
  <si>
    <t>Evaluating the Cloud Architecture of AToMPM</t>
  </si>
  <si>
    <t>4th International Conference on Model-Driven Engineering and Software Development (MODELSWARD)</t>
  </si>
  <si>
    <t>10.5220/0005776903390346</t>
  </si>
  <si>
    <t>Jonathan Corley</t>
  </si>
  <si>
    <t>Eugene Syriani</t>
  </si>
  <si>
    <t>Huseyin Ergin</t>
  </si>
  <si>
    <t>AToMPM</t>
  </si>
  <si>
    <t>FIFO</t>
  </si>
  <si>
    <t>FIFO strategy</t>
  </si>
  <si>
    <t>Incoming client changelogs are queued to be processed using a FIFO strategy. By allowing the earlier message to win, the system does not need to process any rollback operations due to conflicting messages.</t>
  </si>
  <si>
    <t>the architecture is designed to process requests based on order of arrival: every request will either succeed or fail based on the conditions of the model at the time it is processed. We chose this opportunistic method of conflict management to allow automatic resolution of all requests and improve responsiveness.</t>
  </si>
  <si>
    <t>https://atompm.github.io/</t>
  </si>
  <si>
    <t>N-way
(Two-way)</t>
  </si>
  <si>
    <t>Post Locking</t>
  </si>
  <si>
    <t>The other is optimistic locking, in which a user is permitted to edit an object while waiting for the requested lock. If the locking request is indeed successful, the user is able to continue editing the object. If the locking request finally fails, the user is not allowed to continue editing this object, and what this user has done during waiting for the lock will be undone.</t>
  </si>
  <si>
    <t>Post-editing-locking</t>
  </si>
  <si>
    <t>Within the schemes, users need not issue a lock request before editing an object. Instead, locking will automatically be enforced by the system only when two or more concurrent operations target a same object, leading to a conflict. It can be solved by a voting procedure and a group intention.</t>
  </si>
  <si>
    <t>Any object-based cooperative editors</t>
  </si>
  <si>
    <t>Formalisation + Diagram Predicate
Framework (DPF)</t>
  </si>
  <si>
    <t>DPF is a diagrammatic specification formalism that takes its main ideas fromgraph theory, category theory and first-order logic (FOL)</t>
  </si>
  <si>
    <t>Formalism + Graph transformation + Critical pair analysis</t>
  </si>
  <si>
    <t>A critical pair formalises the idea of a minimal example of a potentially conflicting situation. Given two transformations, t1 has an asymmetric conflict with t2 if it can be performed before, but not after t2. If the two transformations disable each other in any order, they have a symmetric conflict.</t>
  </si>
  <si>
    <t>Critical Pair Analysis</t>
  </si>
  <si>
    <t>Define a table of critical refactoring pair and determine which pairs have conflicts</t>
  </si>
  <si>
    <t>Ignoring or detelting some operations or performing manual resolution</t>
  </si>
  <si>
    <t>Type graph</t>
  </si>
  <si>
    <t>They used AGG tool</t>
  </si>
  <si>
    <t>A41</t>
  </si>
  <si>
    <t>Mens et al. (AGG)</t>
  </si>
  <si>
    <t>https://github.com/rwth-acis/syncmeta</t>
  </si>
  <si>
    <t>meta-model based view</t>
  </si>
  <si>
    <t>Near real-time P2P shared edtining framework</t>
  </si>
  <si>
    <t>Feature Reference</t>
  </si>
  <si>
    <t>Semantic View
+
Model Transformation</t>
  </si>
  <si>
    <t>techniques</t>
  </si>
  <si>
    <t>Graph-based comparison</t>
  </si>
  <si>
    <t>Software Architecture Description</t>
  </si>
  <si>
    <t>Formalisation</t>
  </si>
  <si>
    <t>Component properties</t>
  </si>
  <si>
    <t>we have identified two new types of conflicts:
syntactic and structural conflicts named conditional and redirection conflicts. They are due to software architects changes contradiction.</t>
  </si>
  <si>
    <t>SAD</t>
  </si>
  <si>
    <t>Pattern matching</t>
  </si>
  <si>
    <t>an operation pair p and q are in conflict if either of them makes the other inapplicable or if their execution sequences lead to different results</t>
  </si>
  <si>
    <t>Zhang et al.</t>
  </si>
  <si>
    <t>ConMoT</t>
  </si>
  <si>
    <t>A42</t>
  </si>
  <si>
    <t>Presenting merge conflicts in the concrete syntax of the modeling language and present an approach for representing and visualizing merge conflicts for UML models based on UML profiles</t>
  </si>
  <si>
    <t>Conflict Model 
+
UML Profile</t>
  </si>
  <si>
    <t>CSpec Method</t>
  </si>
  <si>
    <t>Crep Method
(Awareness)</t>
  </si>
  <si>
    <t>Eclipse</t>
  </si>
  <si>
    <t>Constraint Violation 
+
Overlapping Change</t>
  </si>
  <si>
    <r>
      <t xml:space="preserve">Their </t>
    </r>
    <r>
      <rPr>
        <b/>
        <sz val="11"/>
        <color theme="1"/>
        <rFont val="Calibri"/>
        <family val="2"/>
        <scheme val="minor"/>
      </rPr>
      <t>design rationale</t>
    </r>
    <r>
      <rPr>
        <sz val="11"/>
        <color theme="1"/>
        <rFont val="Calibri"/>
        <family val="2"/>
        <scheme val="minor"/>
      </rPr>
      <t xml:space="preserve"> for using UML profiles is based on
the following requirements:
User-friendly visualization, Integrated view, Standard-conform UML models, Model-based representation, Non-intrusive editor extensions
Additionally, we want to consider dependencies between conflicts in order to realize an assistant for the conflict resolution process which offers precise suggestions how to resolve the conflicts. By this means, we intend to make conflict resolution easier and safer.</t>
    </r>
  </si>
  <si>
    <t>They summerised conflict detection techniques in three main categories.</t>
  </si>
  <si>
    <t>They defined four different update strategies to detect structural changes in a graph that are of interest for conflicts detection are considered:
Attribute update, Reference update, Role update, Referenced element update</t>
  </si>
  <si>
    <t>UUID
+
Graph-based SDO 
(Service Data Objects)</t>
  </si>
  <si>
    <t>A conflict determined purely upon the comparison of three versions of a model is called syntactic conflict whereas a semantic conflict is a conflict that is detected between model versions which have been transformed in a semantic view</t>
  </si>
  <si>
    <t>It traced back from semantic view to syntactical view to report semantical conflicts to users</t>
  </si>
  <si>
    <t>Syntactical View and Semantic Views
+
Model Transformation</t>
  </si>
  <si>
    <t>They describe a formal approach to constraint-aware
model versioning based on the Diagram Predicate Framework (DPF); i.e., a formal approach to model versioning that handles constraints in model merging, con_x001E_ict detection and conflict resolution.</t>
  </si>
  <si>
    <t>Constraint-aware
+
DPF</t>
  </si>
  <si>
    <t>Conflict Resolution Patterns, which are based on transformation rules.
Also, since atomic constraint is not enough for some cases, they used conjunctively connected sets of atomic constraints by means of specification entailments.</t>
  </si>
  <si>
    <t>Just a claim!</t>
  </si>
  <si>
    <t>A43</t>
  </si>
  <si>
    <t>A44</t>
  </si>
  <si>
    <t>Use Prolog rules</t>
  </si>
  <si>
    <t>The versions are automatically transformed into a set of Prolog facts. Then, each Prolog version is analyzed in order to infer indirect relationships.</t>
  </si>
  <si>
    <t>The Prolog fact of versions are then compared to verify if they are semantically equivalent or if one version semantically contains the other. Then, they compute differents from base version. And finally, a conflict is detected if an element of the model appears simultaneously in the set of additions of the first pair and in the set of deletions of the second pair or vice versa.</t>
  </si>
  <si>
    <t>Use Case diagram</t>
  </si>
  <si>
    <t>Name of elements</t>
  </si>
  <si>
    <t>Papyrus +
Transformation is based on Acceleo +
To perform the second activity, Semantic Enrichment, we adopt the TuProlog library integrated with Java.</t>
  </si>
  <si>
    <t>Costa et al.</t>
  </si>
  <si>
    <t>UUID
+
URI</t>
  </si>
  <si>
    <t>They used RDF graph to describe DPF models. Then, they can check constraints on top of RDF graph to handle conflicts by checkig graph homomorphism</t>
  </si>
  <si>
    <t>Check graph homomorphism</t>
  </si>
  <si>
    <t>Syntactical conflicts by checking the RDF subgraphs against the de_x001C_nitions of graphs and graph homomorphisms
Textual conflicts using isomorphism checks on the patches (a pari set of differences)</t>
  </si>
  <si>
    <t>Tool will flag a conflict and RDF graph would be changes to adjacent nodes and edges.</t>
  </si>
  <si>
    <t>DPF version control based on RDF</t>
  </si>
  <si>
    <t>DPF as RDF</t>
  </si>
  <si>
    <t>Critical Pair Analysis (CPA)</t>
  </si>
  <si>
    <r>
      <t>When
(</t>
    </r>
    <r>
      <rPr>
        <b/>
        <sz val="7"/>
        <rFont val="Arial"/>
        <family val="2"/>
      </rPr>
      <t>During or After the merge process</t>
    </r>
    <r>
      <rPr>
        <b/>
        <sz val="9"/>
        <rFont val="Arial"/>
        <family val="2"/>
      </rPr>
      <t>)</t>
    </r>
  </si>
  <si>
    <t>Check that the conflicting pair can be combined into a single operation or not. If not, the latter (last) operation will
be cancelled</t>
  </si>
  <si>
    <t>A pair of operations that contains a glue element indicates that the operations contain potential conflicts (called the critical pair).</t>
  </si>
  <si>
    <t>as a plugin on the Eclipse Platform</t>
  </si>
  <si>
    <t>Conflicts which are related to sequential and overlapping operations</t>
  </si>
  <si>
    <t>A45</t>
  </si>
  <si>
    <t>Odyssey VCS 2</t>
  </si>
  <si>
    <t>Library</t>
  </si>
  <si>
    <t>Initial studies</t>
  </si>
  <si>
    <t>Primary studies 
(after detailed filtering &amp; snowballing)</t>
  </si>
  <si>
    <t>Potential studies 
(before full text reviewing)</t>
  </si>
  <si>
    <t>Number of Primary Studies</t>
  </si>
  <si>
    <t>Total</t>
  </si>
  <si>
    <t>Publication Type</t>
  </si>
  <si>
    <t>Percentage</t>
  </si>
  <si>
    <t>Quality Result</t>
  </si>
  <si>
    <t>Can be used for any model type</t>
  </si>
  <si>
    <t>Can be used for any model type
Their implementation is built for the popular Generic Modeling Environment (GME)</t>
  </si>
  <si>
    <t>Can be used for any model type
Workable to arbitrary architectural models
as long as they follow a well defined metamodel with explicit constraints, which is today’s norm.</t>
  </si>
  <si>
    <t>Can be used for EMF model</t>
  </si>
  <si>
    <t>A#</t>
  </si>
  <si>
    <t>Model Types</t>
  </si>
  <si>
    <t>ER Model</t>
  </si>
  <si>
    <t>Architectural Model</t>
  </si>
  <si>
    <t>BPMN, Flowchart, …</t>
  </si>
  <si>
    <t>Graph Model, Tree, …</t>
  </si>
  <si>
    <t>Conflict Types</t>
  </si>
  <si>
    <t>Syntactical</t>
  </si>
  <si>
    <t>Structural (Composite)</t>
  </si>
  <si>
    <t>Semantic Equivalence</t>
  </si>
  <si>
    <t>Supported</t>
  </si>
  <si>
    <t>Method</t>
  </si>
  <si>
    <t>Versioning Approach</t>
  </si>
  <si>
    <t>Comparison Technique
(Change Tracking)</t>
  </si>
  <si>
    <t>N.A.</t>
  </si>
  <si>
    <t>Change-based (compound change operations)
They introduce the notion of syntactic and semantic conflicts for change operations of process models. We provide a method how to efficiently compute conflicts precisely, using a term formalization of processmodels and consider the subsequent resolution of the detected conflicts based on different strategies.</t>
  </si>
  <si>
    <t>State-based to extract Operations and Operation-based
we present a novel search-based automated model merge approach where rule-based design space exploration is used to search the space of solution candidates that represent conflict-free merged models. The merge process automatically calculates multiple merge candidates to be presented to domain experts for final selection.
serach-based merge technique uses guided rule-based design space exploration (DSE) for merging models</t>
  </si>
  <si>
    <t>UUID or ID</t>
  </si>
  <si>
    <t>Name</t>
  </si>
  <si>
    <t>Graph-based matching</t>
  </si>
  <si>
    <t>Other Similarity criteria</t>
  </si>
  <si>
    <t>Mapping funciton</t>
  </si>
  <si>
    <t>Real-time synchronization, 
Two-way (Global Engine and Head-and-Local Engine)
The key to proactive conflict detection is to continuously speculate and simulate architects’ synchronization actions (commits and merges), perform design analyses in the background, and have the analysis results available to the architects preferably before the need for those analyses arises.
Two merging strategies: Global Engine and Head-and-Local Engine</t>
  </si>
  <si>
    <t>Two-way (Global Engine and Head-and-Local Engine)
They report a design-level proactive conflict detection research, which specifically targets a class of higherorder conflicts that do not prevent merging but do violate a system’s consistency rule.
PCD is used to perform conflict detection at the rate of each individual modeling change if necessary</t>
  </si>
  <si>
    <t>Real-time synchronization, 
Two-way (Global Engine and Head-and-Local Engine)
FLAME, the Framework for Logging and Analyzing Modeling Events.
FLAME’s version control, in effect, combines two approaches to collaborative editing: real-time operation-based group editing  that continuously handles fine-grained conflicts; and traditional version control that supports individual editing workspaces and subsequent, coarse-grained merging.</t>
  </si>
  <si>
    <t>N-way (Show by Three-way Example)
State-based to extract Operations and Operation-based
They attempt to maximize consistency in the merged model while preserving as many changes made by modelers as possible.</t>
  </si>
  <si>
    <t>Three-way (N-way)</t>
  </si>
  <si>
    <t>Conflict Specification</t>
  </si>
  <si>
    <t>Conflict Preservation</t>
  </si>
  <si>
    <t>When</t>
  </si>
  <si>
    <t>Conflict Tolerant</t>
  </si>
  <si>
    <t>Tool Support</t>
  </si>
  <si>
    <t>Web broswer</t>
  </si>
  <si>
    <t>Project Type</t>
  </si>
  <si>
    <t>No Support</t>
  </si>
  <si>
    <t>Automatic (for soft), Manual (for hard)
Four conflict resolution strategies suggested: Combine, Apply One, Apply Specific changes, and User Decides</t>
  </si>
  <si>
    <t>Semi-automatic (State Space Search) + Incremental Search Space Exploration (repair plan)
Each state in the search space represents a (merged) model. The initial state represents the initial merged model. In a goal state, the merged model is consistent. In order to reach a goal state, the search may have to go through a number of intermediate states in which the model may contain some inconsistencies. A state transition represents the simulated application of certain changes to the model in an attempt to repair the chosen inconsistency.</t>
  </si>
  <si>
    <t>Semi-automatic (Rationale Management Models)
For conflict resolution we propose an integration of SCM with techniques from Rational Management to effectively resolve conflicts.
work with issues that describe a question or problem that needs to be solved.
The user can either accept one or the other operation or ignore the conflict.</t>
  </si>
  <si>
    <t>Semi-automatic, Repair Tree, Propose a set of options to the user
They formalize constraints, and each constraint is written for a context element (like OCL).
If the validated result is contrary to the expected result, an inconsistency is detected and resolutions can be found tracing back the validation tree.  In this way, a repair tree for solving the inconsistency is built.</t>
  </si>
  <si>
    <t>Pattern</t>
  </si>
  <si>
    <t>EVL and EPL (Conflict Pattern)</t>
  </si>
  <si>
    <r>
      <t xml:space="preserve">They define a </t>
    </r>
    <r>
      <rPr>
        <b/>
        <sz val="10"/>
        <color theme="1"/>
        <rFont val="Calibri"/>
        <family val="2"/>
        <scheme val="minor"/>
      </rPr>
      <t>model pattern</t>
    </r>
    <r>
      <rPr>
        <sz val="10"/>
        <color theme="1"/>
        <rFont val="Calibri"/>
        <family val="2"/>
        <scheme val="minor"/>
      </rPr>
      <t xml:space="preserve"> as a graph of object nodes, their properties and associations. Pattern provides a means to specify conflict contexts. It is specified in terms of a meta-model and define a test path for valid changes.</t>
    </r>
  </si>
  <si>
    <t>Conflict Model</t>
  </si>
  <si>
    <t>Check precedence relation between two conflictual operations, and providing Undo &amp; Redo
They used Consistency Algorithm to share and execute operations in other versions, which is able to undo and redo locally executed operations.</t>
  </si>
  <si>
    <t>Check precedence relation</t>
  </si>
  <si>
    <t>Apply changes to merged based on the diff hierachy
They generate a diff model for user changes, which is based on the pattern graph. Then, they apply (copy or delete) all diff hierachy as merge. 
A diff display only shows changed parts in this hierarchical context. The  diff is being computed between two branch versions whose parent version is available</t>
  </si>
  <si>
    <t>conflict-free merge Algorithm</t>
  </si>
  <si>
    <t>Conflict-free merge Algorithm</t>
  </si>
  <si>
    <t>Highlight</t>
  </si>
  <si>
    <t>Show Conflict Diagram View to the user</t>
  </si>
  <si>
    <t>Conflict Flag</t>
  </si>
  <si>
    <t>PCD notificatin</t>
  </si>
  <si>
    <t>Constraint Violation</t>
  </si>
  <si>
    <t>Check condition</t>
  </si>
  <si>
    <t>Check conflict condition</t>
  </si>
  <si>
    <t>Check condition + Semantic view
OCL expression
+
Create sematic views from model (create semantic metamodel for each specific metamodel)</t>
  </si>
  <si>
    <t>Check condition + Semantic view + Conflict By Example
For conflict detection between model artifacts we can utilize some of those techniques e.g., by using a dependency graph as a view definition metamodel and a model transformation, which defines the model slices to be transformed.</t>
  </si>
  <si>
    <t>Check conflict rule by Prolog</t>
  </si>
  <si>
    <t>Check different semantic views</t>
  </si>
  <si>
    <t>Check Conflict pattern</t>
  </si>
  <si>
    <t>Structural&gt; conflicting relation
Syntactical&gt; metamodel adaption as precondition violation
Semantic&gt; OCL constraints violation
Conflicting relation &amp; OCL constraints violation</t>
  </si>
  <si>
    <t>Search for Equal operators</t>
  </si>
  <si>
    <t>Incremental Inconsistency Checker
It identifies model elements that are changed and that affect the truth values of consistency constraint instances. Such elements form the scope of a constraint instance, which is established by automatically observing which model elements are accessed during the evaluation of consistency constraints.
As a result, changes made to a model only trigger re-evaluations of the affected constraint instances, rather than all the constraint instances.</t>
  </si>
  <si>
    <t>Decision Tabel + Conflict Matrix + before predicate
The order of element changes, and the conflicts between them are identified with the before(a, b) predicate where operation a must come before operation b. A conflict exists if before(a, b) = before(b, a) = true.</t>
  </si>
  <si>
    <t>Decision making</t>
  </si>
  <si>
    <t>Constraint Violation 
+
Contradicting changes</t>
  </si>
  <si>
    <t>Topological Sorting Strategy</t>
  </si>
  <si>
    <t>Minimal rules contain the proper atomic actions on graphs with minimal for operation-based. To detect operation-based conflicts, they check the critical pairs for parallel dependent transformations.
Detection of state-based conflicts is done by constraint checking.
Minimal DPO rule + AGG analyziz + Constraint Violation</t>
  </si>
  <si>
    <t>AGG analysis
&amp;
Constraint Violation</t>
  </si>
  <si>
    <t>delete–use, update-update, insert-insert, delete-update, delete-move, move-move 
Minimal DPO rule + AGG analysis &amp; Constraint checking</t>
  </si>
  <si>
    <t>To avoid these false-positive conflicts, we check whether the corresponding elements within the two fragments lead to equivalent traces.
Conflict matrix and fixpoints</t>
  </si>
  <si>
    <t>Conflict Matrix</t>
  </si>
  <si>
    <t>line-based checking of XMI model, based on the UUID of elements
Wrong match</t>
  </si>
  <si>
    <t>Find lost update
By applying delta operations, they identify the following cases that cause lost update.
-Lost node content change
-Lost link creation
-Lost link order change
Use some if and else conditions</t>
  </si>
  <si>
    <r>
      <t xml:space="preserve">Requires and Conflicting relations
They flag two operations as conflicting if they change the same values in the same attribute of the same model element to a different result.
We need two relations </t>
    </r>
    <r>
      <rPr>
        <i/>
        <sz val="10"/>
        <color theme="1"/>
        <rFont val="Calibri"/>
        <family val="2"/>
        <scheme val="minor"/>
      </rPr>
      <t>conflicts</t>
    </r>
    <r>
      <rPr>
        <sz val="10"/>
        <color theme="1"/>
        <rFont val="Calibri"/>
        <family val="2"/>
        <scheme val="minor"/>
      </rPr>
      <t xml:space="preserve"> and </t>
    </r>
    <r>
      <rPr>
        <i/>
        <sz val="10"/>
        <color theme="1"/>
        <rFont val="Calibri"/>
        <family val="2"/>
        <scheme val="minor"/>
      </rPr>
      <t>requires</t>
    </r>
    <r>
      <rPr>
        <sz val="10"/>
        <color theme="1"/>
        <rFont val="Calibri"/>
        <family val="2"/>
        <scheme val="minor"/>
      </rPr>
      <t>. The conflicts relation defines when two operations are conflicting according to our definition of a conflict. The second relation determines whether one operation can not be applied without the other.
These two relations can define a conflict detection strategy in a strategy pattern.</t>
    </r>
  </si>
  <si>
    <t>Using DPF, they define a rule to detecte conflict based on different combination of operations
Formal rules</t>
  </si>
  <si>
    <t>A conflict detection rule consists of a non-deleting transformation rule
Constraint-aware Transformation Rules</t>
  </si>
  <si>
    <t>Matching Criteria</t>
  </si>
  <si>
    <t xml:space="preserve"> </t>
  </si>
  <si>
    <r>
      <rPr>
        <b/>
        <sz val="11"/>
        <color theme="1"/>
        <rFont val="Calibri"/>
        <family val="2"/>
        <scheme val="minor"/>
      </rPr>
      <t>Signature-based</t>
    </r>
    <r>
      <rPr>
        <sz val="11"/>
        <color theme="1"/>
        <rFont val="Calibri"/>
        <family val="2"/>
        <scheme val="minor"/>
      </rPr>
      <t xml:space="preserve"> =&gt; The identity of each model element is not static, but instead it is signature calculated dynamically from the values of its features by means of a user-defined function specified using a model querying language</t>
    </r>
  </si>
  <si>
    <r>
      <rPr>
        <b/>
        <sz val="11"/>
        <color theme="1"/>
        <rFont val="Calibri"/>
        <family val="2"/>
        <scheme val="minor"/>
      </rPr>
      <t>Identity-based</t>
    </r>
    <r>
      <rPr>
        <sz val="11"/>
        <color theme="1"/>
        <rFont val="Calibri"/>
        <family val="2"/>
        <scheme val="minor"/>
      </rPr>
      <t xml:space="preserve"> =&gt; Each model element has a persistent and non-volatile unique identifier that is assigned to it upon creation.</t>
    </r>
  </si>
  <si>
    <r>
      <rPr>
        <b/>
        <sz val="11"/>
        <color theme="1"/>
        <rFont val="Calibri"/>
        <family val="2"/>
        <scheme val="minor"/>
      </rPr>
      <t>Similarity-based</t>
    </r>
    <r>
      <rPr>
        <sz val="11"/>
        <color theme="1"/>
        <rFont val="Calibri"/>
        <family val="2"/>
        <scheme val="minor"/>
      </rPr>
      <t xml:space="preserve"> =&gt; treats models as typed attribute graphs and attempts to identify matching elements based on the aggregated similarity of their features.</t>
    </r>
  </si>
  <si>
    <t xml:space="preserve">Language independent </t>
  </si>
  <si>
    <t>Language specific</t>
  </si>
  <si>
    <t>Two-way merging</t>
  </si>
  <si>
    <t>Three-way merging</t>
  </si>
  <si>
    <t>Structural</t>
  </si>
  <si>
    <t>Semantic</t>
  </si>
  <si>
    <t>Unsupported</t>
  </si>
  <si>
    <t>Workflow models</t>
  </si>
  <si>
    <t>Pattern (graph) matching</t>
  </si>
  <si>
    <t>EMF Diff/merge</t>
  </si>
  <si>
    <t>minimize critial pairs</t>
  </si>
  <si>
    <t>NSGA-II + MOPSO (instead of privous work, this was multi objectives)</t>
  </si>
  <si>
    <t>Matching algorithm
+
Sequence matching
+
EMF Compare</t>
  </si>
  <si>
    <t>Heuristic search: Remove critical pair</t>
  </si>
  <si>
    <t>Conflict-free Algorithm</t>
  </si>
  <si>
    <t>Operational Transformation</t>
  </si>
  <si>
    <t>Conflict-free replicated data type that ensures that all modelers’ copies of the shared model are identical
A set of mathematical rules limits the number of possible conflicts on the data and solves such occurrences by natively enforcing a total order on the shared data type. These rules therefore set the same order in which all operations are applied, for each collaborator.</t>
  </si>
  <si>
    <t>Conflict-free replicated data types Algorithm</t>
  </si>
  <si>
    <t>Pattern (or Model)</t>
  </si>
  <si>
    <t>Constraint Violation
+
Check different semantic views</t>
  </si>
  <si>
    <t>Decision making tree</t>
  </si>
  <si>
    <t>Lock-based mechanism</t>
  </si>
  <si>
    <t>Change overlapping</t>
  </si>
  <si>
    <t>Constraint violaiton</t>
  </si>
  <si>
    <t>Formal method (checking)</t>
  </si>
  <si>
    <t>Model Transformation</t>
  </si>
  <si>
    <t>Structrual</t>
  </si>
  <si>
    <t>Pessmistic</t>
  </si>
  <si>
    <t>Identity-based</t>
  </si>
  <si>
    <t>Signeture-based</t>
  </si>
  <si>
    <t>Similarity-based</t>
  </si>
  <si>
    <t>Matching Type</t>
  </si>
  <si>
    <t>N-way Merging</t>
  </si>
  <si>
    <t>Raw-merging</t>
  </si>
  <si>
    <t>Resolution Time</t>
  </si>
  <si>
    <t>First check</t>
  </si>
  <si>
    <t>Update by comments</t>
  </si>
  <si>
    <t>Sencond check</t>
  </si>
  <si>
    <t>Who checked?</t>
  </si>
  <si>
    <t>Bahman</t>
  </si>
  <si>
    <t>Mohammadreza</t>
  </si>
  <si>
    <t>Gerson</t>
  </si>
  <si>
    <t>Operation ordering (sequence refinement)</t>
  </si>
  <si>
    <t>Operation ordering</t>
  </si>
  <si>
    <t>Formal methods</t>
  </si>
  <si>
    <t>A01: DiCoMEF</t>
  </si>
  <si>
    <t>A02: Chong et al.</t>
  </si>
  <si>
    <t>A03: SCM (UniCase+)</t>
  </si>
  <si>
    <t>%</t>
  </si>
  <si>
    <t>Colaboration Type</t>
  </si>
  <si>
    <t>Comparison Technique</t>
  </si>
  <si>
    <t>Curent State</t>
  </si>
  <si>
    <t>#</t>
  </si>
  <si>
    <t>NA</t>
  </si>
  <si>
    <t>A04: FLAM</t>
  </si>
  <si>
    <t>A05: Dam et al.</t>
  </si>
  <si>
    <t>Not supported</t>
  </si>
  <si>
    <t>Conflict Representaiton or Awareness</t>
  </si>
  <si>
    <t>Conflict View + Highlight</t>
  </si>
  <si>
    <t>Three-way + Two-way</t>
  </si>
  <si>
    <t>Formal + pattern</t>
  </si>
  <si>
    <t>Check operation serializations + Compatibility Pattern
Conflict detection is performed to check for conflicts between two operation serializations by following steps:
Pre-Step1. Removing Redundant Primitive Operations
Pre-Step2. Removing Redundant Composite Operations
CD-Step3. operation pairs from two lists should be filtered to detect conflicts
CD-Step4. conflict rules, which determine whether two operations are in conflict, should be defined formally</t>
  </si>
  <si>
    <t>Critical Pair Analysis 
+
Conflict Pattern</t>
  </si>
  <si>
    <t>Similarity(value, type and position)</t>
  </si>
  <si>
    <t>merge issue</t>
  </si>
  <si>
    <t>Two-way (N-way)</t>
  </si>
  <si>
    <t>similarity (OWL Tbox)</t>
  </si>
  <si>
    <t>Inconsistency warning based on the resoaner report</t>
  </si>
  <si>
    <t>They show a inconsistency view and when a developer select an inconsistency item in the upper inconsistency view then all involved model elements will be marked in all other views.</t>
  </si>
  <si>
    <t>Constraint violation + Formal
Translate the model consistent, into a CSP
such that by checking whether the generated CSP has a solution we can conclude if the actions performed by different developers satisfy the constraints.</t>
  </si>
  <si>
    <t>similarity name</t>
  </si>
  <si>
    <t>They annotate conflicts directly in the model</t>
  </si>
  <si>
    <t>To create the merged version, a generalized topological sort (GTS) is performed on the graph gm.
BTMerge supports two-way merging as a special case of three way merging, where the ancestor version is unknown.</t>
  </si>
  <si>
    <t xml:space="preserve">Check conflict pattern for delta model using OCL rules </t>
  </si>
  <si>
    <t>#Removed Papers</t>
  </si>
  <si>
    <t>Research Facet</t>
  </si>
  <si>
    <t>Conflict Awarenees</t>
  </si>
  <si>
    <t>Contribution Facet</t>
  </si>
  <si>
    <t>Solution Proposal</t>
  </si>
  <si>
    <t>Framework</t>
  </si>
  <si>
    <t>Validation Research</t>
  </si>
  <si>
    <t>Evalution Research</t>
  </si>
  <si>
    <t>Method / Approach</t>
  </si>
  <si>
    <t>Model / Framework</t>
  </si>
  <si>
    <t>Algorithm / Process</t>
  </si>
  <si>
    <t>Benchmark / Metric</t>
  </si>
  <si>
    <t>Approach, Tool</t>
  </si>
  <si>
    <t>Process</t>
  </si>
  <si>
    <t>Metric</t>
  </si>
  <si>
    <t>X</t>
  </si>
  <si>
    <t>Size</t>
  </si>
  <si>
    <t>Evaluation Research</t>
  </si>
  <si>
    <t>Framework, Tool</t>
  </si>
  <si>
    <t>Model</t>
  </si>
  <si>
    <t>Model, Tool</t>
  </si>
  <si>
    <t>Framework, Algorithm, Tool, Metric</t>
  </si>
  <si>
    <t>Method, Tool</t>
  </si>
  <si>
    <t>Framework, Approach, Algorithm, Tool, Metric</t>
  </si>
  <si>
    <t>Approach, Benchmark, Tool</t>
  </si>
  <si>
    <t>Approach, Algorithm, Metric, Tool</t>
  </si>
  <si>
    <t>Algorithm, Tool</t>
  </si>
  <si>
    <t>Process, Algorithm, Tool, Benchmark</t>
  </si>
  <si>
    <t>Process, Tool, Metric</t>
  </si>
  <si>
    <t>Approach, Algorithm, Tool</t>
  </si>
  <si>
    <t>Process, Approach</t>
  </si>
  <si>
    <t>Process, Approach, Tool</t>
  </si>
  <si>
    <t>Model, Approach, Tool</t>
  </si>
  <si>
    <t>Approach, Algorithm, Model, Tool</t>
  </si>
  <si>
    <t>Conflict pattern based on a conflict metamodel</t>
  </si>
  <si>
    <t>Model, Approach</t>
  </si>
  <si>
    <t>Famework, Tool</t>
  </si>
  <si>
    <t>Approach, Algorithm</t>
  </si>
  <si>
    <t>Method, Model, Tool</t>
  </si>
  <si>
    <t>Vote notification!</t>
  </si>
  <si>
    <t>UID</t>
  </si>
  <si>
    <t>Process, Method, Tool</t>
  </si>
  <si>
    <t>Process, Method</t>
  </si>
  <si>
    <t>conflict report</t>
  </si>
  <si>
    <t>Approach, Algorithm, Tool, Metric</t>
  </si>
  <si>
    <t>An algorithm for detect conflict and resolve them based on the selection change that it should be applied on updated version</t>
  </si>
  <si>
    <t>They only show a list of conflicts in other window as conflict view!</t>
  </si>
  <si>
    <t>Framework, Method</t>
  </si>
  <si>
    <t>A46</t>
  </si>
  <si>
    <t>Preference-based Conflict Resolution for Collaborative Configuration of Product Lines</t>
  </si>
  <si>
    <t>Conflict Resolution in Process Models Merging</t>
  </si>
  <si>
    <t>Layout Merging with Relative Positioning</t>
  </si>
  <si>
    <t>https://dl.acm.org/doi/abs/10.1145/3419804.3420271</t>
  </si>
  <si>
    <t>Hyacinth Ali</t>
  </si>
  <si>
    <t>Gunter Mussbacher</t>
  </si>
  <si>
    <t>Asma Hachemi</t>
  </si>
  <si>
    <t>CoMeSySo</t>
  </si>
  <si>
    <t>ENASE</t>
  </si>
  <si>
    <t>Proceedings of the 15th International Conference on Evaluation of Novel Approaches to Software Engineering</t>
  </si>
  <si>
    <t>Sabrine Edded</t>
  </si>
  <si>
    <t>Sihem Ben Sassi</t>
  </si>
  <si>
    <t>Raul Mazo</t>
  </si>
  <si>
    <t>Camille Salinesi</t>
  </si>
  <si>
    <t>Henda Ben Ghezala</t>
  </si>
  <si>
    <t>Proceedings of the Computational Methods in Systems and Software</t>
  </si>
  <si>
    <t>https://doi.org/10.1007/978-3-030-63322-6_27</t>
  </si>
  <si>
    <t>What causes merge conflicts?</t>
  </si>
  <si>
    <t>SBES</t>
  </si>
  <si>
    <t>https://doi.org/10.1145/3422392.3422440</t>
  </si>
  <si>
    <t>BES '20: Proceedings of the 34th Brazilian Symposium on Software Engineering</t>
  </si>
  <si>
    <t>José William Menezes</t>
  </si>
  <si>
    <t>Bruno Trindade</t>
  </si>
  <si>
    <t>João Felipe Pimentel</t>
  </si>
  <si>
    <t>Tayane Moura</t>
  </si>
  <si>
    <t>Alexandre Plastino</t>
  </si>
  <si>
    <t>Catarina Costa</t>
  </si>
  <si>
    <t>A search-based and fault-tolerant approach to concurrent model synchronisation</t>
  </si>
  <si>
    <t xml:space="preserve"> Proceedings of the 13th ACM SIGPLAN International Conference on Software Language Engineering</t>
  </si>
  <si>
    <t>https://doi.org/10.1145/3426425.3426932</t>
  </si>
  <si>
    <t>Nils  Weidmann</t>
  </si>
  <si>
    <t>TGG+ILP</t>
  </si>
  <si>
    <t>Lars Fritsche</t>
  </si>
  <si>
    <t>Anthony  Anjorin</t>
  </si>
  <si>
    <t>Towards access control for collaborative modelling apps</t>
  </si>
  <si>
    <t>https://doi.org/10.1145/3417990.3420201</t>
  </si>
  <si>
    <t>Proceedings of the 23rd ACM/IEEE International Conference on Model Driven Engineering Languages and Systems: Companion Proceedings</t>
  </si>
  <si>
    <t>Léa Brunschwig</t>
  </si>
  <si>
    <t>Juan  de Lara</t>
  </si>
  <si>
    <t>LowCodes (MODELS)</t>
  </si>
  <si>
    <t>Detecting inconsistencies in annotated product line models</t>
  </si>
  <si>
    <t>Proceedings of the 24th ACM Conference on Systems and Software Product Line</t>
  </si>
  <si>
    <t>https://doi.org/10.1145/3382025.3414969</t>
  </si>
  <si>
    <t>Damir  Bilic</t>
  </si>
  <si>
    <t>Jan Carlson</t>
  </si>
  <si>
    <t>Daniel  Sundmark</t>
  </si>
  <si>
    <t>Wasif  Afzal</t>
  </si>
  <si>
    <t>Peter  Wallin</t>
  </si>
  <si>
    <t>Consistency-preserving evolution planning on feature models</t>
  </si>
  <si>
    <t>https://doi.org/10.1145/3382025.3414964</t>
  </si>
  <si>
    <t>Adrian  Hoff</t>
  </si>
  <si>
    <t>Michael Nieke</t>
  </si>
  <si>
    <t>Christoph  Seidl</t>
  </si>
  <si>
    <t>Eirik Halvard Sæther</t>
  </si>
  <si>
    <t>Ida Sandberg Motzfeldt</t>
  </si>
  <si>
    <t>Crystal Chang Din</t>
  </si>
  <si>
    <t>Ingridchieh  Yu</t>
  </si>
  <si>
    <t>Ina  Schaefer</t>
  </si>
  <si>
    <t>https://www.insticc.org/node/TechnicalProgram/enase/2020/presentationDetails/93461</t>
  </si>
  <si>
    <t>A47</t>
  </si>
  <si>
    <t>A48</t>
  </si>
  <si>
    <t>A49</t>
  </si>
  <si>
    <t>Process Model</t>
  </si>
  <si>
    <t>MODELS-C</t>
  </si>
  <si>
    <t>Proprietary</t>
  </si>
  <si>
    <t>Framework, Approach, Tool</t>
  </si>
  <si>
    <t>based on type discrimination
Define conflict view and check view conditions! Then apply some changes based on the well formedness properties, but user can add manually some label and changes.</t>
  </si>
  <si>
    <t>https://doi.org/10.1007/s10270-012-0279-3</t>
  </si>
  <si>
    <t>Jahed et al.</t>
  </si>
  <si>
    <t>file-level modularity</t>
  </si>
  <si>
    <t>Plugin based on Papyrus RT</t>
  </si>
  <si>
    <t>a very fine grained decomposition that stores each major element of the model as a separate file is impractical, but will offer the least probability of merge conflicts.</t>
  </si>
  <si>
    <t>Choice and Control merging conflict</t>
  </si>
  <si>
    <t>They define three possible senarios of control conflict!</t>
  </si>
  <si>
    <t>Hachemi &amp; Nacer</t>
  </si>
  <si>
    <t>Control conflict</t>
  </si>
  <si>
    <t>by allowing stakeholders to express preferences through a set of subsitution rules and then deleting the minimal set of conflicting configuration decisions according to these preferences</t>
  </si>
  <si>
    <t>Stakeholders preference-based</t>
  </si>
  <si>
    <t>Same Name</t>
  </si>
  <si>
    <t>Product manager interface</t>
  </si>
  <si>
    <t>Colla-Config</t>
  </si>
  <si>
    <t>#Approach</t>
  </si>
  <si>
    <t>Near real-time synchronization of remote edits + log of all changes + Highlight them</t>
  </si>
  <si>
    <t>Framework, Algorithm, Tool</t>
  </si>
  <si>
    <t xml:space="preserve">Activity Weidget </t>
  </si>
  <si>
    <t>CRDTs</t>
  </si>
  <si>
    <t>If a conflict is detected, the corresponding command is flagged for rollback and returned to its sender.</t>
  </si>
  <si>
    <t>Using rollback, undo, and redo functionalities.
The client then inverts the modification encoded by the command and applies it to revert the conflicting change.</t>
  </si>
  <si>
    <t>Conflict report for resolutions phase</t>
  </si>
  <si>
    <t>They start merging process by detection of operations based on a state-based matching</t>
  </si>
  <si>
    <t>Not Supported</t>
  </si>
  <si>
    <t>Not Applicable</t>
  </si>
  <si>
    <t>Maturity Level of Tool</t>
  </si>
  <si>
    <t>F11</t>
  </si>
  <si>
    <t>Lesson Learned</t>
  </si>
  <si>
    <t>Future Direction</t>
  </si>
  <si>
    <t>Potential Opportunity</t>
  </si>
  <si>
    <t>Trend</t>
  </si>
  <si>
    <t>% in All</t>
  </si>
  <si>
    <t>% after 2015</t>
  </si>
  <si>
    <t>% of Proposals</t>
  </si>
  <si>
    <t>Excellent (&gt; 60%)</t>
  </si>
  <si>
    <t>Low (&lt; 30%)</t>
  </si>
  <si>
    <t>Shortcoming</t>
  </si>
  <si>
    <t>Lower than 20% (conditional)</t>
  </si>
  <si>
    <t>Potential</t>
  </si>
  <si>
    <t>Very conditional (&gt; 34%)</t>
  </si>
  <si>
    <t>Not supported Greater than 40%</t>
  </si>
  <si>
    <t>General Approach</t>
  </si>
  <si>
    <t>implementation to validate theoretical concepts</t>
  </si>
  <si>
    <t>Not Mentioned</t>
  </si>
  <si>
    <t>Implementation</t>
  </si>
  <si>
    <r>
      <t xml:space="preserve">The commmunication framework of DiCoMEF is organized around the </t>
    </r>
    <r>
      <rPr>
        <b/>
        <sz val="10"/>
        <color theme="1"/>
        <rFont val="Calibri"/>
        <family val="2"/>
        <scheme val="minor"/>
      </rPr>
      <t>controller that acts as a central</t>
    </r>
    <r>
      <rPr>
        <sz val="10"/>
        <color theme="1"/>
        <rFont val="Calibri"/>
        <family val="2"/>
        <scheme val="minor"/>
      </rPr>
      <t xml:space="preserve"> hub
Although using a controller to manage collaborative modeling may limit the </t>
    </r>
    <r>
      <rPr>
        <b/>
        <sz val="10"/>
        <color theme="1"/>
        <rFont val="Calibri"/>
        <family val="2"/>
        <scheme val="minor"/>
      </rPr>
      <t>scalability</t>
    </r>
  </si>
  <si>
    <r>
      <t xml:space="preserve">Although the result of this work is fully operational, the </t>
    </r>
    <r>
      <rPr>
        <b/>
        <sz val="10"/>
        <color theme="1"/>
        <rFont val="Calibri"/>
        <family val="2"/>
        <scheme val="minor"/>
      </rPr>
      <t>reconciliation process could take place in the concrete syntax editors</t>
    </r>
    <r>
      <rPr>
        <sz val="10"/>
        <color theme="1"/>
        <rFont val="Calibri"/>
        <family val="2"/>
        <scheme val="minor"/>
      </rPr>
      <t xml:space="preserve"> and metamodel </t>
    </r>
    <r>
      <rPr>
        <b/>
        <sz val="10"/>
        <color theme="1"/>
        <rFont val="Calibri"/>
        <family val="2"/>
        <scheme val="minor"/>
      </rPr>
      <t>semantics (i.e. OCL rules for instance) should be tackled</t>
    </r>
    <r>
      <rPr>
        <sz val="10"/>
        <color theme="1"/>
        <rFont val="Calibri"/>
        <family val="2"/>
        <scheme val="minor"/>
      </rPr>
      <t xml:space="preserve"> in a future work. More advanced collaborative workflows should be also investigated and be defined on top of DiCoMEF.</t>
    </r>
  </si>
  <si>
    <t>Two-way merging is not suitable for collaborative modeling because it cannot correctly identify a deleted model element from a newly created once. Besides, it has limitations to identify concurrently modified model elements</t>
  </si>
  <si>
    <r>
      <t xml:space="preserve">The </t>
    </r>
    <r>
      <rPr>
        <b/>
        <sz val="10"/>
        <color theme="1"/>
        <rFont val="Calibri"/>
        <family val="2"/>
        <scheme val="minor"/>
      </rPr>
      <t>controller role</t>
    </r>
    <r>
      <rPr>
        <sz val="10"/>
        <color theme="1"/>
        <rFont val="Calibri"/>
        <family val="2"/>
        <scheme val="minor"/>
      </rPr>
      <t xml:space="preserve"> was played by A. Koshima, but his task was limited to add students in groups to allow them to send later the base version of Petri net meta-model along with the history to each new member.
The </t>
    </r>
    <r>
      <rPr>
        <b/>
        <sz val="10"/>
        <color theme="1"/>
        <rFont val="Calibri"/>
        <family val="2"/>
        <scheme val="minor"/>
      </rPr>
      <t>usability aspect</t>
    </r>
    <r>
      <rPr>
        <sz val="10"/>
        <color theme="1"/>
        <rFont val="Calibri"/>
        <family val="2"/>
        <scheme val="minor"/>
      </rPr>
      <t xml:space="preserve"> should be improved, specifically, the workflow should incorporate default activities to reduce the number of steps required to send change requests and to propagate changes. Email based communication is not convenient for exchanging large files. It is </t>
    </r>
    <r>
      <rPr>
        <b/>
        <sz val="10"/>
        <color theme="1"/>
        <rFont val="Calibri"/>
        <family val="2"/>
        <scheme val="minor"/>
      </rPr>
      <t>not enough integrated with the Eclipse Graphical Model Editing</t>
    </r>
    <r>
      <rPr>
        <sz val="10"/>
        <color theme="1"/>
        <rFont val="Calibri"/>
        <family val="2"/>
        <scheme val="minor"/>
      </rPr>
      <t xml:space="preserve"> framework.</t>
    </r>
  </si>
  <si>
    <t>Framework, Tool, Metric</t>
  </si>
  <si>
    <t>we will provide a full support for collaborative modeling of instance models. Additionally, the reconciliation process could take place in the concrete syntax editors and meta-model semantics (i.e. OCL rules for instance) and should be tackled in the future work that will follow. More advanced collaborative workflows should also be investigated and be defined on top of DiCoMEF. Furthermore, we will continue to conduct more experiments and evaluations.</t>
  </si>
  <si>
    <t>We will formally prove the correctness of our approach in future work.</t>
  </si>
  <si>
    <t>Conduct Validation</t>
  </si>
  <si>
    <t>There is not much support for building such a system (issue-based collaobration) in terms of previous experience and frameworks.</t>
  </si>
  <si>
    <t>We hope to get the issue-based merging into use before the end of the project</t>
  </si>
  <si>
    <t>The study shows that developers like to discuss conflicts in a considerable percentage of conflicts. Furthermore, we derived with statistical significance the fact that developers discuss conflicts more often if they would like to reject a change of another developer or to postpone the decision.</t>
  </si>
  <si>
    <t>Developers like to discuss conflicts to reject a change or postpone the decision</t>
  </si>
  <si>
    <r>
      <t xml:space="preserve">The design tasks assigned to the participants were not from an </t>
    </r>
    <r>
      <rPr>
        <b/>
        <sz val="10"/>
        <color theme="1"/>
        <rFont val="Calibri"/>
        <family val="2"/>
        <scheme val="minor"/>
      </rPr>
      <t>actual project</t>
    </r>
    <r>
      <rPr>
        <sz val="10"/>
        <color theme="1"/>
        <rFont val="Calibri"/>
        <family val="2"/>
        <scheme val="minor"/>
      </rPr>
      <t xml:space="preserve">.
We have not conducted a full-fledged scalability evaluation of FLAME. </t>
    </r>
  </si>
  <si>
    <r>
      <t>We also believe the</t>
    </r>
    <r>
      <rPr>
        <b/>
        <sz val="10"/>
        <color theme="1"/>
        <rFont val="Calibri"/>
        <family val="2"/>
        <scheme val="minor"/>
      </rPr>
      <t xml:space="preserve"> higher-order conflicts may persist even longer in design sessions of longer duration</t>
    </r>
    <r>
      <rPr>
        <sz val="10"/>
        <color theme="1"/>
        <rFont val="Calibri"/>
        <family val="2"/>
        <scheme val="minor"/>
      </rPr>
      <t>, which would only increase the benefit of detecting them early.
We believe the bottleneck in conflict detection could be mitigated by involving additional, remote nodes dedicated to perform conflict detection, further offloading the burden of the detection from the Detection Engines to those nodes.</t>
    </r>
  </si>
  <si>
    <t xml:space="preserve"> Higher-order conflicts may persist even longer in design sessions of longer duration
The bottleneck in conflict detection could be mitigated by involving additional, remote nodes dedicated to perform conflict detection</t>
  </si>
  <si>
    <t>Our experiments used a single design environment and a small number of consistency analyses, while a real-world setting may include many environments and analyses.</t>
  </si>
  <si>
    <t>The 30-minute design session length hides long-surviving conflicts. However, this means that our measurements of the conflict lifetime are conservative underestimates, and the actual benefit of PCD may be greater than demonstrated.</t>
  </si>
  <si>
    <t>Long-surviving conflicts could be hided in short design session</t>
  </si>
  <si>
    <t>improving the conflict notification interfaces to provide better awareness without distraction, and automatically developing conflict resolutions and effectively recommending them to the architects.</t>
  </si>
  <si>
    <t>Behavioral</t>
  </si>
  <si>
    <t>Static</t>
  </si>
  <si>
    <t>Equivalence</t>
  </si>
  <si>
    <t>Scholar Citation</t>
  </si>
  <si>
    <t>SCP</t>
  </si>
  <si>
    <t>we will evaluate our approach with real model versions from a variety of domains
we will perform an evaluation of our tool with human users to fully assess its effectiveness and usability.</t>
  </si>
  <si>
    <t>how our approach can be applied to other areas related to model merging.
Apply our approach to merging between design models and source code
support selective undoing of changes in a model where the designer decides which model elements to undo and our approach automatically suggests related changes that should also be rolled back.</t>
  </si>
  <si>
    <t>we plan to improve our model merge technique by further search strategies to better exploit the dependencies between rules and constraints and compare it with other search-based merge techniques.
Currently, we are conducting an experimental user evaluation to compare the usability of the presented DSE Merge tool with EMF-Compare and Diff/Merge.</t>
  </si>
  <si>
    <t>manually defining complex properties using graph patterns can be a demanding task.
when the lock management service has to decide between accepting and rejecting a lock
request, it is not possible to tell whether the owners of other locks would likely attempt any operations in the future that would violate this lock if granted.</t>
  </si>
  <si>
    <t>we plan to extend our evaluation with respect to underlocking and investigate the use of incremental pattern matchers to support on-line collaboration where the collaborators work with short transactions of modifications and the response time needs to be immediate.</t>
  </si>
  <si>
    <t>we would like to validate our approach also for other behavioral models such as statecharts where compound change operations need to be designed and then analyzed for conflicts and dependencies in a similar way. Another area of future work is to take into account the semantics of process models in order to be able to identify those syntactic conflicts which do not represent a semantic conflict.
we recompute conflicts after each conflict resolution. Optimizations of this procedure where recomputation of conflicts is restricted to certain subsequences is left for futurework.</t>
  </si>
  <si>
    <t>The validation of our approach by integrating the semantic conflict detection between change operations into our existing tool support for model merging, is subject to future work.</t>
  </si>
  <si>
    <t>We have identified shortcomings of existing
approaches that rely on a purely syntactic comparison and potentially result in false-positive conflicts. To overcome these shortcomings, we have introduced a notion of syntactic and semantic conflicts.</t>
  </si>
  <si>
    <t>Existing
approaches rely on a purely syntactic comparison and potentially result in false-positive conflicts</t>
  </si>
  <si>
    <t>Our initial results have shown that taking the semantics of process modeling languages into account helps to compute precise conflicts and avoids false-positive conflicts.</t>
  </si>
  <si>
    <t>Taking the semantics of process modeling helps to compute precise conflicts and avoid false-positive conlicts</t>
  </si>
  <si>
    <t>The validation of our approach by integrating the semantic conflict detection between change operations into our existing tool support for model merging is subject to future work.</t>
  </si>
  <si>
    <t>The generation of  an OWL  representation  from a  (meta-) model will be refined to cover the whole ECore meta-meta-model.   Furthermore,   other   representation approaches especially for CWA modeling [13] should be evaluated for a semantically precise representation of models.</t>
  </si>
  <si>
    <t>The tree views have to be replaced by graphical model views and the list of technical inconsistency descriptions must be translated in a more human readable text items.</t>
  </si>
  <si>
    <t>In future work, it can be directly adopted by operation-based merging algorithms as e.g. presented by Lippe et al. [27].</t>
  </si>
  <si>
    <t>Extending consistency check: We consider extending our conflict detection mechanism to ensure that the merge result is consistent as regards these constraints.
Not all conflicts can be automatically resolved by programs. Developers may require the ability to visualize them for reflecting on what to do. we would like to study about how to provide a more user-friendly interface for supporting conflict resolution. This interface should be adaptable to different model notations.</t>
  </si>
  <si>
    <t>To generate code-centric constraints which can be used for several conflict detection approaches. Furthermore, we will extend our approach to support the conflict resolution process. We also plan to apply our approach to other Ecore based modeling languages.</t>
  </si>
  <si>
    <t>normalization only supports Ecore and
Fujaba models; the change application panel is crude, and batch mode reports rudimentary; the decision tables are still being refined with new rules, conditions, and actions as situations are discovered; and the sometimes subtle interaction
of rules points to a need for tool support, or the use of a rule engine like the EML.</t>
  </si>
  <si>
    <t>improve it</t>
  </si>
  <si>
    <t>we plan to implement and validate our tool and to imporve it.</t>
  </si>
  <si>
    <t>actual case studies. Controlled experiments with master</t>
  </si>
  <si>
    <t>students and practitioners will be also conducted.</t>
  </si>
  <si>
    <t>further investigate the effectiveness of our approach using actual case studies. Controlled experiments with master students and practitioners will be also conducted.</t>
  </si>
  <si>
    <t>empirical evaluation and validation of the tool.</t>
  </si>
  <si>
    <t>The ability to draw diagrams very quickly
is hindered when using input devices such as mouse or keyboards.
Limitation of this study is the lack of rigorous empirical evaluation and validation of the tool.</t>
  </si>
  <si>
    <t>When the design of individual software components and subcomponents is assigned to remote teams, they should adhere to the constraints and interfaces specified in the software architecture.
extending CAMEL with voting mechanisms that emphasize anonymity and assist participants in the selection of competing solutions using decision making.
Future research could explore the integration of lightweight communication mediums with the recorded sessions that CAMEL creates.</t>
  </si>
  <si>
    <t>we plan to investigate an empirical study to compare with other search-based algorithms. More generally, we plan to extend this work by fixing detected conflicts since this work focus only on minimizing the number of disabled operations.</t>
  </si>
  <si>
    <t>the comparison of the performance of NSGA-II to other multi-objective algorithms is limited to MOPSO. Further empirical studies are required to deeply evaluate the performance of NSGA-II using the same problem formulation.</t>
  </si>
  <si>
    <t>we are working now on larger models and with larger lists of operations applied in parallel.
We will be extending our evaluation on different industrial automotive projects in collaboration with several team managers.
we plan to extend this work by fixing detected conflicts and considering additional objectives to optimize during the merging process.</t>
  </si>
  <si>
    <t>we learned that there is only a limited number of reasons why a conflict occurs. On the general layer we distinguish between conflicts due to overlapping changes and
due to violations of given specifications. Orthogonal to this distinction, the other dimension specifies whether language-
specific knowledge or domain knowledge is necessary for the detection of the conflict.</t>
  </si>
  <si>
    <t>They learned what are the reasons of conflict occurances.</t>
  </si>
  <si>
    <t>We will extend the categorization and also investigate in detecting conflicts of behavioral semantics like deadlocks, as well as in detecting interdiagram conflicts.
The automatic evaluation of model versioning tools by using the test set established in Colex.</t>
  </si>
  <si>
    <t>We will extend the scope of these experiments in the context of a broader case study. We plan to conduct an extensive case study in cooperation with our industrial partner SparxSystems.
Furthermore, much emphasis has to be spent on the user interface especially when the models get large. Then specific zooming and advanced filtering mechanism have to be implemented to avoid information overflow of the conflict resolving modeler.</t>
  </si>
  <si>
    <t>we will perform user studies in order to explore the usability of conflict profiled models. With this, we want to empirically measure how our visualization approach influences the conflict resolution process. Furthermore, we will increase the usage of smart filtering techniques to improve the support of huge and intensely modified models. We also plan to apply our approach to other Ecore-based modeling languages.</t>
  </si>
  <si>
    <t>we considered only a restricted, simplified subset of the UML metamodel.
We use the information obtained by the model checker not only to verify the consistency of two diagrams.
For reasons of usability, the representation of conflicts is of paramount importance.
We need more test cases to evaluate our approach.</t>
  </si>
  <si>
    <t>We plan to build an analyzer which is able to deduce constraints from the output of the model checker.
We plan to extend this mechanism to report semantical
problems in the concrete syntax.</t>
  </si>
  <si>
    <t>Ideally the merged version represents a combination of all intentions each developer had in mind when performing their operations.
a combination of syntactic and semantic conflict detection is highly valuable but very challenging to achieve, because currently no commonly agreed formal semantics exists for widespread employed modeling languages, such as UML.</t>
  </si>
  <si>
    <t>Important lessens learned are: (1) stereotype
applications are shown for every model element type in the diagram, (2) powerful filtering techniques are possible and easy to configure by just stating the stereotypes which should be used as filtering criteria, (3) visualization rules for model elements may be defined again based on which stereotype is applied, e.g., the stereotype application can effect the background color of the model element.</t>
  </si>
  <si>
    <t>(1) stereotype
applications are shown for every model element type in the diagram 
(2) powerful filtering techniques are possible and easy to configure by just stating the stereotypes
(3) visualization rules for model elements may be defined again based on which stereotype is applied</t>
  </si>
  <si>
    <t>We plan to conduct extensive user studies where we will compare the user behavior in different merge scenarios where the conflicts are presented in various styles and the conflict resolution is supported at different levels
Therefore, we intend to develop methods in future work for information filtering in order to avoid confusion and disorientation. Additionally, we want to consider dependencies between conflicts in order to realize an assistant for the conflict resolution process which offers precise suggestions how to resolve the conflicts. By this means, we intend to make conflict resolution easier and safer.</t>
  </si>
  <si>
    <t>Real-world case studies would better demonstrate the usefulness and scalability of the approach.
Currently, our implementation supports atomic changes, which may be composed to more complex operations such as refactorings
In addition, we are currently enhancing our prototypical implementation to increase its usability.</t>
  </si>
  <si>
    <t>The detection of operation sequences for minimal rules is left to future work.
Usually, different conflict resolutions are possible and it is up to future work to develop adequate resolution strategies for this formal setting.</t>
  </si>
  <si>
    <t>Our strategy for solving operation-based conflicts shall be extended by resolving also state-based conflicts.
We plan to implement also the check of behavioural equivalence and the general merge construction for graph modifications</t>
  </si>
  <si>
    <t>We plan to compare the results of AMOR with other model
versioning systems.
Once applied operations are identified, the conflict resolution can be improved by lifting from the level of actions to the level of operations
Another interesting future research direction in the domain of model versioning concerns the graphical concrete syntax of models</t>
  </si>
  <si>
    <t>We performed the conflict resolution analysis manually. It is left to future work to automate this analysis in AGG.
The preparation of the critical pairs is already quite user-friendly, but there is still a potential for improvement to better understand the critical situations.</t>
  </si>
  <si>
    <t>While our work makes a best effort to produce consistent merged model, it is currently limited to the general level of EMF model instances and guarantees only consistency with the underlying Ecore model. However, it does not address additional model-specific constraints.
The merge algorithm presented in this paper has not been implemented yet</t>
  </si>
  <si>
    <t>Future work will address implementation of the merge algorithms on top of EMF.
In future work,we will explore how model-specific constraints may be taken into account. A post-mortem validation may be implemented by simply calling an existing validation tool (which is not aware of versioning). A more challenging problem is to modify the merge algorithm such that it preserves modelspecific constraints and detects and resolves model-specific conflicts.</t>
  </si>
  <si>
    <t>First, the integration of concrete graphical or textual
syntax could significantly improve its usability for domain-specific languages. 
Second, there is still room for improvement concerning the integration with version control systems
Furthermore, we strive for a more model-driven implementation, which could be achieved by graph transformations</t>
  </si>
  <si>
    <t>we have learned that we cannot guarantee that the result produced by the GTS algorithm is “optimal”, since there exists no formal optimization criterion. Furthermore, we found potential adaptations which should be incorporated in order to make the GTS algorithm applicable outside the EMF world, e.g., for unstructured or structured (XML) text files.</t>
  </si>
  <si>
    <t xml:space="preserve">Cannot guarantee that result of GTS is optimal
</t>
  </si>
  <si>
    <r>
      <t xml:space="preserve">We aim to make our implementation independent of the underlying data model.
We are planning a couple of improvements concerning the version model. By supporting arbitrary version identifiers, our versioned collection graph could serve as a generic data structure for a multi-version representation of </t>
    </r>
    <r>
      <rPr>
        <b/>
        <sz val="10"/>
        <color theme="1"/>
        <rFont val="Calibri"/>
        <family val="2"/>
        <scheme val="minor"/>
      </rPr>
      <t>ordered collections</t>
    </r>
    <r>
      <rPr>
        <sz val="10"/>
        <color theme="1"/>
        <rFont val="Calibri"/>
        <family val="2"/>
        <scheme val="minor"/>
      </rPr>
      <t xml:space="preserve">. This would, for instance, allow for a generalized </t>
    </r>
    <r>
      <rPr>
        <b/>
        <sz val="10"/>
        <color theme="1"/>
        <rFont val="Calibri"/>
        <family val="2"/>
        <scheme val="minor"/>
      </rPr>
      <t>n-way merge</t>
    </r>
    <r>
      <rPr>
        <sz val="10"/>
        <color theme="1"/>
        <rFont val="Calibri"/>
        <family val="2"/>
        <scheme val="minor"/>
      </rPr>
      <t xml:space="preserve"> algorithm. Furthermore, the versioned collection graph could be used as a symmetric delta representation inside a version control system in order to provide a foundation for </t>
    </r>
    <r>
      <rPr>
        <b/>
        <sz val="10"/>
        <color theme="1"/>
        <rFont val="Calibri"/>
        <family val="2"/>
        <scheme val="minor"/>
      </rPr>
      <t>variability in time and variability in space</t>
    </r>
    <r>
      <rPr>
        <sz val="10"/>
        <color theme="1"/>
        <rFont val="Calibri"/>
        <family val="2"/>
        <scheme val="minor"/>
      </rPr>
      <t>.</t>
    </r>
  </si>
  <si>
    <t>Consistency control for EMF models is generic. Thus, only well-formedness conditions may be guaranteed that apply to all kinds of EMF models, regardless of the underlying Ecore model.
Feature models are supported in a more specific way. All well-formedness conditions for feature models are satisfied, e.g., each feature model is guaranteed to be a tree. However, satisfiability is not considered by well-formedness analysis and repair.
An initial evaluation of well-formedness analysis and repair with respect to accuracy and scope of conflict resolution was reported in [10] but needs to be complemented with more comprehensive studies.</t>
  </si>
  <si>
    <t>Future work will necessarily encompass further validation against large projects in order to evaluate the efforts demanded to the developer for managing model compositions.
An enhancement of the conflict specification language will be investigated for supporting multi-view consistency</t>
  </si>
  <si>
    <t>We want to conduct user studies to evaluate our technique. We also aim to address the question how to raise awareness of collaborators for potentially-conflicting editing operations in order to avoid conflicts in the first place.</t>
  </si>
  <si>
    <t>An evaluation conducted on one specific modeling language is not sufficient. Because different
modeling languages have different power of expressiveness, several modeling languages have to be analyzed for view definition possibilities.</t>
  </si>
  <si>
    <t>Because of the fact that different modeling environments export different XMI representations, so-called tool adaptors for a common XMI representation are essential.
a fully functional semantically enhanced VCS also needs to support versioning capabilities for huge model artifacts which have associations to other models in the same context.
The defined metamodels in the VCS also need to be defined as
being able to be versioned. The migration of instances is in fact a well known problem from the area of schema evolution.
an important prerequisite of a VCS for models are visualization techniques needed for the conflict resolution process in order to provide the developer with an adequate overview on the model elements.</t>
  </si>
  <si>
    <t>Future research, in a short distant prospect, will focus on the analysis of the semantics of further modeling languages
an evaluation will address a diversity of di_x000B_erent modeling languages in order to derive a comprehensive evaluation of the accuracy and according effectiveness of the approach. Furthermore, it is necessary to investigate into the realization of an extension of SMoVer, to not only support syntactic and semantic conflict detection but also conflict resolution.
Visualization techniques for conflict reports and resolution and additionally merge mechanisms have to be addressed.</t>
  </si>
  <si>
    <t>will focus on the finalization of possible semantic view definitions in the form of a catalogue for the modeling languages WSBPEL and UML Activity Diagrams (AD).
the evaluation will compass an inspection of the expressiveness and number for semantic view definition possibilities for the DSML WSBPEL and the subset of the general purpose language UML AD.
no graphical conflict resolution component exists and conflict reports are only available in text-based manner, separately for all views. Hence, it will be investigated in the implementation of advanced techniques for the presentation of the result of the conflict detection phase.
it is planned to integrate the support for metamodel versioning in SMoVer. Firstly, to further improve the accuracy of the conflict detection method, AMOR will provide supplementary to semantically enhanced conflict detection an operation-based conflict detection, Secondly, AMOR will also support intelligent conflict resolution</t>
  </si>
  <si>
    <t>For future work, we plan to extend the merging capabilities of this approach by allowing a level of intervention from the user to set the behaviour for dealing with the conflict, e.g., choosing the version with the most current update time or prioritizing one version over another. The impact on real-world standard versions should also be examined in future work. To ensure more accurate merge of the schema versions we plan to improve our implementation by exploring more conflict situations, especially relating to false conflicts.</t>
  </si>
  <si>
    <t>Although our framework can support all the criteria
stated in this table, it is limited in terms of supporting certain change patterns discussed by Weber et al. (2007). In particular moving and swapping process fragments are not supported, as these patterns violate support the observation consistency rules underlying our framework.</t>
  </si>
  <si>
    <t>The validation of our approach by integrating the conflict resolution and change propagation with our tool for generating views from a reference model is subject to future work.</t>
  </si>
  <si>
    <t>The limitations of the current framework are that it supports a limited number of change operators which are insert and elimination similar to those proposed by Kolb et al. [5]. operators that insert new complex structures or the refinement of already abstracted elements are currently not supported.</t>
  </si>
  <si>
    <t>we plan to deploy the framework to a distributed collaborative process design environment.</t>
  </si>
  <si>
    <t>when two models are merged the elements of the merged model do not keep any
order with regard to those of the input models. Currently we are extending the
generic semantics of the Merge operator to preserve this order relation and we are
developing a QVT Relations language compiler that targets Maude code</t>
  </si>
  <si>
    <t>The SyncMeta prototype currently does not support validity checks for models, since the meta-modeling
formalism currently offers no way of attaching validation rules or constraints to models and elements.</t>
  </si>
  <si>
    <t>First, we are working on the Yjs library [30], which overcomes the drawbacks of Operational Transformation, particularly when representing complex data types and scaling the processing of operations to high numbers of concurrent users and edits. This will also require further usability and functionality evaluations with larger numbers of collaborators. Second, we are working on improving the conceptual modeling capabilities by introducing view abstractions in the modeling canvas.
Third, we are working on an intelligent agent that computes suggestions of modeling actions to collaborating modelers based on a formal model of the intended modeling process for a modeling language. This shall help preventing conflicts.</t>
  </si>
  <si>
    <t>the visual-based (meta-) modeling approach
of SyncMeta has some restrictions, such as model checking functionalities on the (meta-)modeling layer. By extension, the views do not allow the specification of cardinalities or multiplicities with regard to the relationships and viewrelationships.
Also, it is not possible to define conditions on inherited attributes of super classes. The view-based modeling approach requires an automatic diagram layout mechanism.</t>
  </si>
  <si>
    <t>We plan to enhance the expressiveness of the conditions on a view type to allow more complex queries and model perspectives.
A real-time P2P shared editing framework for arbitrary data types, as it overcomes
scalability drawbacks and is much easier to use by developers.
Furthermore, in order to improve the feedback during collaborative modeling and to support end-users working with the views extension, we are currently developing an intelligent assistant system for collaborative modeling scenarios to guide collaborators during the modeling process using different strategies like remote support or conflict avoidance.</t>
  </si>
  <si>
    <t>Model checking functionalities on the (meta)modeling layer. Also, it is not possible to define conditions on inherited attributes of superclasses
frameworks like ArchiMate [21] support more sophisticated transformations like aggregations on meta classes and non-derived relations between meta classes.</t>
  </si>
  <si>
    <t>We plan to enhance the expressiveness of the condi- tions on a view type to allow more complex queries and model perspectives. Furthermore, in order to improve the feedback during collaborative modeling and to support end users working with the views extension, we are currently integrating an intelligent assistant system for collaborative modeling scenarios to guide collaborators during the modeling process using different strategies like remote support or performance nudging. Finally, we are currently working towards an automatic distributed approach to deal with co-evolution of metamodels and models, as currently we can- not synchronize the metamodel with the model editor and views in NRT and the instance generation step needs to be performed in advance. Moreover, we plan to support alternative views</t>
  </si>
  <si>
    <t>The first understanding analysis shows the version explosion phenomenon for fine-grained elements. When analyzing S1, we can notice that the average number of CIs processed by Odyssey-VCS is considerably larger than CVS or Subversion.
when analyzing the workspace size we could notice that the UML model is up to 5 times bigger than the respective source code
the third understanding analysis was on the impact of transforming such big XMI files, which are present in the Odyssey-VCS workspace, into object-oriented networks that are stored in the Odyssey-VCS repository.</t>
  </si>
  <si>
    <t>Also in our tests we discovered that EMFStore does not scale well for large models -- the size of the model it can support seems to be limited by the amount of memory available.</t>
  </si>
  <si>
    <t>EMFStore does not scale well for large models</t>
  </si>
  <si>
    <t>An important future work is the generalization to the MOF meta-model layer, allowing versioning of any MOF compliant meta-model (OMG is currently finalizing MOF meta-models for different languages, such as Java, EJB, COBOL, PL/1, C, and C++ [18]). Additional future work consists on allowing users to customize the merge algorithm for their specific needs and to keep information regarding teams that produce or reuse black-box components. This support is useful for deciding who is responsible for maintaining a given component in the future.</t>
  </si>
  <si>
    <t>As future work, we will integrate the approach to NeoEMF and extend it to provide a distributed repository of models, as well as a service to allow inter-resource references.</t>
  </si>
  <si>
    <t>In a future work, we analyse and formalise semantic conflicts, i.e. modifications which are violating metamodel constraints or predicate dependencies. Moreover, a prototype implementation of these techniques will be necessary to show the efficiency of the proposed techniques. This is a challenging task, considering the lack of mature standards and the issues related to the identification of model elements</t>
  </si>
  <si>
    <t>In a future work, we will analyse and formalise semantic conflicts; i.e. modifications which violate the constraints given by the modelling language. Moreover, we plan to introduce a reasoning system for the analysis of predicate dependencies and to define a logic for this analysis.</t>
  </si>
  <si>
    <t>In future work, we may implement prototype support for our approach to model versioning and perform case studies to compare the existing tools with our tool
In future work, we will analyse termination and confluence in DPF. This will facilitate
the identification of the conditions underwhich a set of conflict resolution patterns guarantees that no new conflicts are introduced.</t>
  </si>
  <si>
    <t>In the future, we will focus on the semantic conflicts and provide a sound consistency maintenance mechanism. Furthermore, operation undo has not been taken into account for the moment. It requires further study and efforts.</t>
  </si>
  <si>
    <t>further enhancing and easing the graphical modeling features, or improving the performance of collaborative modeling by taking advantage of peer-to-peer communication</t>
  </si>
  <si>
    <t>future work will look at adding the 3- or 4-way merges from tools like EMF Compare or CDO</t>
  </si>
  <si>
    <t>As future work, we will investigate further conflict cases to evaluate the generalizability of the CPL formalism. The complementary work is required to implement the semantics of conflict patterns and use them to detect model merging conflicts. Furthermore, we intend to extend the textual editor of CPL by developing a graphical editor to help the specification of conflicts. Finally, we further plan to conduct a systematic comparative analysis to investigate the required effort for the specification of conflicts.</t>
  </si>
  <si>
    <t>conflict patterns cannot express behavioral semantic conflicts</t>
  </si>
  <si>
    <t>considerable work still has to be performed in the future, including detecting conflicts on model inconsistency and resolving conflicts according to the detection results.</t>
  </si>
  <si>
    <t>As future work, we intend to support automatic conflict resolution and collaborative merge. At the phase of conflict resolution, heuristics may help on suggesting consistent solutions. Regarding collaborative merge, traceability can also figure as an important technique, visually guiding developers from semantic conflicts to the syntactic elements that triggered these conflicts.
We also intend to support additional UML diagrams and expand the method to work directly on the metametamodeling language, such as EMF and MOF, via the reflective API. This would allow processing any metamodel, requiring only the metamodel XMI file as input. Finally, we are planning to run some experimental studies with the proposed method.</t>
  </si>
  <si>
    <t>We are confident that this provides a working solution, and the most immediate
future work is to make a prototype implementation, both of the RDF serialisation
of DPF, and of the conflict resolution for DPF version control based on RDF. Some
open questions remain to optimise the solution, including using model constraints
to automate as much as possible of the conflict resolution, and to provide a suitable
framework for release and dependency management.
We will leave the vocabulary for visualisation for future work, and just note that the visualisation artifact can make declare geometric coordinates for the different components.</t>
  </si>
  <si>
    <t>The composite operation detection process is shown can be improved by selecting operation candidates.
The improved version of AMOR framework is implemented using Eclipse Modeling Framework (EMF) metamodel and makes the assumption that the input models are
valid. Therefore, to support other types of models, transformation must be carried out from the models into EMF meta-model.</t>
  </si>
  <si>
    <t>Our approach needs to be completed with an automatic mean for condition merging. Such mean will be used in the resolution of the conflict mentioned in the case (b) of subSect. 3.3. As next step, we will identify the remaining control conflicts and propose their resolution. We will also propose an automatic operator, to proceed the merging along with the control conflicts detection and resolution.</t>
  </si>
  <si>
    <t>We consider that in the future several controlled experiments must be conducted to assert the usefulness of this work.</t>
  </si>
  <si>
    <t>Limit the (Scalability)</t>
  </si>
  <si>
    <t>Scalability limitations</t>
  </si>
  <si>
    <t>Usability aspects limitations</t>
  </si>
  <si>
    <t>Need to Integrate with GMF</t>
  </si>
  <si>
    <t>Limit the (Scalability)
(Usability) aspect should be improved
Need to Integrate with (GMF)</t>
  </si>
  <si>
    <t>Lack of (Tool) support</t>
  </si>
  <si>
    <t>Lack of Real-World model/environement</t>
  </si>
  <si>
    <t>Lack of (real-world) model and environement
Limit the (Scalability)</t>
  </si>
  <si>
    <t>Lack of (real-world) model and environement</t>
  </si>
  <si>
    <t>Manually definition of conflicts/patterns</t>
  </si>
  <si>
    <t>(Manually) definition patterns is demanding that need user experience
Lack of (Lock-Lock Compatibility)</t>
  </si>
  <si>
    <t>Lock-Lock Compatibility</t>
  </si>
  <si>
    <t>Lack of Empirical Evaluation</t>
  </si>
  <si>
    <t>(Language Features) limitation
Need to Integration of (model checker) in the Merge Component
Lack of conflict (visualization)
Lack of (Benchmarking)</t>
  </si>
  <si>
    <t>Language Features limitation</t>
  </si>
  <si>
    <t>Lack of conflict Visualization</t>
  </si>
  <si>
    <t>Lack of Benchmarking</t>
  </si>
  <si>
    <t>Needs to address model-specific constraints</t>
  </si>
  <si>
    <t>Lack of Tool Support/Implementation</t>
  </si>
  <si>
    <t>Needs to address (model-specific constraints)
Lack of (Implementation)</t>
  </si>
  <si>
    <t>Lack of empirical (evaluation)</t>
  </si>
  <si>
    <t>Needs (evaluation) for more modeling language</t>
  </si>
  <si>
    <t>Lack of expressing some (behavioral semantic conflicts)</t>
  </si>
  <si>
    <t>Lack of expressing behavioral semantic conflicts</t>
  </si>
  <si>
    <t>Lack of support for some change operators</t>
  </si>
  <si>
    <t>Evaluation limitations</t>
  </si>
  <si>
    <t>Visualization and Usability aspects limitations</t>
  </si>
  <si>
    <t xml:space="preserve">Generic consistency control for EMF models (model-specific constraints)
Satisfiability is not considered by well-formedness analysis and repair
Needs more (evaluation) </t>
  </si>
  <si>
    <t>Limites in model checking functionality (model checker)
Lack of condition defination of inherited attributes (model-specific constraints)
Lack of transformation support by Archimate (Tool)</t>
  </si>
  <si>
    <t>Lack of tool support for some (change operators) (insert and elimiation, complex structures or refinement)</t>
  </si>
  <si>
    <t>SyncMeta does not support validity checks for models model checking (model checker)</t>
  </si>
  <si>
    <t>Limites in model checking functionality (model checker)
Lack of condition defination on inherited attributes (model-specific constraints)
Need to an automatic diagram layout mechanism (Manually)</t>
  </si>
  <si>
    <t>Lack of support for certain change patterns (model-specific constraints)
Moving and swapping process fragments are not supported (change operators)</t>
  </si>
  <si>
    <t>Other technical functionality limitations</t>
  </si>
  <si>
    <t>Tool suppot limitations</t>
  </si>
  <si>
    <t>(Implementation)
Conduct (Validation)</t>
  </si>
  <si>
    <t>Graphical Editor for Conflict Resolution</t>
  </si>
  <si>
    <t>Graphical Editor for Conflict Resolution (GECR)
Tackling (Semantic Conflict)</t>
  </si>
  <si>
    <t>Tackling Semantic Conflict</t>
  </si>
  <si>
    <t>Full Support of (Collaborative Modeling)
Tackling (Semantic Conflict)
More (experiments)</t>
  </si>
  <si>
    <t>Full Support of Collaborative Modeling</t>
  </si>
  <si>
    <t>More Experiments</t>
  </si>
  <si>
    <t>Conduct (Validation)</t>
  </si>
  <si>
    <t>(Implementation)</t>
  </si>
  <si>
    <t>Improving Conflict Notification Interfaces</t>
  </si>
  <si>
    <t>Automatically Conflict Resolution</t>
  </si>
  <si>
    <t>Improving Conflict (Notification Interfaces)
Automatically (Conflict Resolution)</t>
  </si>
  <si>
    <t>Conduct Evalution with real model</t>
  </si>
  <si>
    <t>Evaluate effectiveness and usability</t>
  </si>
  <si>
    <t>Conduct (Evalution) with real model
Evaluate (effectiveness and usability)</t>
  </si>
  <si>
    <t>Autoamtically suggest change to roll back</t>
  </si>
  <si>
    <t>Extend (Evaluation)
Use increment pattern matcher for (online collaboration)</t>
  </si>
  <si>
    <t>Support online collaboration</t>
  </si>
  <si>
    <t xml:space="preserve">Improve (merge technique) by further search strategies
More (experiments)
Evaluate (effectiveness and usability)
</t>
  </si>
  <si>
    <t>Improve merge technique</t>
  </si>
  <si>
    <t>Conduct (Validation)
Detection of (semantic conflict)</t>
  </si>
  <si>
    <t>Detection of more syntactic conflicts</t>
  </si>
  <si>
    <t>Conduct (Validation)
Detection of more (syntactic conflicts)
Optimization of (recomputation of conflict) after each conflict resolution</t>
  </si>
  <si>
    <t>Recomputation of conflict after resolution</t>
  </si>
  <si>
    <t>Generation of an OWL representation from a (meta)model</t>
  </si>
  <si>
    <t>Generation of an (OWL representation) from a (meta)model
Conduct (Evaluation)</t>
  </si>
  <si>
    <t>Graphical Editor for Conflict Description</t>
  </si>
  <si>
    <t>Graphical Editor for Conflict description (GECS)</t>
  </si>
  <si>
    <t xml:space="preserve">Using operation-based merging algorithm for (consistency preserving) </t>
  </si>
  <si>
    <t>Extending consistency preserving</t>
  </si>
  <si>
    <t>Tackling more (Semantic Conflicts)
Manage side-effect on conflict resolution (recomputation of conflict)
Automatic generation of (conflict detection scripts) and resolution scripts</t>
  </si>
  <si>
    <t>Automatic generation of (conflict detection scripts) and constraints
Add (Conflict Resolution)
More (experiments)</t>
  </si>
  <si>
    <t>Automatic generation of conflict detection scripts</t>
  </si>
  <si>
    <t>Support other modeling language</t>
  </si>
  <si>
    <t>Support (other modeling language)
Extending (conflict detection)
Extending Tool (implementation)</t>
  </si>
  <si>
    <t>Conduct (Evaluation)
More (experiments)</t>
  </si>
  <si>
    <t>Architectural (Conformance Checks)
Supporting (Decision Making)
Enhancing Meetings with Auxiliary Information</t>
  </si>
  <si>
    <t>Architectural Conformance Checks</t>
  </si>
  <si>
    <t>Add (Conflict Resolution)
More (experiments)</t>
  </si>
  <si>
    <t>Conduct (Evalution) with large model and team
Add (Conflict Resolution)</t>
  </si>
  <si>
    <t>Extend the categorization of conflicts</t>
  </si>
  <si>
    <t>Extend the (categorization of conflicts)
Detecting conflicts of behavioral (semantic conflict)
Automatic (Evaluation) of model versioning tools</t>
  </si>
  <si>
    <t>More (experiments)
Visual support for (conflict resolution)
(GECR)
Extending for (other modeling language)</t>
  </si>
  <si>
    <t>More (experiments)
Graphical Editor for Conflict description (GECS)</t>
  </si>
  <si>
    <t>Intention-aware model versioning
(Semantics-aware) model versioning</t>
  </si>
  <si>
    <t>Semantics-aware and intention-aware model versioning</t>
  </si>
  <si>
    <t>Build an analyzer to deduce constraints
(conflict detection scripts)
Graphical Editor for Conflict description (GECS)</t>
  </si>
  <si>
    <t>More (experiments)
Extention of approach for (composite operations)
(Implementation)</t>
  </si>
  <si>
    <t>Extention of approach for composite operations</t>
  </si>
  <si>
    <t>More (experiments)
Improving the (conflict resolution)
Concern the graphical concrete syntax of models (GECS)</t>
  </si>
  <si>
    <t>Detection of (operation sequence) for minimal rules
Develop adequate resolution strategies (Conflict Resolution)</t>
  </si>
  <si>
    <t>Detection of operation sequence for minimal rules</t>
  </si>
  <si>
    <t>Add (Conflict Resolution)
Improving Usability of cirtical pairs preparation (Effectiveness and usability)</t>
  </si>
  <si>
    <t>Extention of (conflict resolution) for state-based conflicts
Detection of behaviorual equivalence (semantic conflicts)</t>
  </si>
  <si>
    <t>Improving usability (Effectiveness and usability)
Improving integration with VCSs
More (implementation)</t>
  </si>
  <si>
    <t>Extention for suporting model-specific constraint</t>
  </si>
  <si>
    <t>(Implementation)
Extention for suporting (model-specific constraint)
Add (conflict resolution)</t>
  </si>
  <si>
    <t>Enhancing the conflict specification</t>
  </si>
  <si>
    <t>Conduct further (validation)
Enhancing the (conflict specification) lanaguage for (multi-view consistency)</t>
  </si>
  <si>
    <t>lanaguage for multi-view consistency</t>
  </si>
  <si>
    <t>Conduct (evaluation)
Approach to (raise awareness) for potentially-conflicting changes</t>
  </si>
  <si>
    <t>Raise awareness for potentially-conflicting changes</t>
  </si>
  <si>
    <t>Providing tool adaptors for a common XMI representation (Implementation)
A semantically enhance VCS for huge models (Scalability)
Supporting (evolution) of metamodels and migration of instances
Visualization techniques for conflict resolution process (GECR)</t>
  </si>
  <si>
    <t>More (expreiments)
Conduct (evaluation)
Add (conflict resolution)
Visualization techniques for conflict report and resolution (GECR) (raise awareness)</t>
  </si>
  <si>
    <t>Extending merging capabilities using user intervention (merge technique)
Conduct (evaluation) with real-world models
Improving (implementation) for model conflict situations</t>
  </si>
  <si>
    <t>Conduct (Validation)
Add (conflict resolution) and change propagation</t>
  </si>
  <si>
    <t>Extending the semantics of Merge operator to preserve order relation (operation sequence)
Developing a QVT Relations language compiler</t>
  </si>
  <si>
    <t>Feedback during collaboration using intelligent assistant</t>
  </si>
  <si>
    <t>Enahncing expressiveness ot the conditions on a view type
Extention for (Scalability) and Real-time P2P changes sharing
Improving feedback during collaobrative modeling using intelligent assistant  (feedback during collaboration)</t>
  </si>
  <si>
    <t>Improving Operational Transformaiton for complex data types and high numbers of concurrent user (Scability)
Improving conceptual modeling by view abstaction (Implementation)
Adding intelligent agent to suggest modeling actions for preventing conflicts  (feedback during collaboration)</t>
  </si>
  <si>
    <t>Enhancing expressiveness of the conditons on a view type
Improving feedback during collaobiration using inteligent assistant
(feedback during collaboration)
Supporting alternative views</t>
  </si>
  <si>
    <t>Generalizaiton of the MOF meta-model for versioning any MOF-based models
Allowing users to customize the merge algorithm for their specific needs (merge technique)</t>
  </si>
  <si>
    <t>Analyzing and formalising (semantic conflict)
Introducing a reasoning system for analyzing predicat dependencies</t>
  </si>
  <si>
    <t>Analyzing and formalising (semantic conflict)s
(Implementation)</t>
  </si>
  <si>
    <t>Focus on the (semantic conflict)s
Providing a sound consistency maintenance mechanism (consistency preserving)
Supporting operatin undo (roll back)</t>
  </si>
  <si>
    <t>Enhancing the graphical modeling features (GECS)
Using (P2P communication)</t>
  </si>
  <si>
    <t>Integration with NeoEMF
(Implementation)
Providing a distributed repository of models</t>
  </si>
  <si>
    <t>Adding 3-way or 4-way (merge technique)</t>
  </si>
  <si>
    <t>More (experiments)
Implement semantics of conflict pattern
(semantic conflict)
Extention to (conflict detection scripts)
Extention to graphical editor to specify conflicts (GECS)
More (evaluation)</t>
  </si>
  <si>
    <t>Detecion of conflicts on model inconsistency (consistency preserving)
Add (conflict resolution)</t>
  </si>
  <si>
    <t>More (experiments)
Build an assistant for the (conflict resolution) process</t>
  </si>
  <si>
    <t>(Implementation)
Analyzing terminaiton and confluence in DPF to identify (coflict resolution) patterns</t>
  </si>
  <si>
    <t>Finalizing view of (semantic conflict) definitions
Conduct more (evaluaiton)
Visualization of conflict report and resolution (GECR) (raise awareness)
Supporting metamodel versioning
Improving accuracy of (syntactic conflicts) detectin
Supporting intelligent (conflict resolution)</t>
  </si>
  <si>
    <t>(Implementation)
Provide automatically (conflict resolution)
Support visualisation (GECR)</t>
  </si>
  <si>
    <t>Speed up the (composite operations) detection by selecting operation candidates
Supporting other type of modeling language (other modeling language)</t>
  </si>
  <si>
    <t>Supporting distibuted collaborative process environment (P2P communication)</t>
  </si>
  <si>
    <t>Using P2P and distributed communication</t>
  </si>
  <si>
    <t>Extending conflict deteciton for other cases (syntactic conflicts)
Adding autmatic (conflict resolution_</t>
  </si>
  <si>
    <t xml:space="preserve">More experiment to evaluate usefulness (Effectiveness and usability) </t>
  </si>
  <si>
    <t>Supporting automatic (conflict resolution) and collaborative merge (Collaborative Modeling)
Supporting traceability for collaborative merge
Visual guide for handeling conflicts (GECR) (raise awareness)
Extention for new modeling languages
More (experiments)</t>
  </si>
  <si>
    <t>More (implementation)
Improvements concerning the version model, ordered collections, n-way merge, variability in time and space (Collaborative Modeling)</t>
  </si>
  <si>
    <t>Extending (consistency preserving)
Visual support for conflict resolution (GECR)</t>
  </si>
  <si>
    <t>Implementation and Tool support extentions</t>
  </si>
  <si>
    <t>Evaluation and More Experiments</t>
  </si>
  <si>
    <t>Visualization of conflict management activites</t>
  </si>
  <si>
    <t>Providing Conflict Resolution Supports</t>
  </si>
  <si>
    <t>Raise Potential Conflict Awareness</t>
  </si>
  <si>
    <t>Limitation of model checker functionality</t>
  </si>
  <si>
    <t>Handling Semantic Conflicts</t>
  </si>
  <si>
    <t>Did the study include a tool implementation or an empirical evaluation of the approach?</t>
  </si>
  <si>
    <t>UML models</t>
  </si>
  <si>
    <t>Approach, Model</t>
  </si>
  <si>
    <t>Approach, Tool, Model</t>
  </si>
  <si>
    <t>Framework, Algorithm, Tool, Metric, Method</t>
  </si>
  <si>
    <t>Apporach, Tool</t>
  </si>
  <si>
    <t>Approach, Tool, Framework</t>
  </si>
  <si>
    <t>Framework, Tool, Approach</t>
  </si>
  <si>
    <t>Method/Approach</t>
  </si>
  <si>
    <t>Model/Framework</t>
  </si>
  <si>
    <t>Process/Algorithm</t>
  </si>
  <si>
    <t>Metric/Benchmark</t>
  </si>
  <si>
    <t>Total Contribution</t>
  </si>
  <si>
    <t>Conflict Specfication</t>
  </si>
  <si>
    <t>Activity Type</t>
  </si>
  <si>
    <t>Raw</t>
  </si>
  <si>
    <t>CS</t>
  </si>
  <si>
    <t>CP</t>
  </si>
  <si>
    <t>CD</t>
  </si>
  <si>
    <t>CR</t>
  </si>
  <si>
    <t>CA</t>
  </si>
  <si>
    <t>Change Plan</t>
  </si>
  <si>
    <t>Pattern-based</t>
  </si>
  <si>
    <t>Natural Language</t>
  </si>
  <si>
    <t>Reported Limitations</t>
  </si>
  <si>
    <t>Visualization</t>
  </si>
  <si>
    <t>Not Specified</t>
  </si>
  <si>
    <t>Lack of domain-specific constraints or conflict spec.</t>
  </si>
  <si>
    <t>#Aritcles</t>
  </si>
  <si>
    <t>Reported Future Directions</t>
  </si>
  <si>
    <t>Composite operation conflicts</t>
  </si>
  <si>
    <t>Supporting Decision Making to resolve conflicts</t>
  </si>
  <si>
    <t>Handling Syntacitc Conflicts</t>
  </si>
  <si>
    <t>Conflict resolution</t>
  </si>
  <si>
    <t>Tool support</t>
  </si>
  <si>
    <t>Conflict awareness</t>
  </si>
  <si>
    <t>Semantic conflict</t>
  </si>
  <si>
    <t>Syntactical conflict</t>
  </si>
  <si>
    <t>Composite operation</t>
  </si>
  <si>
    <t>Functionality</t>
  </si>
  <si>
    <t>Domain-specific</t>
  </si>
  <si>
    <t>Detecting Inconsistencies in Multi-View Models with Variability</t>
  </si>
  <si>
    <t>https://doi.org/10.1007/978-3-642-13595-8_18</t>
  </si>
  <si>
    <t>Chapter</t>
  </si>
  <si>
    <t>Multi-view Consistency in UML: A Survey</t>
  </si>
  <si>
    <t xml:space="preserve">https://link-springer-com.ins2i.bib.cnrs.fr/chapter/10.1007/978-3-319-75396-6_3 </t>
  </si>
  <si>
    <t>A collaborative platform architecture for coherence management in multi-view integrated product modelling</t>
  </si>
  <si>
    <t xml:space="preserve">International Journal of Computer Integrated Manufacturing </t>
  </si>
  <si>
    <t xml:space="preserve">https://doi.org/10.1080/09511920903534321 </t>
  </si>
  <si>
    <t>Detecting Inconsistencies in Multi-view UML Models</t>
  </si>
  <si>
    <t>IJCSSE</t>
  </si>
  <si>
    <t>International Journal of Computer Science and Software Engineering</t>
  </si>
  <si>
    <t>Using decision rules for solving conflicts in extended feature models</t>
  </si>
  <si>
    <t>https://doi.org/10.1145/2814251.2814263</t>
  </si>
  <si>
    <t>Aspect-oriented multi-view modeling</t>
  </si>
  <si>
    <t>AOSD</t>
  </si>
  <si>
    <t>international conference on Aspect-oriented software development</t>
  </si>
  <si>
    <t>https://doi.org/10.1145/1509239.1509252</t>
  </si>
  <si>
    <t>Efficient detection of inconsistencies in a multi-developer engineering environment</t>
  </si>
  <si>
    <t>https://doi.org/10.1145/2970276.2970304</t>
  </si>
  <si>
    <t>An agent-based framework for distributed collaborative model evolution</t>
  </si>
  <si>
    <t>IWSPE-EVOL</t>
  </si>
  <si>
    <t>International Workshop on Principles of Software Evolution and the 7th annual ERCIM Workshop on Software Evolution</t>
  </si>
  <si>
    <t>https://doi.org/10.1145/2024445.2024468</t>
  </si>
  <si>
    <t>Formal Support for Merging and Negotiation</t>
  </si>
  <si>
    <t>IEEE/ACM international Conference on Automated software engineering</t>
  </si>
  <si>
    <t>https://doi.org/10.1145/1101908.1101998</t>
  </si>
  <si>
    <t>Mediator: A component-based modeling language for concurrent and distributed systems</t>
  </si>
  <si>
    <t>https://doi.org/10.1016/j.scico.2020.102438</t>
  </si>
  <si>
    <t>A relationship-based approach to model integration</t>
  </si>
  <si>
    <t>Innovations in Systems and Software Engineering</t>
  </si>
  <si>
    <t>https://doi.org/10.1007/s11334-011-0155-2</t>
  </si>
  <si>
    <t xml:space="preserve"> Shiva Nejati </t>
  </si>
  <si>
    <t>A Framework for Model-Driven Execution of Collaboration Structures</t>
  </si>
  <si>
    <t>https://doi.org/10.1007/978-3-319-39696-5_2</t>
  </si>
  <si>
    <t>Christoph Mayr-Dorn</t>
  </si>
  <si>
    <t>Schahram Dustdar</t>
  </si>
  <si>
    <t>An Algebraic Framework for Merging Incomplete and Inconsistent Views</t>
  </si>
  <si>
    <t xml:space="preserve"> IEEE International Conference on Requirements Engineering</t>
  </si>
  <si>
    <t>https://doi.org/10.1109/RE.2005.8</t>
  </si>
  <si>
    <t>An Algebraic Approach To Consistency Checking Between Class Diagrams</t>
  </si>
  <si>
    <t>Journal of Japan Society for Information Managemen</t>
  </si>
  <si>
    <t>https://doi.org/10.20627/jsim.30.3_146</t>
  </si>
  <si>
    <t>Hidekazu ENJO</t>
  </si>
  <si>
    <t>Motonari TANABU</t>
  </si>
  <si>
    <t>Junichi IIJIMA</t>
  </si>
  <si>
    <t xml:space="preserve">A QVT-BASED APPROACH FOR MODEL COMPOSITION Application to the VUML Profile </t>
  </si>
  <si>
    <t>ICEIS</t>
  </si>
  <si>
    <t>International Conference on Enterprise Information Systems</t>
  </si>
  <si>
    <t>https://doi.org/10.5220/0001710203600367</t>
  </si>
  <si>
    <t>VUML</t>
  </si>
  <si>
    <t>View merging in the presence of incompleteness and inconsistency</t>
  </si>
  <si>
    <t>https://doi.org/10.1007/s00766-006-0032-y</t>
  </si>
  <si>
    <t xml:space="preserve">Steve Easterbrook </t>
  </si>
  <si>
    <t>A Rule-Driven Approach for composing Viewpoint-oriented Models</t>
  </si>
  <si>
    <t>JOURNAL OF OBJECT TECHNOLOGY</t>
  </si>
  <si>
    <t>Abdelaziz Kriouile</t>
  </si>
  <si>
    <t>Composing Models for Detecting Inconsistencies: A Requirements Engineering Perspective</t>
  </si>
  <si>
    <t>REFSQ</t>
  </si>
  <si>
    <t>International Working Conference on Requirements Engineering: Foundation for Software Quality</t>
  </si>
  <si>
    <t>https://doi.org/10.1007/978-3-642-02050-6_8</t>
  </si>
  <si>
    <t>Gilles Perrouin</t>
  </si>
  <si>
    <t>Erwan Brottier</t>
  </si>
  <si>
    <t>Yves Le Traon</t>
  </si>
  <si>
    <t>A General Approach for Scenario Integration</t>
  </si>
  <si>
    <t>https://doi.org/10.1007/978-3-540-87875-9_15</t>
  </si>
  <si>
    <t>A Formal Approach to Model Composition Applied to VUML</t>
  </si>
  <si>
    <t>ICECCS</t>
  </si>
  <si>
    <t>IEEE International Conference on Engineering of Complex Computer Systems</t>
  </si>
  <si>
    <t>https://doi.org/10.1109/ICECCS.2011.26</t>
  </si>
  <si>
    <t>Deriving all minimal hitting-sets by merging</t>
  </si>
  <si>
    <t>ICIA</t>
  </si>
  <si>
    <t>International Conference on Information and Automation</t>
  </si>
  <si>
    <t>A Collaborative Versioning Framework for Model-Based Version Control Systems</t>
  </si>
  <si>
    <t>ICCT</t>
  </si>
  <si>
    <t>Proceedings of International Conference on Communication and Computational Technologies</t>
  </si>
  <si>
    <t>https://doi.org/10.1007/978-981-15-5077-5_56</t>
  </si>
  <si>
    <t>Jai Prakash Jyani</t>
  </si>
  <si>
    <t>N. C. Barwar</t>
  </si>
  <si>
    <t>https://10.1109/ICInfA.2016.7831989</t>
  </si>
  <si>
    <t>Catalouge of change pattern to describe process model changes on a semantic level</t>
  </si>
  <si>
    <t>A limited set of change patterns and a respective merge matrix</t>
  </si>
  <si>
    <t>Conflict Box</t>
  </si>
  <si>
    <t>Show a list of resolution actions that user can select one of them</t>
  </si>
  <si>
    <t>Extending with a formal basis that is largely independent from a particular implementation and modeling language.
Develop a comprehensive, extendable and retrievable catalog of change patterns and associated conflict types</t>
  </si>
  <si>
    <t>Conduct (Evalution) with real model
Evaluate (effectiveness and usability)
Apply their approach to other areas related to model merging
Automatically suggest change to (roll back)</t>
  </si>
  <si>
    <t>Lack of (real-world)</t>
  </si>
  <si>
    <t xml:space="preserve">Composite Design pattern </t>
  </si>
  <si>
    <t>Patterns and rules (Metamodeling pattern)</t>
  </si>
  <si>
    <t>Contradicting Changes</t>
  </si>
  <si>
    <t>lack of a domain-specific modelling environment
This environment might be created using the Graphical Modelling Framework (GMF)
The third limitation is related to empirical evaluation</t>
  </si>
  <si>
    <t>(Tool) support
(Visualization)
(Evaluation)</t>
  </si>
  <si>
    <t>how can the proposed UML extension be used by merge techniques as a merge specification language? 
Secondly, do developers invest less effort to merge real-world UML models using the UML2Merge?</t>
  </si>
  <si>
    <t>(Specification Lanaguage)
More (experiments)</t>
  </si>
  <si>
    <t>description of the composition operator</t>
  </si>
  <si>
    <t>Requirement Model</t>
  </si>
  <si>
    <t>logical contradictions</t>
  </si>
  <si>
    <t>A50</t>
  </si>
  <si>
    <t>iVuBlender</t>
  </si>
  <si>
    <t>A51</t>
  </si>
  <si>
    <t>Constraint Violation
+
Semantic View</t>
  </si>
  <si>
    <t>Consistency Checking by
Merging (CCM)</t>
  </si>
  <si>
    <t>consistency-checking by- merging (CCM) idea for the heterogeneous situation. A straightforward solution is to first merge all involved metamodels so that all local models become instances of the same global metamodel; then we can merge them and check the result wrt. the constraints in the global metamodel.
We present another approach in which merging metamodels is significantly
reduced to an unavoidable minimum, and merging models is reduced to only merging their relevant parts. Briefly, we find common views between metamodels, project related models to spaces of instances (overlaps) determined by those views, and then apply the CCM approach to the homogeneous set of projections.</t>
  </si>
  <si>
    <t>Similarity criteria</t>
  </si>
  <si>
    <t>N-way (Two-way)</t>
  </si>
  <si>
    <t>The approach is based on finding common views between metamodels of the models involved, projecting all models to these views, merging projections and checking the result against the constraints specified in the view.</t>
  </si>
  <si>
    <t>Develop a useful classification of heterogeneous multimodels</t>
  </si>
  <si>
    <t>Add a (Classification)</t>
  </si>
  <si>
    <t>Highlight Propagation Algorithm that uses the metamodels of the modelling language(s) to identify the model elements in the current active view(s) of the local collaborator that are impacted by the changes that are being carried out across views by remote collaborators.</t>
  </si>
  <si>
    <r>
      <t xml:space="preserve">Multi-View Motivating Example
</t>
    </r>
    <r>
      <rPr>
        <sz val="11"/>
        <color rgb="FFFF0000"/>
        <rFont val="Calibri"/>
        <family val="2"/>
        <scheme val="minor"/>
      </rPr>
      <t xml:space="preserve">Undo/Redo
Cascading deletion </t>
    </r>
  </si>
  <si>
    <t>TouchCORE</t>
  </si>
  <si>
    <t xml:space="preserve">we plan to evaluate the effectiveness of our algorithms
</t>
  </si>
  <si>
    <t>(Implementation)
(Evaluation)</t>
  </si>
  <si>
    <t xml:space="preserve">(Implementation)
</t>
  </si>
  <si>
    <t>Highlight Propagation</t>
  </si>
  <si>
    <t>Cascading deletion</t>
  </si>
  <si>
    <t>A52</t>
  </si>
  <si>
    <t>A51: UML2Merge</t>
  </si>
  <si>
    <t>A52: TouchCORE</t>
  </si>
  <si>
    <t>Architecture model</t>
  </si>
  <si>
    <t>Temporal logic
+
Transformation</t>
  </si>
  <si>
    <t>Transform architecture models to Statemachines and then check LTL rules based on the Temporal logics</t>
  </si>
  <si>
    <t>Commerical</t>
  </si>
  <si>
    <t>As next steps, we intend to embed this platform into a webmodeling front-end to offer the possibility to directly draw diagrams for the architecture solutions that can highlight the inconsistencies and conflicts found. This would significantly increase the usability of the tool.</t>
  </si>
  <si>
    <t>(Implementation)
(Visualization)</t>
  </si>
  <si>
    <t>A53</t>
  </si>
  <si>
    <t>MagicDraw</t>
  </si>
  <si>
    <t>A53: Kallweit et al.</t>
  </si>
  <si>
    <t>In each of these cases, if concurrent modifications cannot be merged, a conflict will be raised, and will have to be solved manually.</t>
  </si>
  <si>
    <t>For future works, the automatic  evolution of strongly linked models could be solved with an evolution of our metamodel using automatic migration of the existing models.</t>
  </si>
  <si>
    <t>(other modeling language)</t>
  </si>
  <si>
    <t>A54</t>
  </si>
  <si>
    <t>as a cloud service utilizing the
DesignSpace</t>
  </si>
  <si>
    <t>Global consistency for Incremental Live Synchronization</t>
  </si>
  <si>
    <t>overlapping changes</t>
  </si>
  <si>
    <t>DesignSpace applies user preferences
Users can either overwrite or ignore changes from other users.</t>
  </si>
  <si>
    <t>Constriant Violation</t>
  </si>
  <si>
    <t>warning messages</t>
  </si>
  <si>
    <t>the effort required to implement and setup tool adapters
links connecting engineering artifacts</t>
  </si>
  <si>
    <t>(Tool)
(Usability)
(Scalability)</t>
  </si>
  <si>
    <t>We will investigate a way to compute consistency checking information for differently versioned artifacts, including those that might be in conflict with those of other private views.We will also analyse how the results of rule evaluations could be provided to users in a helpful manner</t>
  </si>
  <si>
    <t xml:space="preserve">(Implementation)
(Visualization)
(Effectiveness and usability) </t>
  </si>
  <si>
    <t>A55</t>
  </si>
  <si>
    <t>A56</t>
  </si>
  <si>
    <t>(model-spacific constraint)</t>
  </si>
  <si>
    <t>global consistency</t>
  </si>
  <si>
    <t>we would like to expand on the mechanism for distributing consistency feedback.</t>
  </si>
  <si>
    <t>A54: Foucault et al.</t>
  </si>
  <si>
    <t>A55: Tröls et al.</t>
  </si>
  <si>
    <t>(Implementation)
More (experiments)</t>
  </si>
  <si>
    <t>Define a manual mapping between models</t>
  </si>
  <si>
    <t>System Model Verification</t>
  </si>
  <si>
    <t>URIs</t>
  </si>
  <si>
    <t>We plan to address the momentary lack of practical evidence by investigating model repair [28] as the next step. we plan to experiment with solver-based approaches as well, further taking into account: Human interaction and learning.</t>
  </si>
  <si>
    <t>(Implementation)
(conflict resolution)
More (experiments)</t>
  </si>
  <si>
    <t>Stünkel et al.</t>
  </si>
  <si>
    <t>A57</t>
  </si>
  <si>
    <t>A57: Stünkel et al.</t>
  </si>
  <si>
    <t>A56: Vanilla</t>
  </si>
  <si>
    <t>fitness function called here Model Similarity expresses the degree of similarity of the candidate architecture model to a set of model variants.</t>
  </si>
  <si>
    <t>fitness function
+
EMF Diff/Merge</t>
  </si>
  <si>
    <t>Search-based by Genetic Algorithm</t>
  </si>
  <si>
    <t>Generate different population of model variants using GA algorithm and crossover and mutation and search for a high model similarity!</t>
  </si>
  <si>
    <t>Population generation is limited to the hardware limitation</t>
  </si>
  <si>
    <t>For future work we plan to improve the match policy to include more detailed information regarding the semantics of the model variants. Furthermore, we want to evaluate our approach with more case studies</t>
  </si>
  <si>
    <t>Focus on the (semantic conflict)
(Evaluation)</t>
  </si>
  <si>
    <t>Assunção et al.</t>
  </si>
  <si>
    <t>A58</t>
  </si>
  <si>
    <t>A58: Assunção et al.</t>
  </si>
  <si>
    <t>heterogeneous requirements are translated in model fragments which are instances of a common metamodel. Then, these fragments are merged in one unique model. On such a model inconsistencies such as under-specifications can be incrementally detected and formal analysis is made possible.</t>
  </si>
  <si>
    <t>Formal analysis</t>
  </si>
  <si>
    <t>Resolution targets the replacement of equivalent objects by one new object,
where properties have been set properly to keep the whole information.</t>
  </si>
  <si>
    <t>the adaptability of the approach to various contexts and input languages
we will assess the impact of the introduction of a new input language on fusion rules and on the CRM.</t>
  </si>
  <si>
    <t>(other modeling language)
(Evaluation)</t>
  </si>
  <si>
    <t>Perrouin et al.</t>
  </si>
  <si>
    <t>A59</t>
  </si>
  <si>
    <t>A59: Perrouin et al.</t>
  </si>
  <si>
    <t>Wisam Al Abed</t>
  </si>
  <si>
    <t>Jacques Klein</t>
  </si>
  <si>
    <t>RAM</t>
  </si>
  <si>
    <t>state machine</t>
  </si>
  <si>
    <t>Negotiation</t>
  </si>
  <si>
    <t>Computing Agreements, Exploration, and Resolution by user between alternative</t>
  </si>
  <si>
    <t>(Implementation)
(Evaluation)
(Conflict Resolution)</t>
  </si>
  <si>
    <t>Negotiation framework</t>
  </si>
  <si>
    <t>A60</t>
  </si>
  <si>
    <t>disagreements between the original models,
When the common refinement for two 3-valued models not exist at all
multi-valued model-checker _x001F_X-Chek [2],</t>
  </si>
  <si>
    <t>A60: Negotiation framework</t>
  </si>
  <si>
    <t>Andreas Demuth</t>
  </si>
  <si>
    <t>Markus Riedl-Ehrenleitner</t>
  </si>
  <si>
    <t>If conflicts are detected then the commit is aborted and developers are expected to resolve them analogous to other repositories.</t>
  </si>
  <si>
    <t>Incremental Consistency Checker</t>
  </si>
  <si>
    <t>The solution systematically reuses computed consistency checking knowledge, and provides complete consistency checking for all developers at all times. For each local copy and each change, they check related constriant, and when try to commite a user changes, they check for newer version</t>
  </si>
  <si>
    <t>For future work, further development tools will be integrated with our infrastructure</t>
  </si>
  <si>
    <t>incrementally propagating changes from tools to the PWA leads to more communication than the occasional batch processing of changes.</t>
  </si>
  <si>
    <t>A61</t>
  </si>
  <si>
    <t>Aditya Ghose</t>
  </si>
  <si>
    <t>Constraint Violation Event</t>
  </si>
  <si>
    <t>Run a resolution plan from three specified plans</t>
  </si>
  <si>
    <t>Agent-based
(Event for each change)</t>
  </si>
  <si>
    <t>Belief-Desire-Intention (BDI) architecture</t>
  </si>
  <si>
    <t>BDI Architecture</t>
  </si>
  <si>
    <t>We are planning to implement the Collaborative Controller as a plugin for Rational Software Architect. we will further develop a notion of \change failure" and distinguish this notion from\change rejection" (driven by trade-of analysis). use of model quality as a guide for option selection. Finally, an evaluation of the framework in a real collaborative.</t>
  </si>
  <si>
    <t>(Implementation)
(Visualization)
(Evaluation)
(Real-world model)</t>
  </si>
  <si>
    <t>A62</t>
  </si>
  <si>
    <t>A62: BDI Architecture</t>
  </si>
  <si>
    <t>graph-based models</t>
  </si>
  <si>
    <t>State machine</t>
  </si>
  <si>
    <t>multi-valued model checker</t>
  </si>
  <si>
    <t>We also plan to develop a more useable version of the tool to investigate how well it supports collaborative conceptual modeling, and especially stakeholder negotiation during requirements analysis.</t>
  </si>
  <si>
    <t>A63</t>
  </si>
  <si>
    <t>A set of views are inconsistent if some relationship that should hold between them does not hold.</t>
  </si>
  <si>
    <t>Use K-annotated graph and knowledge ordering based on the defining and mapping the interconnection between views. The interconnections used in the approach are based on homomorphisms</t>
  </si>
  <si>
    <t>studying whether our framework can be used for relating the behaviors of models
We also plan to develop a more usable version of the tool to investigate how well it
supports cooperative conceptual modeling, and especially stakeholder negotiation during requirements analysis.</t>
  </si>
  <si>
    <t>(Semantic conflict)
(Implementation)</t>
  </si>
  <si>
    <t>Hongzhi Liang</t>
  </si>
  <si>
    <t>Ernesto Posse</t>
  </si>
  <si>
    <t>Class diagrams with XML format</t>
  </si>
  <si>
    <t>The conflict report shows details of the changes
performed by the user through add, update and delete operations that have created
conflicts at the time of commit.</t>
  </si>
  <si>
    <t>Conflict Visualization/Report</t>
  </si>
  <si>
    <t>ModVCS</t>
  </si>
  <si>
    <t>can be extended to otherUMLdiagrams
Component for graphical visualization
evolution in a more effective way.</t>
  </si>
  <si>
    <t>A64</t>
  </si>
  <si>
    <t>A63: iVuBlender</t>
  </si>
  <si>
    <t>A64: ModVCS</t>
  </si>
  <si>
    <t>TReMer+ uses CrocoPat [1] –a first order relational manipulation tool– for consistency checking of individual models.</t>
  </si>
  <si>
    <t>The diagnostics include a list of offending classes, and for each such class, a counterexample path</t>
  </si>
  <si>
    <t>To simplify the specification of new consistency rules, TReMer+ provides a set of generic and reusable expressions capturing recurrent patterns in the structural constraints of graph-based models.</t>
  </si>
  <si>
    <t>TReMer+ is currently limited to homogeneous model only. Generalization to heterogeneous models presents a challenge because merge cannot be defined at a notational level.</t>
  </si>
  <si>
    <t>In future work, we plan to develop ways to merge models at a logical level and provide support for heterogeneous consistency checking [7, 3]. Another natural follow-on to our current work is resolution of global inconsistencies.</t>
  </si>
  <si>
    <t>(other modeling language)
(conflict resolution)</t>
  </si>
  <si>
    <t>A65</t>
  </si>
  <si>
    <t>A65: TReMer+</t>
  </si>
  <si>
    <r>
      <t>Semantic (</t>
    </r>
    <r>
      <rPr>
        <sz val="8"/>
        <color theme="1"/>
        <rFont val="Calibri"/>
        <family val="2"/>
        <scheme val="minor"/>
      </rPr>
      <t>At least one</t>
    </r>
    <r>
      <rPr>
        <sz val="11"/>
        <color theme="1"/>
        <rFont val="Calibri"/>
        <family val="2"/>
        <scheme val="minor"/>
      </rPr>
      <t>)</t>
    </r>
  </si>
  <si>
    <t>Raw merging (N-way)</t>
  </si>
  <si>
    <t>A natural way of minimizing the occurrence of such situations is to ensure that every collaborator is aware of what the other collaborators are currently working on.</t>
  </si>
  <si>
    <t>Conflict View/Report</t>
  </si>
  <si>
    <t>Efficient Consistency Checking of Interrelated Models</t>
  </si>
  <si>
    <t>https://doi.org/10.1007/978-3-319-61482-3_10</t>
  </si>
  <si>
    <t>Collaboratively enhanced consistency checking in a cloud-based engineering environment</t>
  </si>
  <si>
    <t>EICS</t>
  </si>
  <si>
    <t>https://doi.org/10.1145/3319499.3328232</t>
  </si>
  <si>
    <t>Consistency Checking of Conceptual Models via Model Merging</t>
  </si>
  <si>
    <t xml:space="preserve">15th IEEE International Requirements Engineering Conference </t>
  </si>
  <si>
    <t>https://doi.org/10.1109/RE.2007.18</t>
  </si>
  <si>
    <t>Comprehensive Systems: A formal foundation for Multi-Model Consistency Management</t>
  </si>
  <si>
    <t>Formal Aspects of Computing</t>
  </si>
  <si>
    <t>https://doi.org/10.1007/s00165-021-00555-2</t>
  </si>
  <si>
    <t>FAC</t>
  </si>
  <si>
    <t>Reasoning about Consistency in Model Merging</t>
  </si>
  <si>
    <t>Octo U.M.L: an environment for exploratory and collaborative software design</t>
  </si>
  <si>
    <t>IEEE/ACM 39th International Conference on Software Engineering Companion</t>
  </si>
  <si>
    <t>3rd Workshop on Living With Inconsistency in Software Development</t>
  </si>
  <si>
    <t>LWI @ ASE</t>
  </si>
  <si>
    <t>http://ceur-ws.org/Vol-661/paper6.pdf</t>
  </si>
  <si>
    <t>https://doi.org/10.1109/ICSE-C.2017.19</t>
  </si>
  <si>
    <t>OctoUML</t>
  </si>
  <si>
    <t>Boban Vesin</t>
  </si>
  <si>
    <t>Rodi Jolak</t>
  </si>
  <si>
    <t>Michel R. V. Chaudron</t>
  </si>
  <si>
    <t>Incremental view model synchronization using partial models</t>
  </si>
  <si>
    <t>21th ACM/IEEE International Conference on Model Driven Engineering Languages and Systems</t>
  </si>
  <si>
    <t>https://doi.org/10.1145/3239372.3239412</t>
  </si>
  <si>
    <t>Analysis of inconsistency in graph-based viewpoints: a category-theoretical approach</t>
  </si>
  <si>
    <t>IEEE International Conference on Automated Software Engineering</t>
  </si>
  <si>
    <t>https://doi.org/10.1109/ASE.2003.1240290</t>
  </si>
  <si>
    <t>Operation-based versus state-based merging in asynchronous graphical collaborative editing</t>
  </si>
  <si>
    <t>International Workshop on Collaborative Editing Systems</t>
  </si>
  <si>
    <t>CE</t>
  </si>
  <si>
    <t>https://www.semanticscholar.org/paper/Operation-based-versus-State-based-Merging-in-Ignat-Norrie/05e9d16c3997705f01d7c4f5350ab752dd53cd9f</t>
  </si>
  <si>
    <t>Claudia-Lavinia Ignat</t>
  </si>
  <si>
    <t>Moira C. Norrie</t>
  </si>
  <si>
    <t>A framework for multi-valued reasoning over inconsistent viewpoints</t>
  </si>
  <si>
    <t>https://doi.org/10.1109/ICSE.2001.919114</t>
  </si>
  <si>
    <t>Towards supporting awareness of indirect conflicts across software configuration management workspaces</t>
  </si>
  <si>
    <t>Proceedings of the twenty-second IEEE/ACM international conference on Automated software engineering</t>
  </si>
  <si>
    <t>https://doi.org/10.1145/1321631.1321647</t>
  </si>
  <si>
    <t>Anita Sarma</t>
  </si>
  <si>
    <t>Gerald Bortis</t>
  </si>
  <si>
    <t>Consistency Checking for Multiple View Software Architectures</t>
  </si>
  <si>
    <t>ACM SIGSOFT Symposium on Foundations of Software Engineering</t>
  </si>
  <si>
    <t>https://doi.org/10.1007/3-540-48166-4_25</t>
  </si>
  <si>
    <t>Advanced Local Checking of Global Consistency in Heterogeneous Multimodeling</t>
  </si>
  <si>
    <t>https://doi.org/10.1007/978-3-319-42061-5_2</t>
  </si>
  <si>
    <t>Using viewpoints for inconsistency management</t>
  </si>
  <si>
    <t>Software Engineering Journal</t>
  </si>
  <si>
    <t>https://doi.org/10.1049/sej.1996.0004</t>
  </si>
  <si>
    <t>The Viewer</t>
  </si>
  <si>
    <t>STEVE EASTERBROOK</t>
  </si>
  <si>
    <t>BASHAR NUSEIBEH</t>
  </si>
  <si>
    <t>Managing Conflicts in Goal-Driven Requirements Engineering</t>
  </si>
  <si>
    <t>https://doi.org/10.1109/32.730542</t>
  </si>
  <si>
    <t>Timestamp-based Consistency Checking of Collaboratively Developed Engineering Artifacts</t>
  </si>
  <si>
    <t>ICSSP</t>
  </si>
  <si>
    <t>IEEE/ACM Joint 15th International Conference on Software and System Processes</t>
  </si>
  <si>
    <t>https://doi.org/10.1109/ICSSP-ICGSE52873.2021.00017</t>
  </si>
  <si>
    <t>Team-Oriented Consistency Checking of Heterogeneous Engineering Artifacts</t>
  </si>
  <si>
    <t>IEEE/ACM 43rd International Conference on Software Engineering: Companion Proceedings</t>
  </si>
  <si>
    <t>https://doi.org/10.1109/ICSE-Companion52605.2021.00116</t>
  </si>
  <si>
    <t>Hierarchical Distribution of Consistency-relevant Changes in a Collaborative Engineering Environment</t>
  </si>
  <si>
    <t>https://doi.org/10.1109/ICSSP-ICGSE52873.2021.00018</t>
  </si>
  <si>
    <t>Towards Model Consistency Representations in a Multi-Disciplinary Engineering Network</t>
  </si>
  <si>
    <t>ETFA</t>
  </si>
  <si>
    <t>IEEE International Conference on Emerging Technologies and Factory Automation</t>
  </si>
  <si>
    <t>https://doi.org/10.1109/ETFA46521.2020.9211900</t>
  </si>
  <si>
    <t>PSE-MECon</t>
  </si>
  <si>
    <t xml:space="preserve">International Enterprise Distributed Object Computing Workshop </t>
  </si>
  <si>
    <t>A Formal Verification of the Integration of Activity and Goal-Based Workflows</t>
  </si>
  <si>
    <t>https://doi.org/10.1109/EDOCW49879.2020.00014</t>
  </si>
  <si>
    <t>António Rito Silva</t>
  </si>
  <si>
    <t>On Preserving Variability Consistency in Multiple Models</t>
  </si>
  <si>
    <t>International Working Conference on Variability Modelling of Software-Intensive Systems</t>
  </si>
  <si>
    <t>https://doi.org/10.1145/3442391.3442399</t>
  </si>
  <si>
    <t>Sandra Greiner</t>
  </si>
  <si>
    <t>Concurrent model synchronisation with multiple objectives</t>
  </si>
  <si>
    <t>Proceedings of the Genetic and Evolutionary Computation Conference</t>
  </si>
  <si>
    <t>https://doi.org/10.1145/3449639.3459283</t>
  </si>
  <si>
    <t>Multi-model Consistency Preservation</t>
  </si>
  <si>
    <t>International Conference on Model Driven Engineering Languages and Systems: Companion Proceedings</t>
  </si>
  <si>
    <t>https://doi.org/10.1145/3270112.3275335</t>
  </si>
  <si>
    <t>Formal modeling and verification of UML Activity Diagrams (UAD) with FoCaLiZe</t>
  </si>
  <si>
    <t>JSA</t>
  </si>
  <si>
    <t>https://doi.org/10.1016/j.sysarc.2020.101911</t>
  </si>
  <si>
    <t>Enabling consistency in view-based system development — The Vitruvius approach</t>
  </si>
  <si>
    <t>https://doi.org/10.1016/j.jss.2020.110815</t>
  </si>
  <si>
    <t>Towards Inconsistency Tolerance by Quantification of Semantic Inconsistencies</t>
  </si>
  <si>
    <t>COMMitMDE @ MoDELS</t>
  </si>
  <si>
    <t>International Workshop on Collaborative Modelling in MDE</t>
  </si>
  <si>
    <t>http://ceur-ws.org/Vol-1717/paper8.pdf</t>
  </si>
  <si>
    <t>István Dávid</t>
  </si>
  <si>
    <t>Clark Verbrugge</t>
  </si>
  <si>
    <t>Dominique Blouin</t>
  </si>
  <si>
    <t>Ken Vanherpen</t>
  </si>
  <si>
    <t>Joachim Denil</t>
  </si>
  <si>
    <t>Hans Vangheluwe</t>
  </si>
  <si>
    <t>16th International Industrial Simulation Conference</t>
  </si>
  <si>
    <t>ISC</t>
  </si>
  <si>
    <t>Process-oriented inconsistency management in collaborative systems modeling</t>
  </si>
  <si>
    <t>variED: an editor for collaborative, real-time feature modeling</t>
  </si>
  <si>
    <t>https://doi.org/10.1007/s10664-020-09892-x</t>
  </si>
  <si>
    <t>A semi-transparent selective undo algorithm for multi-user collaborative editors</t>
  </si>
  <si>
    <t>Frontiers of Computer Science</t>
  </si>
  <si>
    <t>https://doi.org/10.1007/s11704-020-9518-x</t>
  </si>
  <si>
    <t>FCS</t>
  </si>
  <si>
    <t>Weiwei CAI</t>
  </si>
  <si>
    <t>Fazhi HE</t>
  </si>
  <si>
    <t>Xiao LV</t>
  </si>
  <si>
    <t>Yuan CHENG</t>
  </si>
  <si>
    <t>LMM</t>
  </si>
  <si>
    <t>Model Transformaiton and localization</t>
  </si>
  <si>
    <t>Revise input models (along the constraints or restricted bindings)</t>
  </si>
  <si>
    <t>Revising Input Models</t>
  </si>
  <si>
    <t>Based on the Match List and inference Algorithm</t>
  </si>
  <si>
    <t>localized along the restricted bindings and an algorithm for consistency checking</t>
  </si>
  <si>
    <t>Partial mapping (Similarity metrics)</t>
  </si>
  <si>
    <t>matching is often only semi-automatic and needs manual support to be correct.</t>
  </si>
  <si>
    <t>(Manually) definition of rules
(Usability)</t>
  </si>
  <si>
    <t>(Manually) matching</t>
  </si>
  <si>
    <t>We are going to evaluate the algorithm.  Tooling framework.
It has to be analysed whether our approach scales in larger use-cases.
The next natural step is to extend multi-model consistency checking to multimodel-
repairing.
The challenge will be to find an appropriate generalization of the framework. 
The ideas of incremental consistency checking.</t>
  </si>
  <si>
    <t>A66</t>
  </si>
  <si>
    <t>A66: LMM</t>
  </si>
  <si>
    <t>(Implementation)
(Evaluation)
Automatic (conflict resolution)
(Generalization) (Scalability)
(Incremental consistency checking)</t>
  </si>
  <si>
    <t>Using typed graph</t>
  </si>
  <si>
    <t>Multiple Model Synchronization with Multiary Delta Lenses</t>
  </si>
  <si>
    <t>FASE</t>
  </si>
  <si>
    <t>https://doi.org/10.1007/978-3-319-89363-1_2</t>
  </si>
  <si>
    <t>Mark Lawford</t>
  </si>
  <si>
    <t>Multi-Model Consistency Management as a three step process comprising the activities alignment, verification and restoration</t>
  </si>
  <si>
    <t>The workflow of constructing a domain-specific trace model is mapped to the well-known (meta-) model-instance-pattern.</t>
  </si>
  <si>
    <t>Using model-instance-pattern for domain-specific trace model</t>
  </si>
  <si>
    <t>we require the existence of a graph-like universal meta-language and may require to implement necessary translators or adapters to integrate heterogeneous modelling tools.
The main limitation of our approach is its current lack of practical evidence.
comprehensive systems do not provide their own model repair concept and rely on existing solutions.</t>
  </si>
  <si>
    <t xml:space="preserve">(Implementation)
(Evaluation)
(conflict resolution)
</t>
  </si>
  <si>
    <t>The biggest limitation of our approach is practical evidence
We will also have to address the challenge of model repair.
An empirical investigation resulting in a catalogue of such rules is another possible future direction.</t>
  </si>
  <si>
    <t>Demuth et al.</t>
  </si>
  <si>
    <t>A61: Demuth et al.</t>
  </si>
  <si>
    <t>Full Activity Awareness</t>
  </si>
  <si>
    <t>Team-Driven Error Handling</t>
  </si>
  <si>
    <t>Consistency Checking</t>
  </si>
  <si>
    <t>Desktop
Web based
Mobile</t>
  </si>
  <si>
    <t>Acitve</t>
  </si>
  <si>
    <t>Conflict Awareness (Visualization)
(Visualization)</t>
  </si>
  <si>
    <t>Conflict Awareness (Visualization)</t>
  </si>
  <si>
    <t>Selected Group Awareness: Sometimes consistency information of a specific group context can be of interest
The systematic linking of engineering knowledge also benefits change and reuse</t>
  </si>
  <si>
    <r>
      <t>Indeed, inconsistencies do not arise at the time artifacts are</t>
    </r>
    <r>
      <rPr>
        <sz val="11"/>
        <color rgb="FFFF0000"/>
        <rFont val="Calibri"/>
        <family val="2"/>
        <scheme val="minor"/>
      </rPr>
      <t xml:space="preserve"> published,</t>
    </r>
    <r>
      <rPr>
        <sz val="11"/>
        <color theme="1"/>
        <rFont val="Calibri"/>
        <family val="2"/>
        <scheme val="minor"/>
      </rPr>
      <t xml:space="preserve"> but at the time they are</t>
    </r>
    <r>
      <rPr>
        <sz val="11"/>
        <color rgb="FFFF0000"/>
        <rFont val="Calibri"/>
        <family val="2"/>
        <scheme val="minor"/>
      </rPr>
      <t xml:space="preserve"> created or modified </t>
    </r>
    <r>
      <rPr>
        <sz val="11"/>
        <color theme="1"/>
        <rFont val="Calibri"/>
        <family val="2"/>
        <scheme val="minor"/>
      </rPr>
      <t>by engineers in their respective tools.</t>
    </r>
  </si>
  <si>
    <t>N-way (Raw Merging)</t>
  </si>
  <si>
    <t xml:space="preserve">The collaboration type is online, since each change is notified immediately to server and Private workspace. But propagating changes between collaborator is offline.  </t>
  </si>
  <si>
    <t>This approach cannot find semantic conflicts and side effects that arise after applying changes of collaborators that work in parallel.
A lot of check (for each change)</t>
  </si>
  <si>
    <t>continuously check consistency against the latest state of engineering artifacts, but against several, historical versions.</t>
  </si>
  <si>
    <t>TIMESTAMP-BASED</t>
  </si>
  <si>
    <r>
      <t xml:space="preserve">consistency rules can be formulated </t>
    </r>
    <r>
      <rPr>
        <sz val="11"/>
        <color rgb="FFFF0000"/>
        <rFont val="Calibri"/>
        <family val="2"/>
        <scheme val="minor"/>
      </rPr>
      <t xml:space="preserve">beyond the boundaries of a single tool </t>
    </r>
    <r>
      <rPr>
        <sz val="11"/>
        <color theme="1"/>
        <rFont val="Calibri"/>
        <family val="2"/>
        <scheme val="minor"/>
      </rPr>
      <t xml:space="preserve">and </t>
    </r>
    <r>
      <rPr>
        <sz val="11"/>
        <color rgb="FFFF0000"/>
        <rFont val="Calibri"/>
        <family val="2"/>
        <scheme val="minor"/>
      </rPr>
      <t>compare artifacts from different tools</t>
    </r>
    <r>
      <rPr>
        <sz val="11"/>
        <color theme="1"/>
        <rFont val="Calibri"/>
        <family val="2"/>
        <scheme val="minor"/>
      </rPr>
      <t xml:space="preserve"> with each other.
</t>
    </r>
    <r>
      <rPr>
        <sz val="11"/>
        <color rgb="FFFF0000"/>
        <rFont val="Calibri"/>
        <family val="2"/>
        <scheme val="minor"/>
      </rPr>
      <t>intra- and inter model consistency (local and global) consistency</t>
    </r>
    <r>
      <rPr>
        <sz val="11"/>
        <color theme="1"/>
        <rFont val="Calibri"/>
        <family val="2"/>
        <scheme val="minor"/>
      </rPr>
      <t xml:space="preserve">. What is required for global consistency checking is a common ground on which engineering artifacts can be compared. Such a common ground is normally achieved through such activities as model merging.
In the context of full artifact awareness, the consistency checker can view an artifact comprised of its </t>
    </r>
    <r>
      <rPr>
        <sz val="11"/>
        <color rgb="FFFF0000"/>
        <rFont val="Calibri"/>
        <family val="2"/>
        <scheme val="minor"/>
      </rPr>
      <t>public version complemented by the individual changes of the engineers</t>
    </r>
    <r>
      <rPr>
        <sz val="11"/>
        <color theme="1"/>
        <rFont val="Calibri"/>
        <family val="2"/>
        <scheme val="minor"/>
      </rPr>
      <t xml:space="preserve">.
</t>
    </r>
    <r>
      <rPr>
        <sz val="11"/>
        <color rgb="FFFF0000"/>
        <rFont val="Calibri"/>
        <family val="2"/>
        <scheme val="minor"/>
      </rPr>
      <t>Reuse consistency constraints</t>
    </r>
    <r>
      <rPr>
        <sz val="11"/>
        <color theme="1"/>
        <rFont val="Calibri"/>
        <family val="2"/>
        <scheme val="minor"/>
      </rPr>
      <t xml:space="preserve"> and engineers knowledges</t>
    </r>
  </si>
  <si>
    <t>Hierarchical Distribution</t>
  </si>
  <si>
    <t>Based on the hierarchicy two collaborators work on the same private work space</t>
  </si>
  <si>
    <t>Check changes on private work areas, joint private work areas, and public work area</t>
  </si>
  <si>
    <t>A lot of consistency checking operations are required</t>
  </si>
  <si>
    <t>For future work, we would like to check consistency within groups of work areas, independently from any work area hierarchy. To achieve this, we plan to expand the
data gathering mechanism of the CEE’s consistency checker.</t>
  </si>
  <si>
    <t>Sotirios Liaskos</t>
  </si>
  <si>
    <t>Homogeneous</t>
  </si>
  <si>
    <t>our approach works by first constructing a merged model and then verifying this model against the consistency constraints of interest.</t>
  </si>
  <si>
    <t>A common approach for extending consistency checks to distributed models is to write consistency rules for the mappings between models</t>
  </si>
  <si>
    <t>Our current work applies to homogeneous models only.</t>
  </si>
  <si>
    <t xml:space="preserve"> Extending this to heterogeneous models presents a challenge because merge cannot be defined at a notational level.
Another area for future work is to further study the practical utility of our approach by conducting user trials</t>
  </si>
  <si>
    <t>(other modeling language)
more (Experiments)</t>
  </si>
  <si>
    <t>Sabetzadeh et al.</t>
  </si>
  <si>
    <t>A67</t>
  </si>
  <si>
    <t>Finite model theory</t>
  </si>
  <si>
    <t>Used first order logict for structural relation and merge through a homomorphism.
Preserver based on the fail in the finite case</t>
  </si>
  <si>
    <t>For future work, we would like to provide a full logical characterization of colimits
we would like to explore the application of our results for checking the consistency of model</t>
  </si>
  <si>
    <t>Kristóf Marussy</t>
  </si>
  <si>
    <t>Oszkár Semeráth</t>
  </si>
  <si>
    <t>Fuzzy-Viewpoint</t>
  </si>
  <si>
    <t>Category-Theoretic Approach</t>
  </si>
  <si>
    <t xml:space="preserve">They create a lattice of interconnecte viewpoints and check that finite set is known or not!
we can integrate any finite set of viewpoints with known interconnections by constructing the colimit. This category-theoretic approach formalizes the ad hoc merge operation. </t>
  </si>
  <si>
    <t>A limitation to FView categories which is implicit in
the notion of viewpoint morphism is that we assume the existence of a unified universe of atomic propositions (denoted U). This implies that the name of a proposition suffices for uniquely identifying the concept</t>
  </si>
  <si>
    <t>Limiation in the notion of viewpoint morphism</t>
  </si>
  <si>
    <t>(other modeling language)
(semantic conflict)</t>
  </si>
  <si>
    <t>Our future work includes adding support for hierarchical structures like Statecharts.
Exploring possible ways of taking semantics-related details into account is yet another part of our future work</t>
  </si>
  <si>
    <t>A67: Fuzzy-Viewpoint</t>
  </si>
  <si>
    <t>Xbel</t>
  </si>
  <si>
    <t>State-machine</t>
  </si>
  <si>
    <t>Work for inconsistent models</t>
  </si>
  <si>
    <t>(Xcheck) model checking using temporal properties expressed in CTL.</t>
  </si>
  <si>
    <t>Formal reasoning</t>
  </si>
  <si>
    <t>Constriant Violation
+
Formal reasoning</t>
  </si>
  <si>
    <t>Formal reasoning
+
Constraint violation</t>
  </si>
  <si>
    <t>Formal reasoning
+
Critical Pair Analysis</t>
  </si>
  <si>
    <t>We are also looking into ways to best capture and utilize viewpoint invariants.
We are planning to extend it to reasoning about asynchronous parallelism and real-time</t>
  </si>
  <si>
    <t>Improve consistency checking mechanisms</t>
  </si>
  <si>
    <t>Improve consistency reasoning</t>
  </si>
  <si>
    <t>A68</t>
  </si>
  <si>
    <t>A68: Xbel</t>
  </si>
  <si>
    <t>global consistency checking would be impractical because of (a) costly (meta)model matching needed to specify the overlaps, and (b) necessity to build big and unfeasible merges of metamodels and models.</t>
  </si>
  <si>
    <t>we can control the granularity of consistency checking by combining constraints into groups checked separately.</t>
  </si>
  <si>
    <t>Typed graph</t>
  </si>
  <si>
    <t>to generalize the proposed binary overlapping algorithm together with a necessary equivalence theorem for the general N-ary overlapping case.
We also plan to evaluate the algorithm in the tooling framework</t>
  </si>
  <si>
    <t>Support N-way
(Implementation)</t>
  </si>
  <si>
    <t>PaMoMo</t>
  </si>
  <si>
    <t>Model Transformation 
+ 
Metamodeling</t>
  </si>
  <si>
    <t>pattern-based modeling language to define the consistency rules</t>
  </si>
  <si>
    <t>PaMoMo modeling language for specifying inter-model inconsistency by Graph-based pattern in TGP</t>
  </si>
  <si>
    <t>Using a specific link metamodel, they define the mapping and the link model between models</t>
  </si>
  <si>
    <t>we represent the handling of inconsistencies by documenting different actions such as resolving, ignoring or tolerating inconsistencies.</t>
  </si>
  <si>
    <t>tolerance can, e.g., occur due to param- eter tolerance (e.g., the user decides to tolerate the inconsistency as parameter values slightly deviate) or due to temporal tolerance (e.g., the user decides to tolerate the inconsistency for a certain amount of time).</t>
  </si>
  <si>
    <t>(Visualization)
(Manually) matching</t>
  </si>
  <si>
    <r>
      <t>we compared ex- isting approaches that aim at managing inconsistency in sets of heterogeneous models. We discovered that a multitude of such ap- proaches exists and classified them into ( i ) approaches that make use of</t>
    </r>
    <r>
      <rPr>
        <sz val="11"/>
        <color rgb="FFFF0000"/>
        <rFont val="Calibri"/>
        <family val="2"/>
        <scheme val="minor"/>
      </rPr>
      <t xml:space="preserve"> logical reasoning and theorem proving </t>
    </r>
    <r>
      <rPr>
        <sz val="11"/>
        <color theme="1"/>
        <rFont val="Calibri"/>
        <family val="2"/>
        <scheme val="minor"/>
      </rPr>
      <t xml:space="preserve">, in which formal mod- els are used to formally conclude whether the models are consis- tent or not, ( ii ) </t>
    </r>
    <r>
      <rPr>
        <sz val="11"/>
        <color rgb="FFFF0000"/>
        <rFont val="Calibri"/>
        <family val="2"/>
        <scheme val="minor"/>
      </rPr>
      <t xml:space="preserve">rule- and pattern-based approaches </t>
    </r>
    <r>
      <rPr>
        <sz val="11"/>
        <color theme="1"/>
        <rFont val="Calibri"/>
        <family val="2"/>
        <scheme val="minor"/>
      </rPr>
      <t xml:space="preserve">, in which (neg- ative or positive) constraints are used to describe the conditions for the presence of an (in-)consistency, and ( iii ) </t>
    </r>
    <r>
      <rPr>
        <sz val="11"/>
        <color rgb="FFFF0000"/>
        <rFont val="Calibri"/>
        <family val="2"/>
        <scheme val="minor"/>
      </rPr>
      <t>synchronization- based approaches</t>
    </r>
    <r>
      <rPr>
        <sz val="11"/>
        <color theme="1"/>
        <rFont val="Calibri"/>
        <family val="2"/>
        <scheme val="minor"/>
      </rPr>
      <t xml:space="preserve"> , in which bi-directional or uni-directional model synchronizations are used to propagate changes from one model to another.</t>
    </r>
  </si>
  <si>
    <t>an integrated model provides a holistic (and not visual) view on the system.
non-intrusive linkage of models is required
lack support for managing inconsistencies as they are either mainly focusing on user-defined links without automatic support</t>
  </si>
  <si>
    <t>further directions for research are ( i ) integrating engineering documents such as CAD drawings and circuit diagrams into our inconsistency management approach, ( ii ) supporting “fuzzy”inconsistencies that are not focused on exact matches, but similar- ities, as well as ( iii ) integrating further inconsistency management aspects such as the concrete syntax of modeling languages into our inconsistency management approach.</t>
  </si>
  <si>
    <t>(other modeling language) and artifacts
support fuzzy inconsistency and more conflict situations
(Visualization)</t>
  </si>
  <si>
    <t>Dietmar Winkler</t>
  </si>
  <si>
    <t>Arndt Luder</t>
  </si>
  <si>
    <t>K. Meixner</t>
  </si>
  <si>
    <t>F. Rinker</t>
  </si>
  <si>
    <t>Stefan Biffl</t>
  </si>
  <si>
    <t>variED</t>
  </si>
  <si>
    <t>A Precedence-Driven Approach for Concurrent Model Synchronization Scenarios using Triple Graph Grammars</t>
  </si>
  <si>
    <t>Proceedings of the 13th ACM SIGPLAN International Conference on Software Language Engineering</t>
  </si>
  <si>
    <t>https://doi.org/10.1145/3426425.3426931</t>
  </si>
  <si>
    <t>Adrian Möller</t>
  </si>
  <si>
    <t xml:space="preserve">Andy Schürr </t>
  </si>
  <si>
    <t>Weidmann and Engels</t>
  </si>
  <si>
    <t>this approach applies a uniform data representation, into which engineering artifacts - or parts thereof - are transformed, before they are stored in a cloud environment.</t>
  </si>
  <si>
    <t>Convert all artifact to a Uniform Data Representation (A scope reflects all artifacts that are traversed during the evaluation process of a CRE.)</t>
  </si>
  <si>
    <t>Still, to the best of our knowledge, there is neither a tool nor a technique that supports collaborative, real-time editing of the same variability model, similar to the text editors Google Docs and Overleaf.</t>
  </si>
  <si>
    <t>Computing conflict relation in change propagation</t>
  </si>
  <si>
    <t>In future work, we want to address the question of how to raise awareness of collaborators for potentially conflicting editing operations in order to avoid conflicts in the first place.</t>
  </si>
  <si>
    <t>(raise awareness)
(Conflict prevention)</t>
  </si>
  <si>
    <t>A conflict occurs if two or more concurrent operations violate each other’s intentions.
(Topological Sorting Strategy)
They used two algorithms for inner (feature model syntactic conflicts) and outter conflict (conflicts between operations) detections over a Causal Directed Acyclic Graph using Topological Sorting Strategy.</t>
  </si>
  <si>
    <t>eMoflon</t>
  </si>
  <si>
    <t>incremental graph pattern matching techniques.
Whenever it is not possible to simultaneously preserve user-changes on the source and on the target model such that the model remains in the language of the TGG, we call this a conflict.</t>
  </si>
  <si>
    <t>Static conflict
A conflict is a situation where all options available to propagate a certain change require to undo another one.</t>
  </si>
  <si>
    <t>a catalog of concurrent synchronization
fragments that includes the previously introduced operationalizations of TGG rules and three pre-defined conflict resolution strategies.</t>
  </si>
  <si>
    <t xml:space="preserve">(Implementation)
More (experiments)
</t>
  </si>
  <si>
    <t xml:space="preserve">For the future, we plan to extend and formalize our approach.
Further investigations are also needed to study the effects of one major design decision. further experiments are needed to confirm our experiences. Finally, we plan to build up a rich zoo of concurrent synchronization scenarios.
</t>
  </si>
  <si>
    <t>A69</t>
  </si>
  <si>
    <t>A69: eMoflon</t>
  </si>
  <si>
    <t>Multimodel correspondence through inter-model constraints</t>
  </si>
  <si>
    <t>ICPS</t>
  </si>
  <si>
    <t>https://doi.org/10.1145/3191697.3191715</t>
  </si>
  <si>
    <t>Conference Companion of the 2nd International Conference on Art, Science, and Engineering of Programming</t>
  </si>
  <si>
    <t>Instant distribution of consistency-relevant change information in a hierarchical multi-developer engineering environment</t>
  </si>
  <si>
    <t>Goal-conflict detection based on temporal satisfiability checking</t>
  </si>
  <si>
    <t>Proceedings of the 36th Annual ACM Symposium on Applied Computing</t>
  </si>
  <si>
    <t>https://doi.org/10.1145/3412841.3442127</t>
  </si>
  <si>
    <t>31st IEEE/ACM International Conference on Automated Software Engineering (ASE)</t>
  </si>
  <si>
    <t>https://ieeexplore.ieee.org/document/7582786</t>
  </si>
  <si>
    <t>Renzo Degiovanni</t>
  </si>
  <si>
    <t>Nicolas Ricci</t>
  </si>
  <si>
    <t>Dalal Alrajeh</t>
  </si>
  <si>
    <t>Pablo Castro</t>
  </si>
  <si>
    <t>Nazareno Aguirre</t>
  </si>
  <si>
    <t>Formalizing model consistency based on the abstract syntax</t>
  </si>
  <si>
    <t>Proceedings of the 3rd ACM SIGCHI symposium on Engineering interactive computing systems</t>
  </si>
  <si>
    <t>https://doi.org/10.1145/1996461.1996498</t>
  </si>
  <si>
    <t>Veit Schwartze</t>
  </si>
  <si>
    <t>Frank Trollmann</t>
  </si>
  <si>
    <t>Marco Blumendorf</t>
  </si>
  <si>
    <t>Sahin Albayrak</t>
  </si>
  <si>
    <t>How to Live with Inconsistencies in Industrial Model-Based Development Practice</t>
  </si>
  <si>
    <t>2019 ACM/IEEE 22nd International Conference on Model Driven Engineering Languages and Systems Companion (MODELS-C)</t>
  </si>
  <si>
    <t>https://doi.org/10.1109/MODELS-C.2019.00098</t>
  </si>
  <si>
    <t>Robbert Jongeling</t>
  </si>
  <si>
    <t>hierarchically organized work areas storing
artifact changes</t>
  </si>
  <si>
    <t>Consistency Rule Definition artifacts</t>
  </si>
  <si>
    <t>we would like to check consistency within arbitrary groups of work areas (i.e.,
independently from any work area hierarchy). To achieve this, we plan to further expand the data gathering mechanism of the CEE’s consistency checker.</t>
  </si>
  <si>
    <t>#Remained Papers</t>
  </si>
  <si>
    <t>#Entered Papers</t>
  </si>
  <si>
    <t>Accepted Papers</t>
  </si>
  <si>
    <t xml:space="preserve">#Approaches </t>
  </si>
  <si>
    <t>Final pool of 
Primary Studies</t>
  </si>
  <si>
    <t>69 Approaches</t>
  </si>
  <si>
    <t>(Cascading deletion)</t>
  </si>
  <si>
    <t>(specific modeling language)</t>
  </si>
  <si>
    <t>(specific modeling language)
+
Generalization</t>
  </si>
  <si>
    <t>Generalization: work for specific modeling language</t>
  </si>
  <si>
    <t>Only for homogeneous models (specific modeling language)</t>
  </si>
  <si>
    <t>Need to universal meta-language (specific modeling language)
Lake of (Tool) support
Dependency to other tools</t>
  </si>
  <si>
    <t># in 105</t>
  </si>
  <si>
    <t>Improve consistency checking and reasoning</t>
  </si>
  <si>
    <t>Support other models</t>
  </si>
  <si>
    <t>Process, Tool</t>
  </si>
  <si>
    <t>Method, Algorithm, Tool</t>
  </si>
  <si>
    <t>Approach, Process, Tool</t>
  </si>
  <si>
    <t>Approach, Process, Framework, Tool</t>
  </si>
  <si>
    <t>Process, Framework, Tool</t>
  </si>
  <si>
    <t>Approach, Tool, Metric</t>
  </si>
  <si>
    <t>Approach, Metric, Tool</t>
  </si>
  <si>
    <t>Approach, Framework</t>
  </si>
  <si>
    <t>Method, Framework</t>
  </si>
  <si>
    <t>Method, Algorithm</t>
  </si>
  <si>
    <t>Framework, Approach</t>
  </si>
  <si>
    <t>Framework, Method, Tool</t>
  </si>
  <si>
    <t>Framework, Process, Approach, Tool</t>
  </si>
  <si>
    <t>Conflict Representation
(Awareness)</t>
  </si>
  <si>
    <t>Conflict Report</t>
  </si>
  <si>
    <t>Method, Process, Tool</t>
  </si>
  <si>
    <t>Approach, Model, Tool</t>
  </si>
  <si>
    <t>Process, Algorithm</t>
  </si>
  <si>
    <t>Approach, Algorithm, Process, Method, Tool</t>
  </si>
  <si>
    <t>Syntactic</t>
  </si>
  <si>
    <t>Change Awareness</t>
  </si>
  <si>
    <t>Conflict Highlighting</t>
  </si>
  <si>
    <t>A07: MONDO</t>
  </si>
  <si>
    <t>A08: Gerth et al.</t>
  </si>
  <si>
    <t>A09: Bartelt</t>
  </si>
  <si>
    <t>A10: Jazz</t>
  </si>
  <si>
    <t>A11: Kehrer et al.</t>
  </si>
  <si>
    <t>A12: ModelBus</t>
  </si>
  <si>
    <t>A13: D-PRAXIS</t>
  </si>
  <si>
    <t>A14: Conflict UML Profile</t>
  </si>
  <si>
    <t>A15: E3MP</t>
  </si>
  <si>
    <t>A16: Mirador</t>
  </si>
  <si>
    <t>A17: CSP</t>
  </si>
  <si>
    <t>A18: ArgoEclipse+ADAMS</t>
  </si>
  <si>
    <t>A19: CAMEL</t>
  </si>
  <si>
    <t>A20: MOMM</t>
  </si>
  <si>
    <t>A21: Colex</t>
  </si>
  <si>
    <t>A22: AMOR</t>
  </si>
  <si>
    <t>A23: Wieland et al.</t>
  </si>
  <si>
    <t>A24: Taentzer et al.</t>
  </si>
  <si>
    <t>A25: BTMerge</t>
  </si>
  <si>
    <t>A26: Cicchetti et al.</t>
  </si>
  <si>
    <t>A27: variED</t>
  </si>
  <si>
    <t>A28: SMoVer</t>
  </si>
  <si>
    <t>A29: XSD-aware (XSM)</t>
  </si>
  <si>
    <t>A30: Mafazi et al.</t>
  </si>
  <si>
    <t>A31: MOMENT</t>
  </si>
  <si>
    <t>A32: SyncMeta</t>
  </si>
  <si>
    <t>A33: Odyssey</t>
  </si>
  <si>
    <t>A34: Diff-Merge</t>
  </si>
  <si>
    <t>A35: Phalp et al.</t>
  </si>
  <si>
    <t>A36: Model Consistency</t>
  </si>
  <si>
    <t>A37: DPF</t>
  </si>
  <si>
    <t>A38: CoMBM</t>
  </si>
  <si>
    <t>A39: Pyro</t>
  </si>
  <si>
    <t>A40: MetaEdit+</t>
  </si>
  <si>
    <t>A41: CPL</t>
  </si>
  <si>
    <t>A42: SuperMod</t>
  </si>
  <si>
    <t>A43: Mens et al. (AGG)</t>
  </si>
  <si>
    <t>A44: Zhang et al.</t>
  </si>
  <si>
    <t>A45: Costa et al.</t>
  </si>
  <si>
    <t>A46: DPF as RDF</t>
  </si>
  <si>
    <t>A47: AMOR+</t>
  </si>
  <si>
    <t>A48: Jahed et al.</t>
  </si>
  <si>
    <t>A49: Hachemi &amp; Nacer</t>
  </si>
  <si>
    <t>A50: Colla-Config</t>
  </si>
  <si>
    <t>A06: xoWiki</t>
  </si>
  <si>
    <t>Formal consistency of models in multi-view modelling</t>
  </si>
  <si>
    <t xml:space="preserve">Purandar Bhaduri </t>
  </si>
  <si>
    <t>R. Venkatesh</t>
  </si>
  <si>
    <t>https://www.iitg.ac.in/pbhaduri/papers/consistency.pdf</t>
  </si>
  <si>
    <t>Workshop on Consistency Problems in UML-Based Software Development</t>
  </si>
  <si>
    <t>CPSD</t>
  </si>
  <si>
    <t>Snowballing
(initial studies)</t>
  </si>
  <si>
    <t>Snowballing
(apply I/E criteria)</t>
  </si>
  <si>
    <t>Snowballing
(detailed filtering)</t>
  </si>
  <si>
    <t>Sync Modifications (Model Editing) (Revising Input Models)</t>
  </si>
  <si>
    <t>Sync Modifications (Model Editing)</t>
  </si>
  <si>
    <t>Change Awareness 
(Highlight Propagation)</t>
  </si>
  <si>
    <t>Approach, Process, Approach, Tool</t>
  </si>
  <si>
    <t>Apporach, Algorithm, Tool</t>
  </si>
  <si>
    <t>Sync Modifications</t>
  </si>
  <si>
    <t>%A[2016 to 2021] of 69 Apps</t>
  </si>
  <si>
    <t>#Approach [2016 to 2021]</t>
  </si>
  <si>
    <t>%Sum of All (69 Apps)</t>
  </si>
  <si>
    <t>%A[2016 to 2021] of 28 Apps</t>
  </si>
  <si>
    <t>%A[2016 to 2021] of Sum App</t>
  </si>
  <si>
    <t>Change Awareness (Highlight Propagation)</t>
  </si>
  <si>
    <t>(a) the extension of process to support any kind of semantic conflict, (b) the support for complex dependencies between conflicts that resolution of one has side effect on the other, (c) the extension of toolkit to operate on well-known open source components, such as EMFCompare for model comparison, (d) the extension of our process and toolkit to support real-time merge on the Epsilon framework, and (e) automatically generation of the Epsilon scripts to provide facilities not only for comparing, merging, and validating model versions but also for detection and resolution pattern in the E3MP process.</t>
  </si>
  <si>
    <t>Search String</t>
  </si>
  <si>
    <t>(("model merging" or "model composition" or "model weaving" or "multi-view synchronization" or "model versioning" or "collaborative modeling") AND (("conflict" or "inconsistency" or "interference") AND ("management" or "prevention" or "avoidance" or "specification" or "detection" or "detecting" or "fixing" or "resolving" or "resolution" or "reconciliation" or "representation" or "awareness" or "warning")))</t>
  </si>
  <si>
    <t>(("model merging" OR "model composition" OR "model weaving" OR "multi-view synchronization" OR "model versioning" OR "collaborative modeling") AND (("conflict" OR "inconsistency" OR "interference") AND ("management" OR "prevention" OR "avoidance" OR "specification" OR "detection" OR "fixing" OR "resolution" OR "reconciliation" OR "representation" OR "awareness" OR "warning")))</t>
  </si>
  <si>
    <t>("model merging" OR "model composition" OR "model weaving" OR "multi-view synchronization" OR "model versioning" OR "collaborative modeling") AND (("conflict" OR "inconsistency" OR "interference") AND ("manage" OR "prevent" OR "avoid" OR "specify" OR "detect" OR "fix" OR "resolve" OR "reconcile" OR "represent" OR "aware" OR "warn"))</t>
  </si>
  <si>
    <t>("model merging" OR "model composition" OR "model weaving" OR "multi-view synchronization" OR "model versioning" OR "collaborative modeling") AND ("conflict" OR "inconsistency" OR "interference") AND (manag* OR prevent* OR avoid* OR specif* OR detect* OR fix* OR resol* OR reconcil* OR represent* OR aware* OR warn*)</t>
  </si>
  <si>
    <t>(Model AND Conflict AND (manag* OR prevent* OR avoid* OR specif* OR detect* OR fix* OR resol* OR reconcil* OR represent* OR aware* OR warn*)) OR (Model AND inconsistency AND (manag* OR prevent* OR avoid* OR specif* OR detect* OR fix* OR resol* OR reconcil* OR represent* OR aware* OR warn*)) OR (Model AND interference AND (manag* OR prevent* OR avoid* OR specif* OR detect* OR fix* OR resol* OR reconcil* OR represent* OR aware* OR warn*))</t>
  </si>
  <si>
    <t>DiCoMEF shows the conflicting operations to the user with all the required information and the rationale about them</t>
  </si>
  <si>
    <t>Semi-automatic conflict resolution process based on the negotiation and voting</t>
  </si>
  <si>
    <t>Potential studies 
(snowballing)</t>
  </si>
  <si>
    <t>Potential studies 
(after filtering and applying I/E)</t>
  </si>
  <si>
    <t>Conflict relation calculates a set of conflicting operations.</t>
  </si>
  <si>
    <t>Tree validation</t>
  </si>
  <si>
    <t>In general they flag two operations as conflicting if operations change the same values in the same attribute of the same model element to a different result. We need two relations conflicts and requires. The conflicts relation defines
when two operations are conflicting according to our definition of a conflict. The second relation determines whether one operation can not be applied without the other.</t>
  </si>
  <si>
    <t>Constraint, condition, ...</t>
  </si>
  <si>
    <t>with explicit constraints</t>
  </si>
  <si>
    <t>Explicit Spec</t>
  </si>
  <si>
    <t>Implicit Spec</t>
  </si>
  <si>
    <t>follow a well defined metamodel with explicit constraints</t>
  </si>
  <si>
    <t xml:space="preserve">a conflict denotes a pair of operations o1 and o2, whereas one operation masks the effect of the other (i.e., they do not commute) or one operation
disables the applicability of the other. </t>
  </si>
  <si>
    <t>IMPLICITY IN THE SPECIFICATION OF A CHANGE PATTERN</t>
  </si>
  <si>
    <t xml:space="preserve">Enforced to algorithm </t>
  </si>
  <si>
    <t>Specifying the computation of conflicts between subsequences of change sequences</t>
  </si>
  <si>
    <t>Specify position</t>
  </si>
  <si>
    <t>Using OWL</t>
  </si>
  <si>
    <t>Using Text</t>
  </si>
  <si>
    <t>In the recognition rules</t>
  </si>
  <si>
    <t>In the conflict rules</t>
  </si>
  <si>
    <t>In Alloy spec</t>
  </si>
  <si>
    <t>Specifying conflict masks</t>
  </si>
  <si>
    <t xml:space="preserve">Natural language
Colex, a free, web-based, collaborative COnflict LEXicon. </t>
  </si>
  <si>
    <t>In the text</t>
  </si>
  <si>
    <t>formal</t>
  </si>
  <si>
    <t>Comments for OCL constraints that used for the determination of conflict sets</t>
  </si>
  <si>
    <t>based on the actions</t>
  </si>
  <si>
    <t>List of Conflicts</t>
  </si>
  <si>
    <t>In the conflict rule</t>
  </si>
  <si>
    <t>graph homomorphism</t>
  </si>
  <si>
    <t>formal
+
Implicit Spec</t>
  </si>
  <si>
    <t>Based on the fuzzy Set</t>
  </si>
  <si>
    <t>A consistency pattern is just the RHS of one of the rules of the given TGG.</t>
  </si>
  <si>
    <t>Automatic (local search may/must)</t>
  </si>
  <si>
    <t>Attach markers to product elements explaining conflicts</t>
  </si>
  <si>
    <t>Ordered Feature</t>
  </si>
  <si>
    <t>Ideal</t>
  </si>
  <si>
    <t>Method, Framework, Tool, Metric</t>
  </si>
  <si>
    <t>Approach, Framework, Algorithm, Tool</t>
  </si>
  <si>
    <t>Approach, Model, Algorithm, Tool</t>
  </si>
  <si>
    <t>Algorithm, Approach, Tool</t>
  </si>
  <si>
    <t>Approach, Process, Algorithm, Tool, Benchmark</t>
  </si>
  <si>
    <t>Static Semantics</t>
  </si>
  <si>
    <t>Behavioral Semantics</t>
  </si>
  <si>
    <t>before predicate to all element pairs</t>
  </si>
  <si>
    <t>contradictions between values assigned to the properties
of design models</t>
  </si>
  <si>
    <t>Explained specific conflict type</t>
  </si>
  <si>
    <t>They adopt the operational concept and use the definitions of Sun et al. [53] to formally describe concurrency and conflict.</t>
  </si>
  <si>
    <t>a conflict in XML Schema context can occur between the following pairs of operations performed to vb: insert-insert, updateupdate, and update-delete. Several conflict situations based on the previous operations are as follows</t>
  </si>
  <si>
    <t>Define conflicts in a table</t>
  </si>
  <si>
    <t>They categorized conflicts based on the meta-level at which they occur, and explained each category in the text</t>
  </si>
  <si>
    <t>They discussed different types of conflicts and their identification</t>
  </si>
  <si>
    <t>Using sentences in a table</t>
  </si>
  <si>
    <t>Critical Pair Analysis (CPA) is a computation conducted to determine the potential conflict of a pair of operations</t>
  </si>
  <si>
    <t>They define it for control and choice elements in the text</t>
  </si>
  <si>
    <t>Formal definition and explanation on the text for four different categories of conflicts</t>
  </si>
  <si>
    <t>Formal
and
Explicit Spec</t>
  </si>
  <si>
    <t>different conflict scenarios in the conflict detection part</t>
  </si>
  <si>
    <t>based on ComputationalTree Logic (CTL)</t>
  </si>
  <si>
    <t xml:space="preserve">They only consider constriant and rule for consistency between single element type </t>
  </si>
  <si>
    <t>Approach, Algorithm, Tool, Benchmark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</si>
</sst>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u/>
      <sz val="11"/>
      <color theme="10"/>
      <name val="Calibri"/>
      <family val="2"/>
      <scheme val="minor"/>
    </font>
    <font>
      <b/>
      <sz val="11"/>
      <color rgb="FF333333"/>
      <name val="Calibri"/>
      <family val="2"/>
      <scheme val="minor"/>
    </font>
    <font>
      <sz val="11"/>
      <color theme="1"/>
      <name val="Calibri"/>
      <family val="2"/>
      <scheme val="minor"/>
    </font>
    <font>
      <b/>
      <sz val="9"/>
      <name val="Arial"/>
      <family val="2"/>
    </font>
    <font>
      <sz val="11"/>
      <color theme="1"/>
      <name val="Calibri"/>
      <family val="2"/>
      <charset val="178"/>
      <scheme val="minor"/>
    </font>
    <font>
      <sz val="10"/>
      <color theme="1"/>
      <name val="Calibri"/>
      <family val="2"/>
      <scheme val="minor"/>
    </font>
    <font>
      <b/>
      <sz val="10"/>
      <color theme="1"/>
      <name val="Calibri"/>
      <family val="2"/>
      <charset val="178"/>
      <scheme val="minor"/>
    </font>
    <font>
      <b/>
      <sz val="10"/>
      <name val="Arial"/>
      <family val="2"/>
    </font>
    <font>
      <b/>
      <sz val="10"/>
      <color theme="1"/>
      <name val="Calibri"/>
      <family val="2"/>
      <scheme val="minor"/>
    </font>
    <font>
      <b/>
      <sz val="6"/>
      <name val="Arial"/>
      <family val="2"/>
    </font>
    <font>
      <i/>
      <sz val="10"/>
      <color theme="1"/>
      <name val="Calibri"/>
      <family val="2"/>
      <scheme val="minor"/>
    </font>
    <font>
      <sz val="11"/>
      <color rgb="FF9C0006"/>
      <name val="Calibri"/>
      <family val="2"/>
      <scheme val="minor"/>
    </font>
    <font>
      <sz val="11"/>
      <color rgb="FF9C6500"/>
      <name val="Calibri"/>
      <family val="2"/>
      <scheme val="minor"/>
    </font>
    <font>
      <b/>
      <i/>
      <sz val="10"/>
      <color theme="1"/>
      <name val="Calibri"/>
      <family val="2"/>
      <scheme val="minor"/>
    </font>
    <font>
      <sz val="11"/>
      <color rgb="FF006100"/>
      <name val="Calibri"/>
      <family val="2"/>
      <scheme val="minor"/>
    </font>
    <font>
      <sz val="8"/>
      <name val="Calibri"/>
      <family val="2"/>
      <scheme val="minor"/>
    </font>
    <font>
      <b/>
      <sz val="7"/>
      <name val="Arial"/>
      <family val="2"/>
    </font>
    <font>
      <b/>
      <sz val="11"/>
      <color rgb="FF006100"/>
      <name val="Calibri"/>
      <family val="2"/>
      <scheme val="minor"/>
    </font>
    <font>
      <b/>
      <sz val="11"/>
      <color rgb="FFFA7D00"/>
      <name val="Calibri"/>
      <family val="2"/>
      <scheme val="minor"/>
    </font>
    <font>
      <sz val="11"/>
      <color rgb="FFFF0000"/>
      <name val="Calibri"/>
      <family val="2"/>
      <scheme val="minor"/>
    </font>
    <font>
      <sz val="8"/>
      <color theme="1"/>
      <name val="Calibri"/>
      <family val="2"/>
      <scheme val="minor"/>
    </font>
    <font>
      <sz val="11"/>
      <name val="Calibri"/>
      <family val="2"/>
      <scheme val="minor"/>
    </font>
    <font>
      <b/>
      <sz val="11"/>
      <color rgb="FF9C6500"/>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rgb="FFC6EFCE"/>
      </patternFill>
    </fill>
    <fill>
      <patternFill patternType="solid">
        <fgColor rgb="FFF2F2F2"/>
      </patternFill>
    </fill>
    <fill>
      <patternFill patternType="solid">
        <fgColor theme="0" tint="-0.14999847407452621"/>
        <bgColor indexed="6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4" tint="0.39997558519241921"/>
        <bgColor indexed="65"/>
      </patternFill>
    </fill>
    <fill>
      <patternFill patternType="solid">
        <fgColor theme="6" tint="0.79998168889431442"/>
        <bgColor indexed="65"/>
      </patternFill>
    </fill>
    <fill>
      <patternFill patternType="solid">
        <fgColor theme="6"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7" tint="0.79998168889431442"/>
        <bgColor indexed="65"/>
      </patternFill>
    </fill>
    <fill>
      <patternFill patternType="solid">
        <fgColor theme="8" tint="0.39997558519241921"/>
        <bgColor indexed="65"/>
      </patternFill>
    </fill>
    <fill>
      <patternFill patternType="solid">
        <fgColor rgb="FFFF00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style="thin">
        <color indexed="64"/>
      </left>
      <right style="double">
        <color indexed="64"/>
      </right>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double">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bottom/>
      <diagonal/>
    </border>
    <border>
      <left style="thin">
        <color indexed="64"/>
      </left>
      <right/>
      <top/>
      <bottom/>
      <diagonal/>
    </border>
    <border>
      <left style="thin">
        <color indexed="64"/>
      </left>
      <right/>
      <top style="double">
        <color indexed="64"/>
      </top>
      <bottom/>
      <diagonal/>
    </border>
    <border>
      <left/>
      <right/>
      <top style="double">
        <color indexed="64"/>
      </top>
      <bottom/>
      <diagonal/>
    </border>
    <border>
      <left style="double">
        <color indexed="64"/>
      </left>
      <right/>
      <top style="double">
        <color indexed="64"/>
      </top>
      <bottom/>
      <diagonal/>
    </border>
    <border>
      <left/>
      <right style="thin">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thin">
        <color indexed="64"/>
      </top>
      <bottom style="double">
        <color indexed="64"/>
      </bottom>
      <diagonal/>
    </border>
    <border>
      <left style="thin">
        <color indexed="64"/>
      </left>
      <right/>
      <top/>
      <bottom style="thin">
        <color indexed="64"/>
      </bottom>
      <diagonal/>
    </border>
    <border>
      <left style="double">
        <color indexed="64"/>
      </left>
      <right style="thin">
        <color indexed="64"/>
      </right>
      <top style="double">
        <color indexed="64"/>
      </top>
      <bottom style="thin">
        <color indexed="64"/>
      </bottom>
      <diagonal/>
    </border>
    <border>
      <left/>
      <right style="thin">
        <color indexed="64"/>
      </right>
      <top/>
      <bottom style="double">
        <color indexed="64"/>
      </bottom>
      <diagonal/>
    </border>
    <border>
      <left style="thin">
        <color indexed="64"/>
      </left>
      <right style="double">
        <color indexed="64"/>
      </right>
      <top/>
      <bottom/>
      <diagonal/>
    </border>
    <border>
      <left style="double">
        <color indexed="64"/>
      </left>
      <right style="double">
        <color indexed="64"/>
      </right>
      <top style="double">
        <color indexed="64"/>
      </top>
      <bottom/>
      <diagonal/>
    </border>
    <border>
      <left style="thin">
        <color rgb="FF7F7F7F"/>
      </left>
      <right/>
      <top style="thin">
        <color rgb="FF7F7F7F"/>
      </top>
      <bottom style="thin">
        <color rgb="FF7F7F7F"/>
      </bottom>
      <diagonal/>
    </border>
  </borders>
  <cellStyleXfs count="22">
    <xf numFmtId="0" fontId="0" fillId="0" borderId="0"/>
    <xf numFmtId="0" fontId="2" fillId="0" borderId="0" applyNumberFormat="0" applyFill="0" applyBorder="0" applyAlignment="0" applyProtection="0"/>
    <xf numFmtId="0" fontId="3" fillId="3" borderId="0">
      <alignment vertical="center" wrapText="1"/>
    </xf>
    <xf numFmtId="9" fontId="4" fillId="0" borderId="0" applyFont="0" applyFill="0" applyBorder="0" applyAlignment="0" applyProtection="0"/>
    <xf numFmtId="0" fontId="6" fillId="0" borderId="0"/>
    <xf numFmtId="0" fontId="13" fillId="6" borderId="0" applyNumberFormat="0" applyBorder="0" applyAlignment="0" applyProtection="0"/>
    <xf numFmtId="0" fontId="14" fillId="7" borderId="0" applyNumberFormat="0" applyBorder="0" applyAlignment="0" applyProtection="0"/>
    <xf numFmtId="0" fontId="16" fillId="8" borderId="0" applyNumberFormat="0" applyBorder="0" applyAlignment="0" applyProtection="0"/>
    <xf numFmtId="0" fontId="20" fillId="9" borderId="26" applyNumberFormat="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1" fillId="0" borderId="0" applyNumberFormat="0" applyFill="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cellStyleXfs>
  <cellXfs count="415">
    <xf numFmtId="0" fontId="0" fillId="0" borderId="0" xfId="0"/>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2" fillId="0" borderId="0" xfId="1"/>
    <xf numFmtId="0" fontId="0" fillId="0" borderId="0" xfId="0" applyAlignment="1"/>
    <xf numFmtId="0" fontId="2" fillId="0" borderId="0" xfId="1" applyAlignment="1"/>
    <xf numFmtId="0" fontId="0" fillId="0" borderId="0" xfId="0" applyFont="1" applyAlignment="1"/>
    <xf numFmtId="0" fontId="2" fillId="0" borderId="0" xfId="1" applyFont="1" applyAlignment="1"/>
    <xf numFmtId="0" fontId="2" fillId="0" borderId="0" xfId="1" applyFont="1"/>
    <xf numFmtId="0" fontId="3" fillId="0" borderId="0" xfId="0" applyFont="1" applyAlignment="1">
      <alignment vertical="center"/>
    </xf>
    <xf numFmtId="0" fontId="3" fillId="0" borderId="0" xfId="0" applyFont="1" applyAlignment="1">
      <alignment vertical="center" wrapText="1"/>
    </xf>
    <xf numFmtId="0" fontId="0" fillId="0" borderId="0" xfId="0" applyFont="1" applyAlignment="1">
      <alignment horizontal="center"/>
    </xf>
    <xf numFmtId="0" fontId="0" fillId="0" borderId="0" xfId="0" applyFont="1" applyAlignment="1">
      <alignment horizontal="center" vertical="center"/>
    </xf>
    <xf numFmtId="0" fontId="0" fillId="0" borderId="0" xfId="0" applyAlignment="1">
      <alignment horizontal="left" vertical="center"/>
    </xf>
    <xf numFmtId="0" fontId="2" fillId="0" borderId="0" xfId="1" applyAlignment="1">
      <alignment horizontal="left" vertical="center" wrapText="1"/>
    </xf>
    <xf numFmtId="0" fontId="0" fillId="0" borderId="1" xfId="0" applyBorder="1"/>
    <xf numFmtId="0" fontId="7" fillId="0" borderId="1" xfId="0" applyFont="1" applyBorder="1" applyAlignment="1">
      <alignment horizontal="right"/>
    </xf>
    <xf numFmtId="0" fontId="1" fillId="0" borderId="1" xfId="0" applyFont="1" applyBorder="1" applyAlignment="1">
      <alignment horizontal="center"/>
    </xf>
    <xf numFmtId="0" fontId="1" fillId="0" borderId="1" xfId="0" applyFont="1" applyBorder="1"/>
    <xf numFmtId="0" fontId="5" fillId="4" borderId="1" xfId="0" applyNumberFormat="1" applyFont="1" applyFill="1" applyBorder="1" applyAlignment="1">
      <alignment horizontal="center" vertical="center" wrapText="1"/>
    </xf>
    <xf numFmtId="0" fontId="8" fillId="0" borderId="0" xfId="4" applyFont="1" applyAlignment="1">
      <alignment horizontal="center" vertical="center"/>
    </xf>
    <xf numFmtId="0" fontId="2" fillId="0" borderId="1" xfId="1" applyBorder="1" applyAlignment="1">
      <alignment horizontal="center" vertical="center"/>
    </xf>
    <xf numFmtId="0" fontId="0" fillId="0" borderId="1" xfId="0" applyBorder="1" applyAlignment="1">
      <alignment horizontal="center" vertical="center"/>
    </xf>
    <xf numFmtId="0" fontId="0" fillId="2" borderId="1" xfId="0" applyFont="1" applyFill="1" applyBorder="1" applyAlignment="1">
      <alignment horizontal="center" vertical="center"/>
    </xf>
    <xf numFmtId="0" fontId="0" fillId="5" borderId="1" xfId="0" applyFont="1" applyFill="1" applyBorder="1" applyAlignment="1">
      <alignment horizontal="center" vertical="center"/>
    </xf>
    <xf numFmtId="0" fontId="9"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left"/>
    </xf>
    <xf numFmtId="0" fontId="7" fillId="0" borderId="1" xfId="0" applyFont="1" applyBorder="1" applyAlignment="1">
      <alignment horizontal="left" vertical="center"/>
    </xf>
    <xf numFmtId="0" fontId="0" fillId="0" borderId="0" xfId="0" applyFont="1" applyAlignment="1">
      <alignment horizontal="left"/>
    </xf>
    <xf numFmtId="0" fontId="5" fillId="4" borderId="2"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7" fillId="0" borderId="2" xfId="0" applyFont="1" applyBorder="1" applyAlignment="1">
      <alignment horizontal="center" vertical="center"/>
    </xf>
    <xf numFmtId="0" fontId="7" fillId="0" borderId="11" xfId="0" applyFont="1" applyBorder="1" applyAlignment="1">
      <alignment horizontal="left" vertical="center" wrapText="1"/>
    </xf>
    <xf numFmtId="0" fontId="5" fillId="4" borderId="11" xfId="0" applyNumberFormat="1"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13" xfId="0" applyFont="1" applyBorder="1" applyAlignment="1">
      <alignment horizontal="center" vertical="center"/>
    </xf>
    <xf numFmtId="0" fontId="7" fillId="0" borderId="9" xfId="0" applyFont="1" applyBorder="1" applyAlignment="1">
      <alignment horizontal="center" vertical="center"/>
    </xf>
    <xf numFmtId="0" fontId="7" fillId="0" borderId="6" xfId="0" applyFont="1" applyBorder="1" applyAlignment="1">
      <alignment horizontal="center" vertical="center"/>
    </xf>
    <xf numFmtId="0" fontId="7" fillId="0" borderId="15" xfId="0" applyFont="1" applyBorder="1" applyAlignment="1">
      <alignment horizontal="left" vertical="center" wrapText="1"/>
    </xf>
    <xf numFmtId="0" fontId="7" fillId="0" borderId="10" xfId="0" applyFont="1" applyBorder="1" applyAlignment="1">
      <alignment horizontal="center" vertical="center"/>
    </xf>
    <xf numFmtId="0" fontId="7" fillId="0" borderId="9" xfId="0" applyFont="1" applyBorder="1" applyAlignment="1">
      <alignment horizontal="center" vertical="center" wrapText="1"/>
    </xf>
    <xf numFmtId="0" fontId="0" fillId="0" borderId="15" xfId="0" applyBorder="1" applyAlignment="1">
      <alignment vertical="center" wrapText="1"/>
    </xf>
    <xf numFmtId="0" fontId="5" fillId="4" borderId="19" xfId="0" applyNumberFormat="1" applyFont="1" applyFill="1" applyBorder="1" applyAlignment="1">
      <alignment horizontal="center" vertical="center" wrapText="1"/>
    </xf>
    <xf numFmtId="0" fontId="5" fillId="4" borderId="2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0" xfId="0" applyNumberFormat="1" applyAlignment="1">
      <alignment horizontal="center" vertical="center"/>
    </xf>
    <xf numFmtId="0" fontId="7" fillId="0" borderId="1" xfId="0" applyFont="1" applyBorder="1" applyAlignment="1">
      <alignment horizontal="center" vertical="center" wrapText="1"/>
    </xf>
    <xf numFmtId="0" fontId="5" fillId="4" borderId="0" xfId="0" applyNumberFormat="1" applyFont="1" applyFill="1" applyBorder="1" applyAlignment="1">
      <alignment horizontal="center" vertical="center" wrapText="1"/>
    </xf>
    <xf numFmtId="0" fontId="0" fillId="0" borderId="1" xfId="0" applyBorder="1" applyAlignment="1">
      <alignment vertical="center"/>
    </xf>
    <xf numFmtId="0" fontId="6" fillId="2" borderId="1" xfId="4" applyFill="1" applyBorder="1" applyAlignment="1">
      <alignment vertical="center" wrapText="1"/>
    </xf>
    <xf numFmtId="0" fontId="6" fillId="2" borderId="1" xfId="4" applyFill="1" applyBorder="1" applyAlignment="1">
      <alignment vertical="center"/>
    </xf>
    <xf numFmtId="2" fontId="6" fillId="0" borderId="1" xfId="4" applyNumberFormat="1" applyFill="1" applyBorder="1" applyAlignment="1">
      <alignment vertical="center"/>
    </xf>
    <xf numFmtId="0" fontId="6" fillId="5" borderId="1" xfId="4" applyFill="1" applyBorder="1" applyAlignment="1">
      <alignment vertical="center" wrapText="1"/>
    </xf>
    <xf numFmtId="9" fontId="6" fillId="5" borderId="1" xfId="3" applyFont="1" applyFill="1" applyBorder="1" applyAlignment="1">
      <alignment vertical="center"/>
    </xf>
    <xf numFmtId="2" fontId="6" fillId="5" borderId="1" xfId="4" applyNumberFormat="1" applyFill="1" applyBorder="1" applyAlignment="1">
      <alignment vertical="center"/>
    </xf>
    <xf numFmtId="0" fontId="0" fillId="0" borderId="1" xfId="0" applyFont="1" applyBorder="1" applyAlignment="1">
      <alignment vertical="center"/>
    </xf>
    <xf numFmtId="0" fontId="13" fillId="6" borderId="1" xfId="5" applyBorder="1"/>
    <xf numFmtId="0" fontId="2" fillId="0" borderId="11" xfId="1" applyBorder="1" applyAlignment="1">
      <alignment horizontal="left" vertical="center" wrapText="1"/>
    </xf>
    <xf numFmtId="0" fontId="7" fillId="0" borderId="3" xfId="0" applyFont="1" applyBorder="1" applyAlignment="1">
      <alignment horizontal="center" vertical="center"/>
    </xf>
    <xf numFmtId="0" fontId="7" fillId="0" borderId="13" xfId="0" applyFont="1" applyBorder="1" applyAlignment="1">
      <alignment horizontal="left"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0" fillId="0" borderId="0" xfId="0" applyFont="1" applyAlignment="1">
      <alignment wrapText="1"/>
    </xf>
    <xf numFmtId="0" fontId="0" fillId="0" borderId="0" xfId="0" applyFont="1" applyAlignment="1">
      <alignment vertical="center" wrapText="1"/>
    </xf>
    <xf numFmtId="0" fontId="0" fillId="0" borderId="0" xfId="0" applyAlignment="1">
      <alignment wrapText="1"/>
    </xf>
    <xf numFmtId="0" fontId="0" fillId="0" borderId="0" xfId="0" applyAlignment="1">
      <alignment horizontal="left" vertical="center" wrapText="1"/>
    </xf>
    <xf numFmtId="0" fontId="0" fillId="0" borderId="0" xfId="0" applyBorder="1" applyAlignment="1">
      <alignment vertical="center"/>
    </xf>
    <xf numFmtId="2" fontId="6" fillId="0" borderId="0" xfId="4" applyNumberFormat="1" applyFill="1" applyBorder="1" applyAlignment="1">
      <alignment vertical="center"/>
    </xf>
    <xf numFmtId="0" fontId="0" fillId="0" borderId="0" xfId="0" applyFont="1" applyBorder="1" applyAlignment="1">
      <alignment vertical="center"/>
    </xf>
    <xf numFmtId="0" fontId="7" fillId="0" borderId="0" xfId="0" applyFont="1" applyBorder="1" applyAlignment="1">
      <alignment horizontal="center" vertical="center" wrapText="1"/>
    </xf>
    <xf numFmtId="0" fontId="1" fillId="0" borderId="4" xfId="0" applyFont="1" applyBorder="1" applyAlignment="1">
      <alignment horizontal="center" vertical="center"/>
    </xf>
    <xf numFmtId="0" fontId="9" fillId="4" borderId="6" xfId="0" applyNumberFormat="1" applyFont="1" applyFill="1" applyBorder="1" applyAlignment="1">
      <alignment horizontal="center" vertical="center" wrapText="1"/>
    </xf>
    <xf numFmtId="0" fontId="5" fillId="4" borderId="4" xfId="0" applyNumberFormat="1" applyFont="1" applyFill="1" applyBorder="1" applyAlignment="1">
      <alignment horizontal="center" vertical="center" wrapText="1"/>
    </xf>
    <xf numFmtId="0" fontId="9" fillId="4" borderId="16" xfId="0" applyNumberFormat="1" applyFont="1" applyFill="1" applyBorder="1" applyAlignment="1">
      <alignment horizontal="center" vertical="center" wrapText="1"/>
    </xf>
    <xf numFmtId="0" fontId="13" fillId="6" borderId="1" xfId="5" applyBorder="1" applyAlignment="1">
      <alignment vertical="center"/>
    </xf>
    <xf numFmtId="0" fontId="7" fillId="0" borderId="8" xfId="0" applyFont="1" applyBorder="1" applyAlignment="1">
      <alignment horizontal="left" vertical="center" wrapText="1"/>
    </xf>
    <xf numFmtId="0" fontId="7" fillId="0" borderId="4" xfId="0" applyFont="1" applyBorder="1" applyAlignment="1">
      <alignment horizontal="left" vertical="center" wrapText="1"/>
    </xf>
    <xf numFmtId="0" fontId="0" fillId="0" borderId="24" xfId="0" applyBorder="1"/>
    <xf numFmtId="0" fontId="0" fillId="0" borderId="23" xfId="0" applyBorder="1"/>
    <xf numFmtId="0" fontId="5" fillId="4" borderId="3" xfId="0" applyNumberFormat="1" applyFont="1" applyFill="1" applyBorder="1" applyAlignment="1">
      <alignment horizontal="center" vertical="center" wrapText="1"/>
    </xf>
    <xf numFmtId="0" fontId="5" fillId="4" borderId="25" xfId="0" applyNumberFormat="1"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25" xfId="0" applyFont="1" applyBorder="1" applyAlignment="1">
      <alignment horizontal="center" vertical="center"/>
    </xf>
    <xf numFmtId="0" fontId="0" fillId="0" borderId="0" xfId="0" applyBorder="1"/>
    <xf numFmtId="0" fontId="5" fillId="4" borderId="4" xfId="0" applyNumberFormat="1" applyFont="1" applyFill="1" applyBorder="1" applyAlignment="1">
      <alignment horizontal="center" vertical="center" wrapText="1"/>
    </xf>
    <xf numFmtId="0" fontId="9" fillId="4" borderId="16" xfId="0" applyNumberFormat="1" applyFont="1" applyFill="1" applyBorder="1" applyAlignment="1">
      <alignment horizontal="center" vertical="center" wrapText="1"/>
    </xf>
    <xf numFmtId="0" fontId="0" fillId="0" borderId="0" xfId="0" applyAlignment="1">
      <alignment vertical="center" wrapText="1"/>
    </xf>
    <xf numFmtId="0" fontId="5" fillId="4" borderId="22"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4" xfId="0" applyFont="1" applyBorder="1" applyAlignment="1">
      <alignment horizontal="center" vertical="center" wrapText="1"/>
    </xf>
    <xf numFmtId="0" fontId="0" fillId="0" borderId="0" xfId="0" applyNumberFormat="1" applyAlignment="1">
      <alignment horizontal="left" vertical="center"/>
    </xf>
    <xf numFmtId="0" fontId="2" fillId="0" borderId="0" xfId="1" applyFill="1" applyBorder="1" applyAlignment="1"/>
    <xf numFmtId="0" fontId="0" fillId="0" borderId="0" xfId="0" applyNumberFormat="1" applyAlignment="1">
      <alignment vertical="center"/>
    </xf>
    <xf numFmtId="0" fontId="7" fillId="0" borderId="22" xfId="0" applyFont="1" applyBorder="1" applyAlignment="1">
      <alignment horizontal="left" vertical="center" wrapText="1"/>
    </xf>
    <xf numFmtId="0" fontId="1" fillId="4" borderId="2" xfId="0" applyFont="1" applyFill="1" applyBorder="1" applyAlignment="1">
      <alignment horizontal="center" vertical="center" wrapText="1"/>
    </xf>
    <xf numFmtId="0" fontId="1" fillId="4" borderId="11" xfId="0" applyFont="1" applyFill="1" applyBorder="1" applyAlignment="1">
      <alignment horizontal="center" vertical="center"/>
    </xf>
    <xf numFmtId="0" fontId="0" fillId="0" borderId="19" xfId="0" applyBorder="1" applyAlignment="1">
      <alignment horizontal="center" vertical="center"/>
    </xf>
    <xf numFmtId="0" fontId="1" fillId="0" borderId="13" xfId="0" applyFont="1" applyBorder="1" applyAlignment="1">
      <alignment horizontal="center" vertical="center"/>
    </xf>
    <xf numFmtId="0" fontId="1" fillId="4" borderId="2" xfId="0" applyFont="1" applyFill="1" applyBorder="1" applyAlignment="1">
      <alignment horizontal="center" vertical="center"/>
    </xf>
    <xf numFmtId="0" fontId="1" fillId="4" borderId="11" xfId="0" applyFont="1" applyFill="1" applyBorder="1" applyAlignment="1">
      <alignment horizontal="center" vertical="center" wrapText="1"/>
    </xf>
    <xf numFmtId="0" fontId="0" fillId="0" borderId="14" xfId="0" applyBorder="1" applyAlignment="1">
      <alignment horizontal="center" vertical="center"/>
    </xf>
    <xf numFmtId="0" fontId="1" fillId="4" borderId="22" xfId="0" applyFont="1" applyFill="1" applyBorder="1" applyAlignment="1">
      <alignment horizontal="center" vertical="center" wrapText="1"/>
    </xf>
    <xf numFmtId="0" fontId="0" fillId="0" borderId="12" xfId="0" applyBorder="1" applyAlignment="1">
      <alignment horizontal="center" vertical="center"/>
    </xf>
    <xf numFmtId="0" fontId="19" fillId="8" borderId="22" xfId="7" applyFont="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19" fillId="8" borderId="21" xfId="7" applyFont="1" applyBorder="1" applyAlignment="1">
      <alignment horizontal="center" vertical="center"/>
    </xf>
    <xf numFmtId="0" fontId="0" fillId="0" borderId="21" xfId="0" applyBorder="1" applyAlignment="1">
      <alignment horizontal="center" vertical="center"/>
    </xf>
    <xf numFmtId="0" fontId="9" fillId="4" borderId="2" xfId="0" applyNumberFormat="1" applyFont="1" applyFill="1" applyBorder="1" applyAlignment="1">
      <alignment horizontal="center" vertical="center" wrapText="1"/>
    </xf>
    <xf numFmtId="0" fontId="9" fillId="4" borderId="11" xfId="0" applyNumberFormat="1" applyFont="1" applyFill="1" applyBorder="1" applyAlignment="1">
      <alignment horizontal="center" vertical="center" wrapText="1"/>
    </xf>
    <xf numFmtId="0" fontId="0" fillId="0" borderId="20" xfId="0" applyBorder="1" applyAlignment="1">
      <alignment horizontal="center" vertical="center"/>
    </xf>
    <xf numFmtId="0" fontId="0" fillId="0" borderId="27" xfId="0" applyBorder="1" applyAlignment="1">
      <alignment horizontal="center" vertical="center"/>
    </xf>
    <xf numFmtId="9" fontId="6" fillId="5" borderId="1" xfId="3" applyFont="1" applyFill="1" applyBorder="1" applyAlignment="1">
      <alignment horizontal="center" vertical="center"/>
    </xf>
    <xf numFmtId="0" fontId="1" fillId="0" borderId="0" xfId="0" applyFont="1"/>
    <xf numFmtId="0" fontId="1" fillId="0" borderId="0" xfId="0" applyFont="1" applyAlignment="1">
      <alignment horizontal="center" vertical="center" wrapText="1"/>
    </xf>
    <xf numFmtId="10" fontId="0" fillId="0" borderId="0" xfId="0" applyNumberFormat="1" applyAlignment="1">
      <alignment horizontal="center" vertical="center"/>
    </xf>
    <xf numFmtId="0" fontId="7" fillId="0" borderId="22" xfId="0" applyFont="1" applyBorder="1" applyAlignment="1">
      <alignment horizontal="center" vertical="center"/>
    </xf>
    <xf numFmtId="0" fontId="20" fillId="9" borderId="26" xfId="8" applyAlignment="1">
      <alignment horizontal="center" vertical="center"/>
    </xf>
    <xf numFmtId="0" fontId="0" fillId="0" borderId="0" xfId="0" applyBorder="1" applyAlignment="1">
      <alignment horizontal="center" vertical="center"/>
    </xf>
    <xf numFmtId="0" fontId="0" fillId="10" borderId="28" xfId="0" applyFill="1" applyBorder="1" applyAlignment="1">
      <alignment horizontal="center" vertical="center"/>
    </xf>
    <xf numFmtId="0" fontId="0" fillId="0" borderId="24" xfId="0" applyBorder="1" applyAlignment="1">
      <alignment horizontal="center" vertical="center"/>
    </xf>
    <xf numFmtId="0" fontId="0" fillId="10" borderId="36" xfId="0" applyFill="1"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1" fillId="10" borderId="29" xfId="0" applyFont="1" applyFill="1" applyBorder="1" applyAlignment="1">
      <alignment horizontal="center" vertical="center"/>
    </xf>
    <xf numFmtId="0" fontId="1" fillId="10" borderId="35" xfId="0" applyFont="1" applyFill="1" applyBorder="1" applyAlignment="1">
      <alignment horizontal="center" vertical="center"/>
    </xf>
    <xf numFmtId="0" fontId="0" fillId="10" borderId="30" xfId="0" applyFill="1" applyBorder="1" applyAlignment="1">
      <alignment horizontal="center" vertical="center"/>
    </xf>
    <xf numFmtId="0" fontId="0" fillId="0" borderId="0" xfId="0" applyAlignment="1">
      <alignment horizontal="left" vertical="center"/>
    </xf>
    <xf numFmtId="0" fontId="4" fillId="11" borderId="0" xfId="9" applyAlignment="1">
      <alignment horizontal="center" vertical="center"/>
    </xf>
    <xf numFmtId="0" fontId="4" fillId="12" borderId="0" xfId="10" applyAlignment="1">
      <alignment horizontal="center" vertical="center"/>
    </xf>
    <xf numFmtId="0" fontId="4" fillId="15" borderId="0" xfId="13" applyAlignment="1">
      <alignment horizontal="center" vertical="center"/>
    </xf>
    <xf numFmtId="0" fontId="4" fillId="12" borderId="0" xfId="10" applyAlignment="1">
      <alignment horizontal="left" vertical="center"/>
    </xf>
    <xf numFmtId="0" fontId="4" fillId="11" borderId="0" xfId="9" applyAlignment="1">
      <alignment horizontal="left" vertical="center"/>
    </xf>
    <xf numFmtId="0" fontId="4" fillId="15" borderId="0" xfId="13" applyAlignment="1">
      <alignment horizontal="left" vertical="center"/>
    </xf>
    <xf numFmtId="0" fontId="0" fillId="0" borderId="41" xfId="0" applyBorder="1" applyAlignment="1">
      <alignment horizontal="center" vertical="center"/>
    </xf>
    <xf numFmtId="0" fontId="0" fillId="0" borderId="40" xfId="0" applyBorder="1" applyAlignment="1">
      <alignment horizontal="center" vertical="center"/>
    </xf>
    <xf numFmtId="0" fontId="4" fillId="14" borderId="0" xfId="12" applyAlignment="1">
      <alignment horizontal="center" vertical="center"/>
    </xf>
    <xf numFmtId="0" fontId="4" fillId="14" borderId="0" xfId="12" applyAlignment="1">
      <alignment horizontal="left" vertical="center"/>
    </xf>
    <xf numFmtId="0" fontId="4" fillId="13" borderId="40" xfId="11" applyBorder="1" applyAlignment="1">
      <alignment horizontal="center" vertical="center"/>
    </xf>
    <xf numFmtId="0" fontId="2" fillId="0" borderId="0" xfId="1" applyBorder="1" applyAlignment="1">
      <alignment horizontal="center" vertical="center"/>
    </xf>
    <xf numFmtId="0" fontId="2" fillId="0" borderId="8" xfId="1" applyBorder="1" applyAlignment="1">
      <alignment horizontal="center" vertical="center"/>
    </xf>
    <xf numFmtId="0" fontId="2" fillId="0" borderId="10" xfId="1" applyBorder="1" applyAlignment="1">
      <alignment horizontal="center" vertical="center"/>
    </xf>
    <xf numFmtId="0" fontId="2" fillId="0" borderId="13" xfId="1"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10" borderId="1" xfId="0" applyFill="1" applyBorder="1"/>
    <xf numFmtId="0" fontId="0" fillId="10" borderId="2" xfId="0" applyFill="1" applyBorder="1"/>
    <xf numFmtId="0" fontId="0" fillId="0" borderId="0" xfId="0" applyFill="1" applyBorder="1"/>
    <xf numFmtId="0" fontId="0" fillId="10" borderId="2" xfId="0" applyFill="1" applyBorder="1" applyAlignment="1">
      <alignment horizontal="center" vertical="center"/>
    </xf>
    <xf numFmtId="0" fontId="0" fillId="10" borderId="1" xfId="0" applyFill="1" applyBorder="1" applyAlignment="1">
      <alignment horizontal="center" vertical="center"/>
    </xf>
    <xf numFmtId="0" fontId="0" fillId="10" borderId="3" xfId="0" applyFill="1" applyBorder="1" applyAlignment="1">
      <alignment horizontal="center" vertical="center"/>
    </xf>
    <xf numFmtId="0" fontId="0" fillId="10" borderId="25" xfId="0" applyFill="1" applyBorder="1" applyAlignment="1">
      <alignment horizontal="center" vertical="center"/>
    </xf>
    <xf numFmtId="0" fontId="0" fillId="10" borderId="11" xfId="0" applyFill="1" applyBorder="1" applyAlignment="1">
      <alignment horizontal="center" vertical="center"/>
    </xf>
    <xf numFmtId="0" fontId="0" fillId="0" borderId="40" xfId="0" applyBorder="1"/>
    <xf numFmtId="0" fontId="0" fillId="0" borderId="45" xfId="0" applyBorder="1" applyAlignment="1">
      <alignment horizontal="center" vertical="center"/>
    </xf>
    <xf numFmtId="0" fontId="2" fillId="0" borderId="14" xfId="1" applyBorder="1"/>
    <xf numFmtId="0" fontId="2" fillId="0" borderId="19" xfId="1" applyBorder="1"/>
    <xf numFmtId="0" fontId="0" fillId="0" borderId="0" xfId="0" applyFill="1" applyAlignment="1">
      <alignment horizontal="center" vertical="center"/>
    </xf>
    <xf numFmtId="0" fontId="1" fillId="16" borderId="0" xfId="0" applyFont="1" applyFill="1" applyAlignment="1">
      <alignment horizontal="center" vertical="center"/>
    </xf>
    <xf numFmtId="0" fontId="4" fillId="0" borderId="0" xfId="13" applyFill="1" applyAlignment="1">
      <alignment horizontal="left" vertical="center"/>
    </xf>
    <xf numFmtId="0" fontId="4" fillId="0" borderId="0" xfId="10" applyFill="1" applyAlignment="1">
      <alignment horizontal="left" vertical="center"/>
    </xf>
    <xf numFmtId="0" fontId="4" fillId="0" borderId="0" xfId="9" applyFill="1" applyAlignment="1">
      <alignment horizontal="left" vertical="center"/>
    </xf>
    <xf numFmtId="0" fontId="4" fillId="0" borderId="0" xfId="12" applyFill="1" applyAlignment="1">
      <alignment horizontal="left" vertical="center"/>
    </xf>
    <xf numFmtId="0" fontId="4" fillId="0" borderId="40" xfId="11" applyFill="1" applyBorder="1" applyAlignment="1">
      <alignment horizontal="left" vertical="center"/>
    </xf>
    <xf numFmtId="0" fontId="0" fillId="0" borderId="0" xfId="0" applyFill="1" applyAlignment="1">
      <alignment horizontal="left" vertical="center"/>
    </xf>
    <xf numFmtId="9" fontId="0" fillId="0" borderId="0" xfId="0" applyNumberFormat="1" applyAlignment="1">
      <alignment horizontal="center" vertical="center"/>
    </xf>
    <xf numFmtId="0" fontId="0" fillId="0" borderId="19" xfId="0" applyBorder="1" applyAlignment="1">
      <alignment horizontal="left" vertical="center"/>
    </xf>
    <xf numFmtId="9" fontId="1" fillId="16" borderId="0" xfId="0" applyNumberFormat="1" applyFont="1" applyFill="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46" xfId="0" applyBorder="1" applyAlignment="1">
      <alignment horizontal="center" vertical="center"/>
    </xf>
    <xf numFmtId="0" fontId="0" fillId="0" borderId="3" xfId="0" applyBorder="1" applyAlignment="1">
      <alignment horizontal="center" vertical="center"/>
    </xf>
    <xf numFmtId="0" fontId="21" fillId="0" borderId="0" xfId="14"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5" fillId="4" borderId="5" xfId="0" applyNumberFormat="1" applyFont="1" applyFill="1" applyBorder="1" applyAlignment="1">
      <alignment horizontal="center" vertical="center" wrapText="1"/>
    </xf>
    <xf numFmtId="0" fontId="5" fillId="4" borderId="6" xfId="0" applyNumberFormat="1" applyFont="1" applyFill="1" applyBorder="1" applyAlignment="1">
      <alignment horizontal="center" vertical="center" wrapText="1"/>
    </xf>
    <xf numFmtId="0" fontId="0" fillId="0" borderId="0" xfId="0" applyAlignment="1">
      <alignment horizontal="center" vertical="center"/>
    </xf>
    <xf numFmtId="0" fontId="21" fillId="0" borderId="1" xfId="14"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1" fillId="0" borderId="0" xfId="14" applyBorder="1" applyAlignment="1">
      <alignment horizontal="center" vertical="center"/>
    </xf>
    <xf numFmtId="0" fontId="0" fillId="0" borderId="0" xfId="0" applyAlignment="1">
      <alignment horizontal="center" vertical="center"/>
    </xf>
    <xf numFmtId="0" fontId="5" fillId="4" borderId="2" xfId="0" applyNumberFormat="1" applyFont="1" applyFill="1" applyBorder="1" applyAlignment="1">
      <alignment horizontal="center" vertical="center" wrapText="1"/>
    </xf>
    <xf numFmtId="0" fontId="16" fillId="8" borderId="0" xfId="7" applyAlignment="1">
      <alignment horizontal="center" vertical="center"/>
    </xf>
    <xf numFmtId="0" fontId="0" fillId="0" borderId="0" xfId="0" applyAlignment="1">
      <alignment horizontal="center" vertical="center"/>
    </xf>
    <xf numFmtId="0" fontId="2" fillId="0" borderId="21" xfId="1" applyBorder="1"/>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2" fillId="0" borderId="2" xfId="1" applyBorder="1" applyAlignment="1">
      <alignment horizontal="left" vertical="center" wrapText="1"/>
    </xf>
    <xf numFmtId="0" fontId="7" fillId="0" borderId="9" xfId="0" applyFont="1" applyBorder="1" applyAlignment="1">
      <alignment horizontal="left" vertical="center" wrapText="1"/>
    </xf>
    <xf numFmtId="0" fontId="7" fillId="0" borderId="6" xfId="0" applyFont="1" applyBorder="1" applyAlignment="1">
      <alignment horizontal="left" vertical="center" wrapText="1"/>
    </xf>
    <xf numFmtId="0" fontId="0" fillId="0" borderId="0" xfId="0" applyAlignment="1">
      <alignment horizontal="center" vertical="center"/>
    </xf>
    <xf numFmtId="0" fontId="5" fillId="4" borderId="3" xfId="0" applyNumberFormat="1"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164" fontId="0" fillId="0" borderId="0" xfId="0" applyNumberFormat="1" applyAlignment="1">
      <alignment horizontal="center" vertical="center"/>
    </xf>
    <xf numFmtId="0" fontId="13" fillId="6" borderId="0" xfId="5"/>
    <xf numFmtId="0" fontId="16" fillId="8" borderId="0" xfId="7"/>
    <xf numFmtId="0" fontId="13" fillId="6" borderId="0" xfId="5" applyAlignment="1">
      <alignment horizontal="center" vertical="center"/>
    </xf>
    <xf numFmtId="0" fontId="14" fillId="7" borderId="0" xfId="6" applyAlignment="1">
      <alignment horizontal="center"/>
    </xf>
    <xf numFmtId="0" fontId="14" fillId="7" borderId="0" xfId="6"/>
    <xf numFmtId="0" fontId="1" fillId="10" borderId="1" xfId="0" applyFont="1" applyFill="1" applyBorder="1" applyAlignment="1">
      <alignment horizontal="center" vertical="center"/>
    </xf>
    <xf numFmtId="0" fontId="4" fillId="17" borderId="0" xfId="15" applyAlignment="1">
      <alignment horizontal="center"/>
    </xf>
    <xf numFmtId="0" fontId="4" fillId="17" borderId="0" xfId="15" applyAlignment="1">
      <alignment horizontal="center" vertical="center"/>
    </xf>
    <xf numFmtId="0" fontId="4" fillId="17" borderId="0" xfId="15"/>
    <xf numFmtId="0" fontId="0" fillId="0" borderId="0" xfId="0" applyAlignment="1">
      <alignment horizontal="center" vertical="center"/>
    </xf>
    <xf numFmtId="0" fontId="7" fillId="0" borderId="48" xfId="0" applyFont="1" applyBorder="1" applyAlignment="1">
      <alignment horizontal="left" vertical="center" wrapText="1"/>
    </xf>
    <xf numFmtId="0" fontId="7" fillId="0" borderId="3" xfId="0" applyFont="1" applyBorder="1" applyAlignment="1">
      <alignment horizontal="center" vertical="center" wrapText="1"/>
    </xf>
    <xf numFmtId="0" fontId="4" fillId="0" borderId="0" xfId="15" applyFill="1"/>
    <xf numFmtId="0" fontId="1" fillId="10" borderId="32" xfId="0" applyFont="1" applyFill="1" applyBorder="1" applyAlignment="1">
      <alignment horizontal="center" vertical="center"/>
    </xf>
    <xf numFmtId="0" fontId="0" fillId="10" borderId="30" xfId="0" applyFill="1" applyBorder="1" applyAlignment="1">
      <alignment horizontal="center" vertic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5" fillId="4" borderId="5" xfId="0" applyNumberFormat="1" applyFont="1" applyFill="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4" fillId="20" borderId="0" xfId="18" applyAlignment="1">
      <alignment horizontal="center" vertical="center"/>
    </xf>
    <xf numFmtId="0" fontId="4" fillId="13" borderId="0" xfId="11" applyAlignment="1">
      <alignment horizontal="center" vertical="center"/>
    </xf>
    <xf numFmtId="0" fontId="4" fillId="21" borderId="0" xfId="19" applyAlignment="1">
      <alignment horizontal="center" vertical="center"/>
    </xf>
    <xf numFmtId="0" fontId="4" fillId="18" borderId="0" xfId="16" applyAlignment="1">
      <alignment horizontal="center" vertical="center"/>
    </xf>
    <xf numFmtId="0" fontId="4" fillId="19" borderId="0" xfId="17"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wrapText="1"/>
    </xf>
    <xf numFmtId="164" fontId="1" fillId="16"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22" borderId="0" xfId="20" applyAlignment="1">
      <alignment horizontal="center" vertical="center"/>
    </xf>
    <xf numFmtId="0" fontId="20" fillId="9" borderId="0" xfId="8" applyBorder="1" applyAlignment="1">
      <alignment horizontal="center" vertical="center"/>
    </xf>
    <xf numFmtId="0" fontId="2" fillId="0" borderId="0" xfId="1" applyFill="1"/>
    <xf numFmtId="0" fontId="0" fillId="0" borderId="0" xfId="0" applyAlignment="1">
      <alignment horizontal="center" vertical="center"/>
    </xf>
    <xf numFmtId="0" fontId="0" fillId="0" borderId="0" xfId="0" applyFont="1" applyFill="1" applyAlignment="1"/>
    <xf numFmtId="0" fontId="0" fillId="0" borderId="0" xfId="0" applyFill="1"/>
    <xf numFmtId="0" fontId="0" fillId="0" borderId="0" xfId="0" applyFill="1" applyAlignment="1">
      <alignment horizontal="center"/>
    </xf>
    <xf numFmtId="0" fontId="3" fillId="0" borderId="0" xfId="0" applyFont="1" applyFill="1" applyAlignment="1">
      <alignment vertical="center" wrapText="1"/>
    </xf>
    <xf numFmtId="0" fontId="2" fillId="0" borderId="0" xfId="1" applyFill="1" applyAlignment="1"/>
    <xf numFmtId="0" fontId="2" fillId="0" borderId="0" xfId="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23" borderId="0" xfId="21" applyAlignment="1">
      <alignment horizontal="center" vertical="center"/>
    </xf>
    <xf numFmtId="0" fontId="0" fillId="0" borderId="0" xfId="0" applyAlignment="1">
      <alignment horizontal="center" vertical="center"/>
    </xf>
    <xf numFmtId="0" fontId="0" fillId="10" borderId="1" xfId="0" applyFill="1" applyBorder="1" applyAlignment="1">
      <alignment horizontal="center" vertical="center" wrapText="1"/>
    </xf>
    <xf numFmtId="0" fontId="0" fillId="0" borderId="0" xfId="0" applyAlignment="1">
      <alignment horizontal="center" vertical="center"/>
    </xf>
    <xf numFmtId="0" fontId="7" fillId="0" borderId="49"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23" fillId="0" borderId="1" xfId="0" applyFont="1" applyBorder="1" applyAlignment="1">
      <alignment horizontal="center" vertical="center"/>
    </xf>
    <xf numFmtId="0" fontId="0" fillId="15" borderId="0" xfId="13" applyFont="1" applyAlignment="1">
      <alignment horizontal="center" vertical="center"/>
    </xf>
    <xf numFmtId="0" fontId="0" fillId="0" borderId="0" xfId="12" applyFont="1" applyFill="1" applyAlignment="1">
      <alignment horizontal="left" vertical="center"/>
    </xf>
    <xf numFmtId="0" fontId="0" fillId="0" borderId="0" xfId="13" applyFont="1" applyFill="1" applyAlignment="1">
      <alignment horizontal="left" vertical="center"/>
    </xf>
    <xf numFmtId="0" fontId="0" fillId="0" borderId="0" xfId="10" applyFont="1" applyFill="1" applyAlignment="1">
      <alignment horizontal="left" vertical="center"/>
    </xf>
    <xf numFmtId="0" fontId="0" fillId="0" borderId="0" xfId="9" applyFont="1" applyFill="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0" borderId="0" xfId="0" applyAlignment="1">
      <alignment horizontal="center" vertical="center"/>
    </xf>
    <xf numFmtId="0" fontId="0" fillId="23" borderId="0" xfId="21" applyFont="1" applyAlignment="1">
      <alignment horizontal="center" vertical="center"/>
    </xf>
    <xf numFmtId="0" fontId="0" fillId="13" borderId="0" xfId="11" applyFont="1" applyAlignment="1">
      <alignment horizontal="center" vertical="center"/>
    </xf>
    <xf numFmtId="0" fontId="0" fillId="11" borderId="0" xfId="9"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164" fontId="0" fillId="0" borderId="0" xfId="0" applyNumberFormat="1" applyFill="1" applyAlignment="1">
      <alignment horizontal="center" vertical="center"/>
    </xf>
    <xf numFmtId="0" fontId="2" fillId="0" borderId="12" xfId="1" applyFill="1" applyBorder="1"/>
    <xf numFmtId="0" fontId="24" fillId="7" borderId="13" xfId="6" applyFont="1" applyBorder="1" applyAlignment="1">
      <alignment horizontal="center" vertical="center"/>
    </xf>
    <xf numFmtId="0" fontId="0" fillId="0" borderId="0" xfId="0" applyAlignment="1">
      <alignment horizontal="center" vertical="center"/>
    </xf>
    <xf numFmtId="0" fontId="1" fillId="24" borderId="4"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 fillId="0" borderId="4" xfId="0" applyFont="1" applyFill="1" applyBorder="1" applyAlignment="1">
      <alignment horizontal="center" vertical="center"/>
    </xf>
    <xf numFmtId="0" fontId="0" fillId="0" borderId="0" xfId="0" applyFont="1" applyFill="1" applyAlignment="1">
      <alignment horizontal="center"/>
    </xf>
    <xf numFmtId="0" fontId="0" fillId="0" borderId="0" xfId="0" applyFill="1" applyAlignment="1"/>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0" fillId="2" borderId="10" xfId="0" applyFill="1" applyBorder="1" applyAlignment="1">
      <alignment horizontal="center" vertical="center"/>
    </xf>
    <xf numFmtId="0" fontId="0" fillId="0" borderId="0" xfId="0" applyAlignment="1">
      <alignment vertical="center"/>
    </xf>
    <xf numFmtId="0" fontId="4" fillId="0" borderId="0" xfId="14" applyFont="1" applyAlignment="1">
      <alignment horizontal="center" vertical="center"/>
    </xf>
    <xf numFmtId="0" fontId="4" fillId="0" borderId="24" xfId="14" applyFont="1" applyBorder="1" applyAlignment="1">
      <alignment horizontal="center" vertical="center"/>
    </xf>
    <xf numFmtId="0" fontId="4" fillId="0" borderId="0" xfId="0" applyFont="1" applyAlignment="1">
      <alignment horizontal="center" vertical="center"/>
    </xf>
    <xf numFmtId="0" fontId="4" fillId="0" borderId="24" xfId="0" applyFont="1" applyBorder="1" applyAlignment="1">
      <alignment horizontal="center" vertical="center"/>
    </xf>
    <xf numFmtId="0" fontId="4" fillId="0" borderId="0" xfId="0" applyFont="1" applyBorder="1" applyAlignment="1">
      <alignment horizontal="center" vertical="center"/>
    </xf>
    <xf numFmtId="0" fontId="0" fillId="0" borderId="0" xfId="0" applyFont="1" applyBorder="1" applyAlignment="1">
      <alignment horizontal="center" vertical="center"/>
    </xf>
    <xf numFmtId="0" fontId="0" fillId="10" borderId="46" xfId="0" applyFill="1" applyBorder="1" applyAlignment="1">
      <alignment horizontal="center" vertical="center"/>
    </xf>
    <xf numFmtId="0" fontId="9" fillId="4" borderId="11" xfId="0" applyNumberFormat="1" applyFont="1" applyFill="1" applyBorder="1" applyAlignment="1">
      <alignment horizontal="center" vertical="center"/>
    </xf>
    <xf numFmtId="0" fontId="0" fillId="0" borderId="0" xfId="0" applyFill="1" applyBorder="1" applyAlignment="1"/>
    <xf numFmtId="0" fontId="9" fillId="4" borderId="13" xfId="0" applyNumberFormat="1" applyFont="1" applyFill="1" applyBorder="1" applyAlignment="1">
      <alignment horizontal="center" vertical="center" wrapText="1"/>
    </xf>
    <xf numFmtId="0" fontId="0" fillId="0" borderId="50" xfId="0" applyBorder="1" applyAlignment="1">
      <alignment horizontal="center" vertical="center"/>
    </xf>
    <xf numFmtId="0" fontId="7" fillId="0" borderId="24" xfId="0" applyFont="1" applyFill="1" applyBorder="1" applyAlignment="1">
      <alignment horizontal="center" vertical="center"/>
    </xf>
    <xf numFmtId="0" fontId="7" fillId="0" borderId="51" xfId="0" applyFont="1" applyFill="1" applyBorder="1" applyAlignment="1">
      <alignment horizontal="left" vertical="center" wrapText="1"/>
    </xf>
    <xf numFmtId="0" fontId="23" fillId="0" borderId="0" xfId="14" applyFont="1" applyAlignment="1">
      <alignment horizontal="center" vertical="center"/>
    </xf>
    <xf numFmtId="0" fontId="2" fillId="0" borderId="12" xfId="1" applyBorder="1"/>
    <xf numFmtId="0" fontId="0" fillId="0" borderId="46" xfId="0" applyFill="1" applyBorder="1" applyAlignment="1">
      <alignment horizontal="center" vertical="center"/>
    </xf>
    <xf numFmtId="0" fontId="23" fillId="0" borderId="12" xfId="1" applyFont="1" applyBorder="1" applyAlignment="1">
      <alignment horizontal="center" vertical="center"/>
    </xf>
    <xf numFmtId="0" fontId="1" fillId="0" borderId="0" xfId="0" applyFont="1" applyFill="1" applyBorder="1" applyAlignment="1">
      <alignment horizontal="center" vertical="center"/>
    </xf>
    <xf numFmtId="0" fontId="13" fillId="0" borderId="0" xfId="5" applyFill="1" applyAlignment="1">
      <alignment horizontal="center" vertical="center"/>
    </xf>
    <xf numFmtId="0" fontId="14" fillId="0" borderId="0" xfId="6" applyFill="1" applyAlignment="1">
      <alignment horizontal="center"/>
    </xf>
    <xf numFmtId="0" fontId="16" fillId="0" borderId="0" xfId="7" applyFill="1" applyAlignment="1">
      <alignment horizontal="center" vertical="center"/>
    </xf>
    <xf numFmtId="0" fontId="20" fillId="9" borderId="53" xfId="8" applyBorder="1"/>
    <xf numFmtId="0" fontId="1" fillId="10" borderId="3" xfId="0" applyFont="1" applyFill="1" applyBorder="1" applyAlignment="1">
      <alignment horizontal="center" vertical="center"/>
    </xf>
    <xf numFmtId="0" fontId="20" fillId="9" borderId="53" xfId="8" applyBorder="1" applyAlignment="1">
      <alignment horizontal="center" vertical="center"/>
    </xf>
    <xf numFmtId="0" fontId="20" fillId="0" borderId="0" xfId="8" applyFill="1" applyBorder="1" applyAlignment="1">
      <alignment horizontal="center" vertical="center"/>
    </xf>
    <xf numFmtId="0" fontId="0" fillId="0" borderId="6" xfId="0" applyFont="1" applyBorder="1" applyAlignment="1">
      <alignment horizontal="center" vertical="center"/>
    </xf>
    <xf numFmtId="0" fontId="5" fillId="4" borderId="5" xfId="0" applyNumberFormat="1" applyFont="1" applyFill="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0" fillId="0" borderId="1" xfId="0" applyFill="1" applyBorder="1" applyAlignment="1">
      <alignment vertical="center"/>
    </xf>
    <xf numFmtId="0" fontId="2" fillId="0" borderId="1" xfId="1" applyFill="1" applyBorder="1" applyAlignment="1">
      <alignment horizontal="center" vertical="center"/>
    </xf>
    <xf numFmtId="0" fontId="1" fillId="10" borderId="39"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39" xfId="0" applyFont="1" applyFill="1" applyBorder="1" applyAlignment="1">
      <alignment horizontal="center" vertical="center"/>
    </xf>
    <xf numFmtId="0" fontId="1" fillId="10" borderId="32" xfId="0" applyFont="1" applyFill="1" applyBorder="1" applyAlignment="1">
      <alignment horizontal="center" vertical="center"/>
    </xf>
    <xf numFmtId="0" fontId="1" fillId="10" borderId="37" xfId="0" applyFont="1" applyFill="1" applyBorder="1" applyAlignment="1">
      <alignment horizontal="center" vertical="center"/>
    </xf>
    <xf numFmtId="0" fontId="1" fillId="10" borderId="38" xfId="0" applyFont="1" applyFill="1" applyBorder="1" applyAlignment="1">
      <alignment horizontal="center" vertical="center"/>
    </xf>
    <xf numFmtId="0" fontId="1" fillId="10" borderId="29" xfId="0" applyFont="1" applyFill="1" applyBorder="1" applyAlignment="1">
      <alignment horizontal="center" vertical="center"/>
    </xf>
    <xf numFmtId="0" fontId="1" fillId="10" borderId="35" xfId="0" applyFont="1" applyFill="1" applyBorder="1" applyAlignment="1">
      <alignment horizontal="center" vertical="center"/>
    </xf>
    <xf numFmtId="0" fontId="1" fillId="10" borderId="33" xfId="0" applyFont="1" applyFill="1" applyBorder="1" applyAlignment="1">
      <alignment horizontal="center" vertical="center"/>
    </xf>
    <xf numFmtId="0" fontId="4" fillId="13" borderId="40" xfId="11" applyBorder="1" applyAlignment="1">
      <alignment horizontal="left" vertical="center"/>
    </xf>
    <xf numFmtId="0" fontId="1" fillId="10" borderId="33" xfId="0" applyFont="1" applyFill="1" applyBorder="1" applyAlignment="1">
      <alignment horizontal="center" vertical="center" wrapText="1"/>
    </xf>
    <xf numFmtId="0" fontId="1" fillId="10" borderId="37" xfId="0" applyFont="1" applyFill="1" applyBorder="1" applyAlignment="1">
      <alignment horizontal="center" vertical="center" wrapText="1"/>
    </xf>
    <xf numFmtId="0" fontId="0" fillId="10" borderId="16" xfId="0" applyFill="1" applyBorder="1" applyAlignment="1">
      <alignment horizontal="center" vertical="center"/>
    </xf>
    <xf numFmtId="0" fontId="0" fillId="10" borderId="30" xfId="0" applyFill="1" applyBorder="1" applyAlignment="1">
      <alignment horizontal="center" vertical="center"/>
    </xf>
    <xf numFmtId="0" fontId="9" fillId="4" borderId="47" xfId="0" applyNumberFormat="1" applyFont="1" applyFill="1" applyBorder="1" applyAlignment="1">
      <alignment horizontal="center" vertical="center" wrapText="1"/>
    </xf>
    <xf numFmtId="0" fontId="9" fillId="4" borderId="16" xfId="0" applyNumberFormat="1" applyFont="1" applyFill="1" applyBorder="1" applyAlignment="1">
      <alignment horizontal="center" vertical="center" wrapText="1"/>
    </xf>
    <xf numFmtId="0" fontId="9" fillId="4" borderId="17" xfId="0" applyNumberFormat="1" applyFont="1" applyFill="1" applyBorder="1" applyAlignment="1">
      <alignment horizontal="center" vertical="center" wrapText="1"/>
    </xf>
    <xf numFmtId="0" fontId="5" fillId="4" borderId="46" xfId="0" applyNumberFormat="1" applyFont="1" applyFill="1" applyBorder="1" applyAlignment="1">
      <alignment horizontal="center" vertical="center" wrapText="1"/>
    </xf>
    <xf numFmtId="0" fontId="5" fillId="4" borderId="4" xfId="0" applyNumberFormat="1" applyFont="1" applyFill="1" applyBorder="1" applyAlignment="1">
      <alignment horizontal="center" vertical="center" wrapText="1"/>
    </xf>
    <xf numFmtId="0" fontId="5" fillId="4" borderId="13" xfId="0" applyNumberFormat="1" applyFont="1" applyFill="1" applyBorder="1" applyAlignment="1">
      <alignment horizontal="center" vertical="center" wrapText="1"/>
    </xf>
    <xf numFmtId="0" fontId="5" fillId="4" borderId="19" xfId="0" applyNumberFormat="1" applyFont="1" applyFill="1" applyBorder="1" applyAlignment="1">
      <alignment horizontal="center" vertical="center" wrapText="1"/>
    </xf>
    <xf numFmtId="0" fontId="5" fillId="4" borderId="20" xfId="0" applyNumberFormat="1" applyFont="1" applyFill="1" applyBorder="1" applyAlignment="1">
      <alignment horizontal="center" vertical="center" wrapText="1"/>
    </xf>
    <xf numFmtId="0" fontId="5" fillId="4" borderId="7" xfId="0" applyNumberFormat="1" applyFont="1" applyFill="1" applyBorder="1" applyAlignment="1">
      <alignment horizontal="center" vertical="center" wrapText="1"/>
    </xf>
    <xf numFmtId="0" fontId="5" fillId="4" borderId="14" xfId="0" applyNumberFormat="1" applyFont="1" applyFill="1" applyBorder="1" applyAlignment="1">
      <alignment horizontal="center" vertical="center" wrapText="1"/>
    </xf>
    <xf numFmtId="0" fontId="5" fillId="4" borderId="8" xfId="0" applyNumberFormat="1" applyFont="1" applyFill="1" applyBorder="1" applyAlignment="1">
      <alignment horizontal="center" vertical="center" wrapText="1"/>
    </xf>
    <xf numFmtId="0" fontId="5" fillId="4" borderId="10"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8" xfId="0" applyNumberFormat="1" applyFont="1" applyFill="1" applyBorder="1" applyAlignment="1">
      <alignment horizontal="center" vertical="center" wrapText="1"/>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5" fillId="4" borderId="5" xfId="0" applyNumberFormat="1" applyFont="1" applyFill="1" applyBorder="1" applyAlignment="1">
      <alignment horizontal="center" vertical="center" wrapText="1"/>
    </xf>
    <xf numFmtId="0" fontId="5" fillId="4" borderId="6" xfId="0" applyNumberFormat="1" applyFont="1" applyFill="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0" fillId="0" borderId="23"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1" fillId="10" borderId="34"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43" xfId="0" applyFont="1" applyFill="1" applyBorder="1" applyAlignment="1">
      <alignment horizontal="center" vertical="center"/>
    </xf>
    <xf numFmtId="0" fontId="1" fillId="10" borderId="42" xfId="0" applyFont="1" applyFill="1" applyBorder="1" applyAlignment="1">
      <alignment horizontal="center" vertical="center"/>
    </xf>
    <xf numFmtId="0" fontId="1" fillId="10" borderId="31" xfId="0" applyFont="1" applyFill="1" applyBorder="1" applyAlignment="1">
      <alignment horizontal="center" vertical="center"/>
    </xf>
    <xf numFmtId="0" fontId="1" fillId="10" borderId="42" xfId="0" applyFont="1" applyFill="1" applyBorder="1" applyAlignment="1">
      <alignment horizontal="center" vertical="center" wrapText="1"/>
    </xf>
    <xf numFmtId="0" fontId="1" fillId="10" borderId="43" xfId="0" applyFont="1" applyFill="1" applyBorder="1" applyAlignment="1">
      <alignment horizontal="center" vertical="center" wrapText="1"/>
    </xf>
    <xf numFmtId="0" fontId="1" fillId="10" borderId="34" xfId="0" applyFont="1" applyFill="1" applyBorder="1" applyAlignment="1">
      <alignment horizontal="center" vertical="center" wrapText="1"/>
    </xf>
    <xf numFmtId="0" fontId="1" fillId="10" borderId="44" xfId="0" applyFont="1" applyFill="1" applyBorder="1" applyAlignment="1">
      <alignment horizontal="center" vertical="center"/>
    </xf>
    <xf numFmtId="0" fontId="1" fillId="10" borderId="52" xfId="0" applyFont="1" applyFill="1" applyBorder="1" applyAlignment="1">
      <alignment horizontal="center" vertical="center"/>
    </xf>
    <xf numFmtId="0" fontId="1" fillId="10" borderId="21" xfId="0" applyFont="1" applyFill="1" applyBorder="1" applyAlignment="1">
      <alignment horizontal="center" vertical="center"/>
    </xf>
    <xf numFmtId="0" fontId="1" fillId="10" borderId="31" xfId="0"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0" fontId="0" fillId="0" borderId="6" xfId="0" applyFill="1" applyBorder="1" applyAlignment="1">
      <alignment horizontal="center" vertical="center"/>
    </xf>
    <xf numFmtId="0" fontId="0" fillId="0" borderId="5" xfId="0" applyFill="1" applyBorder="1" applyAlignment="1">
      <alignment horizontal="center" vertical="center"/>
    </xf>
  </cellXfs>
  <cellStyles count="22">
    <cellStyle name="20% - Accent3" xfId="16" builtinId="38"/>
    <cellStyle name="20% - Accent4" xfId="20" builtinId="42"/>
    <cellStyle name="20% - Accent5" xfId="18" builtinId="46"/>
    <cellStyle name="20% - Accent6" xfId="19" builtinId="50"/>
    <cellStyle name="40% - Accent1" xfId="9" builtinId="31"/>
    <cellStyle name="40% - Accent2" xfId="10" builtinId="35"/>
    <cellStyle name="40% - Accent3" xfId="11" builtinId="39"/>
    <cellStyle name="40% - Accent4" xfId="12" builtinId="43"/>
    <cellStyle name="40% - Accent6" xfId="13" builtinId="51"/>
    <cellStyle name="60% - Accent1" xfId="15" builtinId="32"/>
    <cellStyle name="60% - Accent3" xfId="17" builtinId="40"/>
    <cellStyle name="60% - Accent5" xfId="21" builtinId="48"/>
    <cellStyle name="Bad" xfId="5" builtinId="27"/>
    <cellStyle name="Calculation" xfId="8" builtinId="22"/>
    <cellStyle name="Good" xfId="7" builtinId="26"/>
    <cellStyle name="Hyperlink" xfId="1" builtinId="8"/>
    <cellStyle name="IC/EC" xfId="2" xr:uid="{00000000-0005-0000-0000-000002000000}"/>
    <cellStyle name="Neutral" xfId="6" builtinId="28"/>
    <cellStyle name="Normal" xfId="0" builtinId="0"/>
    <cellStyle name="Normal 2" xfId="4" xr:uid="{00000000-0005-0000-0000-000005000000}"/>
    <cellStyle name="Percent" xfId="3" builtinId="5"/>
    <cellStyle name="Warning Text" xfId="14"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 Assessment '!$V$5</c:f>
              <c:strCache>
                <c:ptCount val="1"/>
                <c:pt idx="0">
                  <c:v>Yes</c:v>
                </c:pt>
              </c:strCache>
            </c:strRef>
          </c:tx>
          <c:spPr>
            <a:solidFill>
              <a:srgbClr val="00B050"/>
            </a:solidFill>
            <a:ln>
              <a:solidFill>
                <a:srgbClr val="00B05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'Quality Assessment '!$H$2:$Q$2</c15:sqref>
                  </c15:fullRef>
                </c:ext>
              </c:extLst>
              <c:f>'Quality Assessment '!$H$2:$N$2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'Quality Assessment '!$V$6:$V$15</c15:sqref>
                  </c15:fullRef>
                </c:ext>
              </c:extLst>
              <c:f>'Quality Assessment '!$V$6:$V$12</c:f>
              <c:numCache>
                <c:formatCode>General</c:formatCode>
                <c:ptCount val="7"/>
                <c:pt idx="0">
                  <c:v>0.9107142857142857</c:v>
                </c:pt>
                <c:pt idx="1">
                  <c:v>0.5982142857142857</c:v>
                </c:pt>
                <c:pt idx="2">
                  <c:v>0.8660714285714286</c:v>
                </c:pt>
                <c:pt idx="3">
                  <c:v>0.22321428571428573</c:v>
                </c:pt>
                <c:pt idx="4">
                  <c:v>0.20535714285714285</c:v>
                </c:pt>
                <c:pt idx="5">
                  <c:v>0.6160714285714286</c:v>
                </c:pt>
                <c:pt idx="6">
                  <c:v>0.4732142857142857</c:v>
                </c:pt>
              </c:numCache>
            </c:numRef>
          </c:val>
          <c:extLst>
            <c:ext xmlns:c16="http://schemas.microsoft.com/office/drawing/2014/chart" uri="{C3380CC4-5D6E-409C-BE32-E72D297353CC}">
              <c16:uniqueId val="{00000000-48E4-44A6-B97F-4A30A5F09F50}"/>
            </c:ext>
          </c:extLst>
        </c:ser>
        <c:ser>
          <c:idx val="1"/>
          <c:order val="1"/>
          <c:tx>
            <c:strRef>
              <c:f>'Quality Assessment '!$W$5</c:f>
              <c:strCache>
                <c:ptCount val="1"/>
                <c:pt idx="0">
                  <c:v>Partially</c:v>
                </c:pt>
              </c:strCache>
            </c:strRef>
          </c:tx>
          <c:spPr>
            <a:solidFill>
              <a:srgbClr val="0070C0"/>
            </a:solidFill>
            <a:ln>
              <a:no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'Quality Assessment '!$H$2:$Q$2</c15:sqref>
                  </c15:fullRef>
                </c:ext>
              </c:extLst>
              <c:f>'Quality Assessment '!$H$2:$N$2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'Quality Assessment '!$W$6:$W$15</c15:sqref>
                  </c15:fullRef>
                </c:ext>
              </c:extLst>
              <c:f>'Quality Assessment '!$W$6:$W$12</c:f>
              <c:numCache>
                <c:formatCode>General</c:formatCode>
                <c:ptCount val="7"/>
                <c:pt idx="0">
                  <c:v>8.9285714285714288E-2</c:v>
                </c:pt>
                <c:pt idx="1">
                  <c:v>0.19642857142857142</c:v>
                </c:pt>
                <c:pt idx="2">
                  <c:v>0.13392857142857142</c:v>
                </c:pt>
                <c:pt idx="3">
                  <c:v>0.35714285714285715</c:v>
                </c:pt>
                <c:pt idx="4">
                  <c:v>0.5892857142857143</c:v>
                </c:pt>
                <c:pt idx="5">
                  <c:v>0.25892857142857145</c:v>
                </c:pt>
                <c:pt idx="6">
                  <c:v>0.4107142857142857</c:v>
                </c:pt>
              </c:numCache>
            </c:numRef>
          </c:val>
          <c:extLst>
            <c:ext xmlns:c16="http://schemas.microsoft.com/office/drawing/2014/chart" uri="{C3380CC4-5D6E-409C-BE32-E72D297353CC}">
              <c16:uniqueId val="{00000001-48E4-44A6-B97F-4A30A5F09F50}"/>
            </c:ext>
          </c:extLst>
        </c:ser>
        <c:ser>
          <c:idx val="2"/>
          <c:order val="2"/>
          <c:tx>
            <c:strRef>
              <c:f>'Quality Assessment '!$X$5</c:f>
              <c:strCache>
                <c:ptCount val="1"/>
                <c:pt idx="0">
                  <c:v>No</c:v>
                </c:pt>
              </c:strCache>
            </c:strRef>
          </c:tx>
          <c:spPr>
            <a:solidFill>
              <a:srgbClr val="C00000"/>
            </a:solidFill>
            <a:ln>
              <a:solidFill>
                <a:srgbClr val="C0000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'Quality Assessment '!$H$2:$Q$2</c15:sqref>
                  </c15:fullRef>
                </c:ext>
              </c:extLst>
              <c:f>'Quality Assessment '!$H$2:$N$2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'Quality Assessment '!$X$6:$X$15</c15:sqref>
                  </c15:fullRef>
                </c:ext>
              </c:extLst>
              <c:f>'Quality Assessment '!$X$6:$X$12</c:f>
              <c:numCache>
                <c:formatCode>General</c:formatCode>
                <c:ptCount val="7"/>
                <c:pt idx="0">
                  <c:v>0</c:v>
                </c:pt>
                <c:pt idx="1">
                  <c:v>0.20135714285714285</c:v>
                </c:pt>
                <c:pt idx="2">
                  <c:v>0</c:v>
                </c:pt>
                <c:pt idx="3">
                  <c:v>0.41964285714285715</c:v>
                </c:pt>
                <c:pt idx="4">
                  <c:v>0.20435714285714285</c:v>
                </c:pt>
                <c:pt idx="5">
                  <c:v>0.124</c:v>
                </c:pt>
                <c:pt idx="6">
                  <c:v>0.11607142857142858</c:v>
                </c:pt>
              </c:numCache>
            </c:numRef>
          </c:val>
          <c:extLst>
            <c:ext xmlns:c16="http://schemas.microsoft.com/office/drawing/2014/chart" uri="{C3380CC4-5D6E-409C-BE32-E72D297353CC}">
              <c16:uniqueId val="{00000002-48E4-44A6-B97F-4A30A5F09F50}"/>
            </c:ext>
          </c:extLst>
        </c:ser>
        <c:dLbls>
          <c:dLblPos val="outEnd"/>
          <c:showLegendKey val="0"/>
          <c:showVal val="1"/>
          <c:showCatName val="0"/>
          <c:showSerName val="0"/>
          <c:showPercent val="0"/>
          <c:showBubbleSize val="0"/>
        </c:dLbls>
        <c:gapWidth val="219"/>
        <c:overlap val="-27"/>
        <c:axId val="496205263"/>
        <c:axId val="496203183"/>
      </c:barChart>
      <c:catAx>
        <c:axId val="4962052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3183"/>
        <c:crosses val="autoZero"/>
        <c:auto val="0"/>
        <c:lblAlgn val="ctr"/>
        <c:lblOffset val="100"/>
        <c:noMultiLvlLbl val="0"/>
      </c:catAx>
      <c:valAx>
        <c:axId val="49620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5263"/>
        <c:crosses val="autoZero"/>
        <c:crossBetween val="between"/>
      </c:valAx>
      <c:spPr>
        <a:noFill/>
        <a:ln>
          <a:noFill/>
        </a:ln>
        <a:effectLst/>
      </c:spPr>
    </c:plotArea>
    <c:legend>
      <c:legendPos val="b"/>
      <c:layout>
        <c:manualLayout>
          <c:xMode val="edge"/>
          <c:yMode val="edge"/>
          <c:x val="0.35189481735616729"/>
          <c:y val="0.87110255103004208"/>
          <c:w val="0.29804944548111933"/>
          <c:h val="8.09358182745142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11. CMFacetsApproaches'!$A$2:$A$6</c:f>
              <c:strCache>
                <c:ptCount val="5"/>
                <c:pt idx="0">
                  <c:v>Conflict Specfication</c:v>
                </c:pt>
                <c:pt idx="1">
                  <c:v>Conflict Prevention</c:v>
                </c:pt>
                <c:pt idx="2">
                  <c:v>Conflict Detection</c:v>
                </c:pt>
                <c:pt idx="3">
                  <c:v>Conflict Resolution</c:v>
                </c:pt>
                <c:pt idx="4">
                  <c:v>Conflict Awareness</c:v>
                </c:pt>
              </c:strCache>
            </c:strRef>
          </c:cat>
          <c:val>
            <c:numRef>
              <c:f>'Fig 11. CMFacetsApproaches'!$B$2:$B$6</c:f>
              <c:numCache>
                <c:formatCode>General</c:formatCode>
                <c:ptCount val="5"/>
                <c:pt idx="0">
                  <c:v>41</c:v>
                </c:pt>
                <c:pt idx="1">
                  <c:v>15</c:v>
                </c:pt>
                <c:pt idx="2">
                  <c:v>57</c:v>
                </c:pt>
                <c:pt idx="3">
                  <c:v>32</c:v>
                </c:pt>
                <c:pt idx="4">
                  <c:v>47</c:v>
                </c:pt>
              </c:numCache>
            </c:numRef>
          </c:val>
          <c:extLst>
            <c:ext xmlns:c16="http://schemas.microsoft.com/office/drawing/2014/chart" uri="{C3380CC4-5D6E-409C-BE32-E72D297353CC}">
              <c16:uniqueId val="{00000000-54DB-438C-B6B8-F5084874E21E}"/>
            </c:ext>
          </c:extLst>
        </c:ser>
        <c:dLbls>
          <c:showLegendKey val="0"/>
          <c:showVal val="0"/>
          <c:showCatName val="0"/>
          <c:showSerName val="0"/>
          <c:showPercent val="0"/>
          <c:showBubbleSize val="0"/>
        </c:dLbls>
        <c:gapWidth val="15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Approaches</a:t>
                </a:r>
              </a:p>
            </c:rich>
          </c:tx>
          <c:layout>
            <c:manualLayout>
              <c:xMode val="edge"/>
              <c:yMode val="edge"/>
              <c:x val="2.6049201029889044E-2"/>
              <c:y val="0.247274425780517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12. Contribution Facet'!$A$2:$A$6</c:f>
              <c:strCache>
                <c:ptCount val="5"/>
                <c:pt idx="0">
                  <c:v>Tool</c:v>
                </c:pt>
                <c:pt idx="1">
                  <c:v>Method/Approach</c:v>
                </c:pt>
                <c:pt idx="2">
                  <c:v>Model/Framework</c:v>
                </c:pt>
                <c:pt idx="3">
                  <c:v>Process/Algorithm</c:v>
                </c:pt>
                <c:pt idx="4">
                  <c:v>Metric/Benchmark</c:v>
                </c:pt>
              </c:strCache>
            </c:strRef>
          </c:cat>
          <c:val>
            <c:numRef>
              <c:f>'Fig 12. Contribution Facet'!$B$2:$B$6</c:f>
              <c:numCache>
                <c:formatCode>General</c:formatCode>
                <c:ptCount val="5"/>
                <c:pt idx="0">
                  <c:v>78</c:v>
                </c:pt>
                <c:pt idx="1">
                  <c:v>96</c:v>
                </c:pt>
                <c:pt idx="2">
                  <c:v>31</c:v>
                </c:pt>
                <c:pt idx="3">
                  <c:v>37</c:v>
                </c:pt>
                <c:pt idx="4">
                  <c:v>9</c:v>
                </c:pt>
              </c:numCache>
            </c:numRef>
          </c:val>
          <c:extLst>
            <c:ext xmlns:c16="http://schemas.microsoft.com/office/drawing/2014/chart" uri="{C3380CC4-5D6E-409C-BE32-E72D297353CC}">
              <c16:uniqueId val="{00000000-333D-459F-BC43-42CF6C72D8B7}"/>
            </c:ext>
          </c:extLst>
        </c:ser>
        <c:dLbls>
          <c:showLegendKey val="0"/>
          <c:showVal val="0"/>
          <c:showCatName val="0"/>
          <c:showSerName val="0"/>
          <c:showPercent val="0"/>
          <c:showBubbleSize val="0"/>
        </c:dLbls>
        <c:gapWidth val="15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max val="100"/>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2.8798441431934416E-2"/>
              <c:y val="0.22363873538604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13. ContributionYear'!$Q$2:$Q$106</c:f>
              <c:numCache>
                <c:formatCode>General</c:formatCode>
                <c:ptCount val="10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pt idx="65">
                  <c:v>1</c:v>
                </c:pt>
                <c:pt idx="66">
                  <c:v>2</c:v>
                </c:pt>
                <c:pt idx="67">
                  <c:v>3</c:v>
                </c:pt>
                <c:pt idx="68">
                  <c:v>4</c:v>
                </c:pt>
                <c:pt idx="69">
                  <c:v>5</c:v>
                </c:pt>
                <c:pt idx="70">
                  <c:v>1</c:v>
                </c:pt>
                <c:pt idx="71">
                  <c:v>2</c:v>
                </c:pt>
                <c:pt idx="72">
                  <c:v>3</c:v>
                </c:pt>
                <c:pt idx="73">
                  <c:v>4</c:v>
                </c:pt>
                <c:pt idx="74">
                  <c:v>5</c:v>
                </c:pt>
                <c:pt idx="75">
                  <c:v>1</c:v>
                </c:pt>
                <c:pt idx="76">
                  <c:v>2</c:v>
                </c:pt>
                <c:pt idx="77">
                  <c:v>3</c:v>
                </c:pt>
                <c:pt idx="78">
                  <c:v>4</c:v>
                </c:pt>
                <c:pt idx="79">
                  <c:v>5</c:v>
                </c:pt>
                <c:pt idx="80">
                  <c:v>1</c:v>
                </c:pt>
                <c:pt idx="81">
                  <c:v>2</c:v>
                </c:pt>
                <c:pt idx="82">
                  <c:v>3</c:v>
                </c:pt>
                <c:pt idx="83">
                  <c:v>4</c:v>
                </c:pt>
                <c:pt idx="84">
                  <c:v>5</c:v>
                </c:pt>
                <c:pt idx="85">
                  <c:v>1</c:v>
                </c:pt>
                <c:pt idx="86">
                  <c:v>2</c:v>
                </c:pt>
                <c:pt idx="87">
                  <c:v>3</c:v>
                </c:pt>
                <c:pt idx="88">
                  <c:v>4</c:v>
                </c:pt>
                <c:pt idx="89">
                  <c:v>5</c:v>
                </c:pt>
                <c:pt idx="90">
                  <c:v>1</c:v>
                </c:pt>
                <c:pt idx="91">
                  <c:v>2</c:v>
                </c:pt>
                <c:pt idx="92">
                  <c:v>3</c:v>
                </c:pt>
                <c:pt idx="93">
                  <c:v>4</c:v>
                </c:pt>
                <c:pt idx="94">
                  <c:v>5</c:v>
                </c:pt>
                <c:pt idx="95">
                  <c:v>1</c:v>
                </c:pt>
                <c:pt idx="96">
                  <c:v>2</c:v>
                </c:pt>
                <c:pt idx="97">
                  <c:v>3</c:v>
                </c:pt>
                <c:pt idx="98">
                  <c:v>4</c:v>
                </c:pt>
                <c:pt idx="99">
                  <c:v>5</c:v>
                </c:pt>
                <c:pt idx="100">
                  <c:v>1</c:v>
                </c:pt>
                <c:pt idx="101">
                  <c:v>2</c:v>
                </c:pt>
                <c:pt idx="102">
                  <c:v>3</c:v>
                </c:pt>
                <c:pt idx="103">
                  <c:v>4</c:v>
                </c:pt>
                <c:pt idx="104">
                  <c:v>5</c:v>
                </c:pt>
              </c:numCache>
            </c:numRef>
          </c:xVal>
          <c:yVal>
            <c:numRef>
              <c:f>'Fig 13. ContributionYear'!$R$2:$R$106</c:f>
              <c:numCache>
                <c:formatCode>General</c:formatCode>
                <c:ptCount val="105"/>
                <c:pt idx="0">
                  <c:v>2001</c:v>
                </c:pt>
                <c:pt idx="1">
                  <c:v>2001</c:v>
                </c:pt>
                <c:pt idx="2">
                  <c:v>2001</c:v>
                </c:pt>
                <c:pt idx="3">
                  <c:v>2001</c:v>
                </c:pt>
                <c:pt idx="4">
                  <c:v>2001</c:v>
                </c:pt>
                <c:pt idx="5">
                  <c:v>2002</c:v>
                </c:pt>
                <c:pt idx="6">
                  <c:v>2002</c:v>
                </c:pt>
                <c:pt idx="7">
                  <c:v>2002</c:v>
                </c:pt>
                <c:pt idx="8">
                  <c:v>2002</c:v>
                </c:pt>
                <c:pt idx="9">
                  <c:v>2002</c:v>
                </c:pt>
                <c:pt idx="10">
                  <c:v>2003</c:v>
                </c:pt>
                <c:pt idx="11">
                  <c:v>2003</c:v>
                </c:pt>
                <c:pt idx="12">
                  <c:v>2003</c:v>
                </c:pt>
                <c:pt idx="13">
                  <c:v>2003</c:v>
                </c:pt>
                <c:pt idx="14">
                  <c:v>2003</c:v>
                </c:pt>
                <c:pt idx="15">
                  <c:v>2004</c:v>
                </c:pt>
                <c:pt idx="16">
                  <c:v>2004</c:v>
                </c:pt>
                <c:pt idx="17">
                  <c:v>2004</c:v>
                </c:pt>
                <c:pt idx="18">
                  <c:v>2004</c:v>
                </c:pt>
                <c:pt idx="19">
                  <c:v>2004</c:v>
                </c:pt>
                <c:pt idx="20">
                  <c:v>2005</c:v>
                </c:pt>
                <c:pt idx="21">
                  <c:v>2005</c:v>
                </c:pt>
                <c:pt idx="22">
                  <c:v>2005</c:v>
                </c:pt>
                <c:pt idx="23">
                  <c:v>2005</c:v>
                </c:pt>
                <c:pt idx="24">
                  <c:v>2005</c:v>
                </c:pt>
                <c:pt idx="25">
                  <c:v>2006</c:v>
                </c:pt>
                <c:pt idx="26">
                  <c:v>2006</c:v>
                </c:pt>
                <c:pt idx="27">
                  <c:v>2006</c:v>
                </c:pt>
                <c:pt idx="28">
                  <c:v>2006</c:v>
                </c:pt>
                <c:pt idx="29">
                  <c:v>2006</c:v>
                </c:pt>
                <c:pt idx="30">
                  <c:v>2007</c:v>
                </c:pt>
                <c:pt idx="31">
                  <c:v>2007</c:v>
                </c:pt>
                <c:pt idx="32">
                  <c:v>2007</c:v>
                </c:pt>
                <c:pt idx="33">
                  <c:v>2007</c:v>
                </c:pt>
                <c:pt idx="34">
                  <c:v>2007</c:v>
                </c:pt>
                <c:pt idx="35">
                  <c:v>2008</c:v>
                </c:pt>
                <c:pt idx="36">
                  <c:v>2008</c:v>
                </c:pt>
                <c:pt idx="37">
                  <c:v>2008</c:v>
                </c:pt>
                <c:pt idx="38">
                  <c:v>2008</c:v>
                </c:pt>
                <c:pt idx="39">
                  <c:v>2008</c:v>
                </c:pt>
                <c:pt idx="40">
                  <c:v>2009</c:v>
                </c:pt>
                <c:pt idx="41">
                  <c:v>2009</c:v>
                </c:pt>
                <c:pt idx="42">
                  <c:v>2009</c:v>
                </c:pt>
                <c:pt idx="43">
                  <c:v>2009</c:v>
                </c:pt>
                <c:pt idx="44">
                  <c:v>2009</c:v>
                </c:pt>
                <c:pt idx="45">
                  <c:v>2010</c:v>
                </c:pt>
                <c:pt idx="46">
                  <c:v>2010</c:v>
                </c:pt>
                <c:pt idx="47">
                  <c:v>2010</c:v>
                </c:pt>
                <c:pt idx="48">
                  <c:v>2010</c:v>
                </c:pt>
                <c:pt idx="49">
                  <c:v>2010</c:v>
                </c:pt>
                <c:pt idx="50">
                  <c:v>2011</c:v>
                </c:pt>
                <c:pt idx="51">
                  <c:v>2011</c:v>
                </c:pt>
                <c:pt idx="52">
                  <c:v>2011</c:v>
                </c:pt>
                <c:pt idx="53">
                  <c:v>2011</c:v>
                </c:pt>
                <c:pt idx="54">
                  <c:v>2011</c:v>
                </c:pt>
                <c:pt idx="55">
                  <c:v>2012</c:v>
                </c:pt>
                <c:pt idx="56">
                  <c:v>2012</c:v>
                </c:pt>
                <c:pt idx="57">
                  <c:v>2012</c:v>
                </c:pt>
                <c:pt idx="58">
                  <c:v>2012</c:v>
                </c:pt>
                <c:pt idx="59">
                  <c:v>2012</c:v>
                </c:pt>
                <c:pt idx="60">
                  <c:v>2013</c:v>
                </c:pt>
                <c:pt idx="61">
                  <c:v>2013</c:v>
                </c:pt>
                <c:pt idx="62">
                  <c:v>2013</c:v>
                </c:pt>
                <c:pt idx="63">
                  <c:v>2013</c:v>
                </c:pt>
                <c:pt idx="64">
                  <c:v>2013</c:v>
                </c:pt>
                <c:pt idx="65">
                  <c:v>2014</c:v>
                </c:pt>
                <c:pt idx="66">
                  <c:v>2014</c:v>
                </c:pt>
                <c:pt idx="67">
                  <c:v>2014</c:v>
                </c:pt>
                <c:pt idx="68">
                  <c:v>2014</c:v>
                </c:pt>
                <c:pt idx="69">
                  <c:v>2014</c:v>
                </c:pt>
                <c:pt idx="70">
                  <c:v>2015</c:v>
                </c:pt>
                <c:pt idx="71">
                  <c:v>2015</c:v>
                </c:pt>
                <c:pt idx="72">
                  <c:v>2015</c:v>
                </c:pt>
                <c:pt idx="73">
                  <c:v>2015</c:v>
                </c:pt>
                <c:pt idx="74">
                  <c:v>2015</c:v>
                </c:pt>
                <c:pt idx="75">
                  <c:v>2016</c:v>
                </c:pt>
                <c:pt idx="76">
                  <c:v>2016</c:v>
                </c:pt>
                <c:pt idx="77">
                  <c:v>2016</c:v>
                </c:pt>
                <c:pt idx="78">
                  <c:v>2016</c:v>
                </c:pt>
                <c:pt idx="79">
                  <c:v>2016</c:v>
                </c:pt>
                <c:pt idx="80">
                  <c:v>2017</c:v>
                </c:pt>
                <c:pt idx="81">
                  <c:v>2017</c:v>
                </c:pt>
                <c:pt idx="82">
                  <c:v>2017</c:v>
                </c:pt>
                <c:pt idx="83">
                  <c:v>2017</c:v>
                </c:pt>
                <c:pt idx="84">
                  <c:v>2017</c:v>
                </c:pt>
                <c:pt idx="85">
                  <c:v>2018</c:v>
                </c:pt>
                <c:pt idx="86">
                  <c:v>2018</c:v>
                </c:pt>
                <c:pt idx="87">
                  <c:v>2018</c:v>
                </c:pt>
                <c:pt idx="88">
                  <c:v>2018</c:v>
                </c:pt>
                <c:pt idx="89">
                  <c:v>2018</c:v>
                </c:pt>
                <c:pt idx="90">
                  <c:v>2019</c:v>
                </c:pt>
                <c:pt idx="91">
                  <c:v>2019</c:v>
                </c:pt>
                <c:pt idx="92">
                  <c:v>2019</c:v>
                </c:pt>
                <c:pt idx="93">
                  <c:v>2019</c:v>
                </c:pt>
                <c:pt idx="94">
                  <c:v>2019</c:v>
                </c:pt>
                <c:pt idx="95">
                  <c:v>2020</c:v>
                </c:pt>
                <c:pt idx="96">
                  <c:v>2020</c:v>
                </c:pt>
                <c:pt idx="97">
                  <c:v>2020</c:v>
                </c:pt>
                <c:pt idx="98">
                  <c:v>2020</c:v>
                </c:pt>
                <c:pt idx="99">
                  <c:v>2020</c:v>
                </c:pt>
                <c:pt idx="100">
                  <c:v>2021</c:v>
                </c:pt>
                <c:pt idx="101">
                  <c:v>2021</c:v>
                </c:pt>
                <c:pt idx="102">
                  <c:v>2021</c:v>
                </c:pt>
                <c:pt idx="103">
                  <c:v>2021</c:v>
                </c:pt>
                <c:pt idx="104">
                  <c:v>2021</c:v>
                </c:pt>
              </c:numCache>
            </c:numRef>
          </c:yVal>
          <c:bubbleSize>
            <c:numRef>
              <c:f>'Fig 13. ContributionYear'!$S$2:$S$106</c:f>
              <c:numCache>
                <c:formatCode>General</c:formatCode>
                <c:ptCount val="105"/>
                <c:pt idx="0">
                  <c:v>1</c:v>
                </c:pt>
                <c:pt idx="1">
                  <c:v>1</c:v>
                </c:pt>
                <c:pt idx="2">
                  <c:v>1</c:v>
                </c:pt>
                <c:pt idx="3">
                  <c:v>0</c:v>
                </c:pt>
                <c:pt idx="4">
                  <c:v>0</c:v>
                </c:pt>
                <c:pt idx="5">
                  <c:v>0</c:v>
                </c:pt>
                <c:pt idx="6">
                  <c:v>0</c:v>
                </c:pt>
                <c:pt idx="7">
                  <c:v>0</c:v>
                </c:pt>
                <c:pt idx="8">
                  <c:v>0</c:v>
                </c:pt>
                <c:pt idx="9">
                  <c:v>0</c:v>
                </c:pt>
                <c:pt idx="10">
                  <c:v>0</c:v>
                </c:pt>
                <c:pt idx="11">
                  <c:v>2</c:v>
                </c:pt>
                <c:pt idx="12">
                  <c:v>1</c:v>
                </c:pt>
                <c:pt idx="13">
                  <c:v>1</c:v>
                </c:pt>
                <c:pt idx="14">
                  <c:v>0</c:v>
                </c:pt>
                <c:pt idx="15">
                  <c:v>0</c:v>
                </c:pt>
                <c:pt idx="16">
                  <c:v>0</c:v>
                </c:pt>
                <c:pt idx="17">
                  <c:v>0</c:v>
                </c:pt>
                <c:pt idx="18">
                  <c:v>0</c:v>
                </c:pt>
                <c:pt idx="19">
                  <c:v>0</c:v>
                </c:pt>
                <c:pt idx="20">
                  <c:v>2</c:v>
                </c:pt>
                <c:pt idx="21">
                  <c:v>3</c:v>
                </c:pt>
                <c:pt idx="22">
                  <c:v>2</c:v>
                </c:pt>
                <c:pt idx="23">
                  <c:v>1</c:v>
                </c:pt>
                <c:pt idx="24">
                  <c:v>0</c:v>
                </c:pt>
                <c:pt idx="25">
                  <c:v>3</c:v>
                </c:pt>
                <c:pt idx="26">
                  <c:v>2</c:v>
                </c:pt>
                <c:pt idx="27">
                  <c:v>2</c:v>
                </c:pt>
                <c:pt idx="28">
                  <c:v>1</c:v>
                </c:pt>
                <c:pt idx="29">
                  <c:v>0</c:v>
                </c:pt>
                <c:pt idx="30">
                  <c:v>3</c:v>
                </c:pt>
                <c:pt idx="31">
                  <c:v>4</c:v>
                </c:pt>
                <c:pt idx="32">
                  <c:v>1</c:v>
                </c:pt>
                <c:pt idx="33">
                  <c:v>2</c:v>
                </c:pt>
                <c:pt idx="34">
                  <c:v>0</c:v>
                </c:pt>
                <c:pt idx="35">
                  <c:v>2</c:v>
                </c:pt>
                <c:pt idx="36">
                  <c:v>2</c:v>
                </c:pt>
                <c:pt idx="37">
                  <c:v>1</c:v>
                </c:pt>
                <c:pt idx="38">
                  <c:v>0</c:v>
                </c:pt>
                <c:pt idx="39">
                  <c:v>0</c:v>
                </c:pt>
                <c:pt idx="40">
                  <c:v>5</c:v>
                </c:pt>
                <c:pt idx="41">
                  <c:v>6</c:v>
                </c:pt>
                <c:pt idx="42">
                  <c:v>2</c:v>
                </c:pt>
                <c:pt idx="43">
                  <c:v>1</c:v>
                </c:pt>
                <c:pt idx="44">
                  <c:v>0</c:v>
                </c:pt>
                <c:pt idx="45">
                  <c:v>6</c:v>
                </c:pt>
                <c:pt idx="46">
                  <c:v>9</c:v>
                </c:pt>
                <c:pt idx="47">
                  <c:v>3</c:v>
                </c:pt>
                <c:pt idx="48">
                  <c:v>1</c:v>
                </c:pt>
                <c:pt idx="49">
                  <c:v>0</c:v>
                </c:pt>
                <c:pt idx="50">
                  <c:v>2</c:v>
                </c:pt>
                <c:pt idx="51">
                  <c:v>5</c:v>
                </c:pt>
                <c:pt idx="52">
                  <c:v>2</c:v>
                </c:pt>
                <c:pt idx="53">
                  <c:v>1</c:v>
                </c:pt>
                <c:pt idx="54">
                  <c:v>0</c:v>
                </c:pt>
                <c:pt idx="55">
                  <c:v>4</c:v>
                </c:pt>
                <c:pt idx="56">
                  <c:v>5</c:v>
                </c:pt>
                <c:pt idx="57">
                  <c:v>1</c:v>
                </c:pt>
                <c:pt idx="58">
                  <c:v>3</c:v>
                </c:pt>
                <c:pt idx="59">
                  <c:v>0</c:v>
                </c:pt>
                <c:pt idx="60">
                  <c:v>7</c:v>
                </c:pt>
                <c:pt idx="61">
                  <c:v>7</c:v>
                </c:pt>
                <c:pt idx="62">
                  <c:v>0</c:v>
                </c:pt>
                <c:pt idx="63">
                  <c:v>4</c:v>
                </c:pt>
                <c:pt idx="64">
                  <c:v>0</c:v>
                </c:pt>
                <c:pt idx="65">
                  <c:v>5</c:v>
                </c:pt>
                <c:pt idx="66">
                  <c:v>6</c:v>
                </c:pt>
                <c:pt idx="67">
                  <c:v>2</c:v>
                </c:pt>
                <c:pt idx="68">
                  <c:v>2</c:v>
                </c:pt>
                <c:pt idx="69">
                  <c:v>2</c:v>
                </c:pt>
                <c:pt idx="70">
                  <c:v>7</c:v>
                </c:pt>
                <c:pt idx="71">
                  <c:v>6</c:v>
                </c:pt>
                <c:pt idx="72">
                  <c:v>3</c:v>
                </c:pt>
                <c:pt idx="73">
                  <c:v>2</c:v>
                </c:pt>
                <c:pt idx="74">
                  <c:v>2</c:v>
                </c:pt>
                <c:pt idx="75">
                  <c:v>5</c:v>
                </c:pt>
                <c:pt idx="76">
                  <c:v>6</c:v>
                </c:pt>
                <c:pt idx="77">
                  <c:v>2</c:v>
                </c:pt>
                <c:pt idx="78">
                  <c:v>2</c:v>
                </c:pt>
                <c:pt idx="79">
                  <c:v>3</c:v>
                </c:pt>
                <c:pt idx="80">
                  <c:v>6</c:v>
                </c:pt>
                <c:pt idx="81">
                  <c:v>6</c:v>
                </c:pt>
                <c:pt idx="82">
                  <c:v>4</c:v>
                </c:pt>
                <c:pt idx="83">
                  <c:v>5</c:v>
                </c:pt>
                <c:pt idx="84">
                  <c:v>1</c:v>
                </c:pt>
                <c:pt idx="85">
                  <c:v>3</c:v>
                </c:pt>
                <c:pt idx="86">
                  <c:v>5</c:v>
                </c:pt>
                <c:pt idx="87">
                  <c:v>1</c:v>
                </c:pt>
                <c:pt idx="88">
                  <c:v>0</c:v>
                </c:pt>
                <c:pt idx="89">
                  <c:v>0</c:v>
                </c:pt>
                <c:pt idx="90">
                  <c:v>8</c:v>
                </c:pt>
                <c:pt idx="91">
                  <c:v>7</c:v>
                </c:pt>
                <c:pt idx="92">
                  <c:v>2</c:v>
                </c:pt>
                <c:pt idx="93">
                  <c:v>2</c:v>
                </c:pt>
                <c:pt idx="94">
                  <c:v>0</c:v>
                </c:pt>
                <c:pt idx="95">
                  <c:v>6</c:v>
                </c:pt>
                <c:pt idx="96">
                  <c:v>8</c:v>
                </c:pt>
                <c:pt idx="97">
                  <c:v>1</c:v>
                </c:pt>
                <c:pt idx="98">
                  <c:v>5</c:v>
                </c:pt>
                <c:pt idx="99">
                  <c:v>1</c:v>
                </c:pt>
                <c:pt idx="100">
                  <c:v>3</c:v>
                </c:pt>
                <c:pt idx="101">
                  <c:v>6</c:v>
                </c:pt>
                <c:pt idx="102">
                  <c:v>0</c:v>
                </c:pt>
                <c:pt idx="103">
                  <c:v>4</c:v>
                </c:pt>
                <c:pt idx="104">
                  <c:v>0</c:v>
                </c:pt>
              </c:numCache>
            </c:numRef>
          </c:bubbleSize>
          <c:bubble3D val="0"/>
          <c:extLst>
            <c:ext xmlns:c16="http://schemas.microsoft.com/office/drawing/2014/chart" uri="{C3380CC4-5D6E-409C-BE32-E72D297353CC}">
              <c16:uniqueId val="{00000000-C5E7-4D72-BC85-A03A95DA9419}"/>
            </c:ext>
          </c:extLst>
        </c:ser>
        <c:dLbls>
          <c:dLblPos val="ctr"/>
          <c:showLegendKey val="0"/>
          <c:showVal val="1"/>
          <c:showCatName val="0"/>
          <c:showSerName val="0"/>
          <c:showPercent val="0"/>
          <c:showBubbleSize val="0"/>
        </c:dLbls>
        <c:bubbleScale val="40"/>
        <c:showNegBubbles val="0"/>
        <c:axId val="40017008"/>
        <c:axId val="40011184"/>
      </c:bubbleChart>
      <c:valAx>
        <c:axId val="4001700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1184"/>
        <c:crosses val="autoZero"/>
        <c:crossBetween val="midCat"/>
      </c:valAx>
      <c:valAx>
        <c:axId val="40011184"/>
        <c:scaling>
          <c:orientation val="minMax"/>
          <c:max val="2022"/>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Year of Publication</a:t>
                </a:r>
              </a:p>
            </c:rich>
          </c:tx>
          <c:layout>
            <c:manualLayout>
              <c:xMode val="edge"/>
              <c:yMode val="edge"/>
              <c:x val="2.3346296372639287E-2"/>
              <c:y val="0.402335497328420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01700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14. Research Facet'!$A$2:$A$4</c:f>
              <c:strCache>
                <c:ptCount val="3"/>
                <c:pt idx="0">
                  <c:v>Validation Research</c:v>
                </c:pt>
                <c:pt idx="1">
                  <c:v>Solution Proposal</c:v>
                </c:pt>
                <c:pt idx="2">
                  <c:v>Evaluation Research</c:v>
                </c:pt>
              </c:strCache>
            </c:strRef>
          </c:cat>
          <c:val>
            <c:numRef>
              <c:f>'Fig 14. Research Facet'!$B$2:$B$4</c:f>
              <c:numCache>
                <c:formatCode>General</c:formatCode>
                <c:ptCount val="3"/>
                <c:pt idx="0">
                  <c:v>26</c:v>
                </c:pt>
                <c:pt idx="1">
                  <c:v>67</c:v>
                </c:pt>
                <c:pt idx="2">
                  <c:v>12</c:v>
                </c:pt>
              </c:numCache>
            </c:numRef>
          </c:val>
          <c:extLst>
            <c:ext xmlns:c16="http://schemas.microsoft.com/office/drawing/2014/chart" uri="{C3380CC4-5D6E-409C-BE32-E72D297353CC}">
              <c16:uniqueId val="{00000000-0743-4946-8B2F-63F64BC67934}"/>
            </c:ext>
          </c:extLst>
        </c:ser>
        <c:dLbls>
          <c:showLegendKey val="0"/>
          <c:showVal val="0"/>
          <c:showCatName val="0"/>
          <c:showSerName val="0"/>
          <c:showPercent val="0"/>
          <c:showBubbleSize val="0"/>
        </c:dLbls>
        <c:gapWidth val="20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2.6376277433405929E-2"/>
              <c:y val="0.271786824519275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15. ResearchYear'!$Q$2:$Q$64</c:f>
              <c:numCache>
                <c:formatCode>General</c:formatCode>
                <c:ptCount val="63"/>
                <c:pt idx="0">
                  <c:v>1</c:v>
                </c:pt>
                <c:pt idx="1">
                  <c:v>2</c:v>
                </c:pt>
                <c:pt idx="2">
                  <c:v>3</c:v>
                </c:pt>
                <c:pt idx="3">
                  <c:v>1</c:v>
                </c:pt>
                <c:pt idx="4">
                  <c:v>2</c:v>
                </c:pt>
                <c:pt idx="5">
                  <c:v>3</c:v>
                </c:pt>
                <c:pt idx="6">
                  <c:v>1</c:v>
                </c:pt>
                <c:pt idx="7">
                  <c:v>2</c:v>
                </c:pt>
                <c:pt idx="8">
                  <c:v>3</c:v>
                </c:pt>
                <c:pt idx="9">
                  <c:v>1</c:v>
                </c:pt>
                <c:pt idx="10">
                  <c:v>2</c:v>
                </c:pt>
                <c:pt idx="11">
                  <c:v>3</c:v>
                </c:pt>
                <c:pt idx="12">
                  <c:v>1</c:v>
                </c:pt>
                <c:pt idx="13">
                  <c:v>2</c:v>
                </c:pt>
                <c:pt idx="14">
                  <c:v>3</c:v>
                </c:pt>
                <c:pt idx="15">
                  <c:v>1</c:v>
                </c:pt>
                <c:pt idx="16">
                  <c:v>2</c:v>
                </c:pt>
                <c:pt idx="17">
                  <c:v>3</c:v>
                </c:pt>
                <c:pt idx="18">
                  <c:v>1</c:v>
                </c:pt>
                <c:pt idx="19">
                  <c:v>2</c:v>
                </c:pt>
                <c:pt idx="20">
                  <c:v>3</c:v>
                </c:pt>
                <c:pt idx="21">
                  <c:v>1</c:v>
                </c:pt>
                <c:pt idx="22">
                  <c:v>2</c:v>
                </c:pt>
                <c:pt idx="23">
                  <c:v>3</c:v>
                </c:pt>
                <c:pt idx="24">
                  <c:v>1</c:v>
                </c:pt>
                <c:pt idx="25">
                  <c:v>2</c:v>
                </c:pt>
                <c:pt idx="26">
                  <c:v>3</c:v>
                </c:pt>
                <c:pt idx="27">
                  <c:v>1</c:v>
                </c:pt>
                <c:pt idx="28">
                  <c:v>2</c:v>
                </c:pt>
                <c:pt idx="29">
                  <c:v>3</c:v>
                </c:pt>
                <c:pt idx="30">
                  <c:v>1</c:v>
                </c:pt>
                <c:pt idx="31">
                  <c:v>2</c:v>
                </c:pt>
                <c:pt idx="32">
                  <c:v>3</c:v>
                </c:pt>
                <c:pt idx="33">
                  <c:v>1</c:v>
                </c:pt>
                <c:pt idx="34">
                  <c:v>2</c:v>
                </c:pt>
                <c:pt idx="35">
                  <c:v>3</c:v>
                </c:pt>
                <c:pt idx="36">
                  <c:v>1</c:v>
                </c:pt>
                <c:pt idx="37">
                  <c:v>2</c:v>
                </c:pt>
                <c:pt idx="38">
                  <c:v>3</c:v>
                </c:pt>
                <c:pt idx="39">
                  <c:v>1</c:v>
                </c:pt>
                <c:pt idx="40">
                  <c:v>2</c:v>
                </c:pt>
                <c:pt idx="41">
                  <c:v>3</c:v>
                </c:pt>
                <c:pt idx="42">
                  <c:v>1</c:v>
                </c:pt>
                <c:pt idx="43">
                  <c:v>2</c:v>
                </c:pt>
                <c:pt idx="44">
                  <c:v>3</c:v>
                </c:pt>
                <c:pt idx="45">
                  <c:v>1</c:v>
                </c:pt>
                <c:pt idx="46">
                  <c:v>2</c:v>
                </c:pt>
                <c:pt idx="47">
                  <c:v>3</c:v>
                </c:pt>
                <c:pt idx="48">
                  <c:v>1</c:v>
                </c:pt>
                <c:pt idx="49">
                  <c:v>2</c:v>
                </c:pt>
                <c:pt idx="50">
                  <c:v>3</c:v>
                </c:pt>
                <c:pt idx="51">
                  <c:v>1</c:v>
                </c:pt>
                <c:pt idx="52">
                  <c:v>2</c:v>
                </c:pt>
                <c:pt idx="53">
                  <c:v>3</c:v>
                </c:pt>
                <c:pt idx="54">
                  <c:v>1</c:v>
                </c:pt>
                <c:pt idx="55">
                  <c:v>2</c:v>
                </c:pt>
                <c:pt idx="56">
                  <c:v>3</c:v>
                </c:pt>
                <c:pt idx="57">
                  <c:v>1</c:v>
                </c:pt>
                <c:pt idx="58">
                  <c:v>2</c:v>
                </c:pt>
                <c:pt idx="59">
                  <c:v>3</c:v>
                </c:pt>
                <c:pt idx="60">
                  <c:v>1</c:v>
                </c:pt>
                <c:pt idx="61">
                  <c:v>2</c:v>
                </c:pt>
                <c:pt idx="62">
                  <c:v>3</c:v>
                </c:pt>
              </c:numCache>
            </c:numRef>
          </c:xVal>
          <c:yVal>
            <c:numRef>
              <c:f>'Fig 15. ResearchYear'!$R$2:$R$64</c:f>
              <c:numCache>
                <c:formatCode>General</c:formatCode>
                <c:ptCount val="63"/>
                <c:pt idx="0">
                  <c:v>2001</c:v>
                </c:pt>
                <c:pt idx="1">
                  <c:v>2001</c:v>
                </c:pt>
                <c:pt idx="2">
                  <c:v>2001</c:v>
                </c:pt>
                <c:pt idx="3">
                  <c:v>2002</c:v>
                </c:pt>
                <c:pt idx="4">
                  <c:v>2002</c:v>
                </c:pt>
                <c:pt idx="5">
                  <c:v>2002</c:v>
                </c:pt>
                <c:pt idx="6">
                  <c:v>2003</c:v>
                </c:pt>
                <c:pt idx="7">
                  <c:v>2003</c:v>
                </c:pt>
                <c:pt idx="8">
                  <c:v>2003</c:v>
                </c:pt>
                <c:pt idx="9">
                  <c:v>2004</c:v>
                </c:pt>
                <c:pt idx="10">
                  <c:v>2004</c:v>
                </c:pt>
                <c:pt idx="11">
                  <c:v>2004</c:v>
                </c:pt>
                <c:pt idx="12">
                  <c:v>2005</c:v>
                </c:pt>
                <c:pt idx="13">
                  <c:v>2005</c:v>
                </c:pt>
                <c:pt idx="14">
                  <c:v>2005</c:v>
                </c:pt>
                <c:pt idx="15">
                  <c:v>2006</c:v>
                </c:pt>
                <c:pt idx="16">
                  <c:v>2006</c:v>
                </c:pt>
                <c:pt idx="17">
                  <c:v>2006</c:v>
                </c:pt>
                <c:pt idx="18">
                  <c:v>2007</c:v>
                </c:pt>
                <c:pt idx="19">
                  <c:v>2007</c:v>
                </c:pt>
                <c:pt idx="20">
                  <c:v>2007</c:v>
                </c:pt>
                <c:pt idx="21">
                  <c:v>2008</c:v>
                </c:pt>
                <c:pt idx="22">
                  <c:v>2008</c:v>
                </c:pt>
                <c:pt idx="23">
                  <c:v>2008</c:v>
                </c:pt>
                <c:pt idx="24">
                  <c:v>2009</c:v>
                </c:pt>
                <c:pt idx="25">
                  <c:v>2009</c:v>
                </c:pt>
                <c:pt idx="26">
                  <c:v>2009</c:v>
                </c:pt>
                <c:pt idx="27">
                  <c:v>2010</c:v>
                </c:pt>
                <c:pt idx="28">
                  <c:v>2010</c:v>
                </c:pt>
                <c:pt idx="29">
                  <c:v>2010</c:v>
                </c:pt>
                <c:pt idx="30">
                  <c:v>2011</c:v>
                </c:pt>
                <c:pt idx="31">
                  <c:v>2011</c:v>
                </c:pt>
                <c:pt idx="32">
                  <c:v>2011</c:v>
                </c:pt>
                <c:pt idx="33">
                  <c:v>2012</c:v>
                </c:pt>
                <c:pt idx="34">
                  <c:v>2012</c:v>
                </c:pt>
                <c:pt idx="35">
                  <c:v>2012</c:v>
                </c:pt>
                <c:pt idx="36">
                  <c:v>2013</c:v>
                </c:pt>
                <c:pt idx="37">
                  <c:v>2013</c:v>
                </c:pt>
                <c:pt idx="38">
                  <c:v>2013</c:v>
                </c:pt>
                <c:pt idx="39">
                  <c:v>2014</c:v>
                </c:pt>
                <c:pt idx="40">
                  <c:v>2014</c:v>
                </c:pt>
                <c:pt idx="41">
                  <c:v>2014</c:v>
                </c:pt>
                <c:pt idx="42">
                  <c:v>2015</c:v>
                </c:pt>
                <c:pt idx="43">
                  <c:v>2015</c:v>
                </c:pt>
                <c:pt idx="44">
                  <c:v>2015</c:v>
                </c:pt>
                <c:pt idx="45">
                  <c:v>2016</c:v>
                </c:pt>
                <c:pt idx="46">
                  <c:v>2016</c:v>
                </c:pt>
                <c:pt idx="47">
                  <c:v>2016</c:v>
                </c:pt>
                <c:pt idx="48">
                  <c:v>2017</c:v>
                </c:pt>
                <c:pt idx="49">
                  <c:v>2017</c:v>
                </c:pt>
                <c:pt idx="50">
                  <c:v>2017</c:v>
                </c:pt>
                <c:pt idx="51">
                  <c:v>2018</c:v>
                </c:pt>
                <c:pt idx="52">
                  <c:v>2018</c:v>
                </c:pt>
                <c:pt idx="53">
                  <c:v>2018</c:v>
                </c:pt>
                <c:pt idx="54">
                  <c:v>2019</c:v>
                </c:pt>
                <c:pt idx="55">
                  <c:v>2019</c:v>
                </c:pt>
                <c:pt idx="56">
                  <c:v>2019</c:v>
                </c:pt>
                <c:pt idx="57">
                  <c:v>2020</c:v>
                </c:pt>
                <c:pt idx="58">
                  <c:v>2020</c:v>
                </c:pt>
                <c:pt idx="59">
                  <c:v>2020</c:v>
                </c:pt>
                <c:pt idx="60">
                  <c:v>2021</c:v>
                </c:pt>
                <c:pt idx="61">
                  <c:v>2021</c:v>
                </c:pt>
                <c:pt idx="62">
                  <c:v>2021</c:v>
                </c:pt>
              </c:numCache>
            </c:numRef>
          </c:yVal>
          <c:bubbleSize>
            <c:numRef>
              <c:f>'Fig 15. ResearchYear'!$S$2:$S$64</c:f>
              <c:numCache>
                <c:formatCode>General</c:formatCode>
                <c:ptCount val="63"/>
                <c:pt idx="0">
                  <c:v>0</c:v>
                </c:pt>
                <c:pt idx="1">
                  <c:v>1</c:v>
                </c:pt>
                <c:pt idx="2">
                  <c:v>0</c:v>
                </c:pt>
                <c:pt idx="3">
                  <c:v>0</c:v>
                </c:pt>
                <c:pt idx="4">
                  <c:v>0</c:v>
                </c:pt>
                <c:pt idx="5">
                  <c:v>0</c:v>
                </c:pt>
                <c:pt idx="6">
                  <c:v>2</c:v>
                </c:pt>
                <c:pt idx="7">
                  <c:v>0</c:v>
                </c:pt>
                <c:pt idx="8">
                  <c:v>0</c:v>
                </c:pt>
                <c:pt idx="9">
                  <c:v>0</c:v>
                </c:pt>
                <c:pt idx="10">
                  <c:v>0</c:v>
                </c:pt>
                <c:pt idx="11">
                  <c:v>0</c:v>
                </c:pt>
                <c:pt idx="12">
                  <c:v>1</c:v>
                </c:pt>
                <c:pt idx="13">
                  <c:v>2</c:v>
                </c:pt>
                <c:pt idx="14">
                  <c:v>0</c:v>
                </c:pt>
                <c:pt idx="15">
                  <c:v>0</c:v>
                </c:pt>
                <c:pt idx="16">
                  <c:v>3</c:v>
                </c:pt>
                <c:pt idx="17">
                  <c:v>0</c:v>
                </c:pt>
                <c:pt idx="18">
                  <c:v>1</c:v>
                </c:pt>
                <c:pt idx="19">
                  <c:v>3</c:v>
                </c:pt>
                <c:pt idx="20">
                  <c:v>0</c:v>
                </c:pt>
                <c:pt idx="21">
                  <c:v>0</c:v>
                </c:pt>
                <c:pt idx="22">
                  <c:v>2</c:v>
                </c:pt>
                <c:pt idx="23">
                  <c:v>0</c:v>
                </c:pt>
                <c:pt idx="24">
                  <c:v>1</c:v>
                </c:pt>
                <c:pt idx="25">
                  <c:v>5</c:v>
                </c:pt>
                <c:pt idx="26">
                  <c:v>1</c:v>
                </c:pt>
                <c:pt idx="27">
                  <c:v>4</c:v>
                </c:pt>
                <c:pt idx="28">
                  <c:v>5</c:v>
                </c:pt>
                <c:pt idx="29">
                  <c:v>1</c:v>
                </c:pt>
                <c:pt idx="30">
                  <c:v>4</c:v>
                </c:pt>
                <c:pt idx="31">
                  <c:v>2</c:v>
                </c:pt>
                <c:pt idx="32">
                  <c:v>0</c:v>
                </c:pt>
                <c:pt idx="33">
                  <c:v>1</c:v>
                </c:pt>
                <c:pt idx="34">
                  <c:v>4</c:v>
                </c:pt>
                <c:pt idx="35">
                  <c:v>0</c:v>
                </c:pt>
                <c:pt idx="36">
                  <c:v>2</c:v>
                </c:pt>
                <c:pt idx="37">
                  <c:v>5</c:v>
                </c:pt>
                <c:pt idx="38">
                  <c:v>1</c:v>
                </c:pt>
                <c:pt idx="39">
                  <c:v>1</c:v>
                </c:pt>
                <c:pt idx="40">
                  <c:v>4</c:v>
                </c:pt>
                <c:pt idx="41">
                  <c:v>2</c:v>
                </c:pt>
                <c:pt idx="42">
                  <c:v>0</c:v>
                </c:pt>
                <c:pt idx="43">
                  <c:v>4</c:v>
                </c:pt>
                <c:pt idx="44">
                  <c:v>3</c:v>
                </c:pt>
                <c:pt idx="45">
                  <c:v>1</c:v>
                </c:pt>
                <c:pt idx="46">
                  <c:v>4</c:v>
                </c:pt>
                <c:pt idx="47">
                  <c:v>1</c:v>
                </c:pt>
                <c:pt idx="48">
                  <c:v>1</c:v>
                </c:pt>
                <c:pt idx="49">
                  <c:v>5</c:v>
                </c:pt>
                <c:pt idx="50">
                  <c:v>1</c:v>
                </c:pt>
                <c:pt idx="51">
                  <c:v>2</c:v>
                </c:pt>
                <c:pt idx="52">
                  <c:v>3</c:v>
                </c:pt>
                <c:pt idx="53">
                  <c:v>1</c:v>
                </c:pt>
                <c:pt idx="54">
                  <c:v>1</c:v>
                </c:pt>
                <c:pt idx="55">
                  <c:v>7</c:v>
                </c:pt>
                <c:pt idx="56">
                  <c:v>0</c:v>
                </c:pt>
                <c:pt idx="57">
                  <c:v>2</c:v>
                </c:pt>
                <c:pt idx="58">
                  <c:v>5</c:v>
                </c:pt>
                <c:pt idx="59">
                  <c:v>1</c:v>
                </c:pt>
                <c:pt idx="60">
                  <c:v>2</c:v>
                </c:pt>
                <c:pt idx="61">
                  <c:v>3</c:v>
                </c:pt>
                <c:pt idx="62">
                  <c:v>0</c:v>
                </c:pt>
              </c:numCache>
            </c:numRef>
          </c:bubbleSize>
          <c:bubble3D val="0"/>
          <c:extLst>
            <c:ext xmlns:c16="http://schemas.microsoft.com/office/drawing/2014/chart" uri="{C3380CC4-5D6E-409C-BE32-E72D297353CC}">
              <c16:uniqueId val="{00000000-C436-4DF2-B57D-B712C80CEE6B}"/>
            </c:ext>
          </c:extLst>
        </c:ser>
        <c:dLbls>
          <c:dLblPos val="ctr"/>
          <c:showLegendKey val="0"/>
          <c:showVal val="1"/>
          <c:showCatName val="0"/>
          <c:showSerName val="0"/>
          <c:showPercent val="0"/>
          <c:showBubbleSize val="0"/>
        </c:dLbls>
        <c:bubbleScale val="40"/>
        <c:showNegBubbles val="0"/>
        <c:axId val="40017008"/>
        <c:axId val="40011184"/>
      </c:bubbleChart>
      <c:valAx>
        <c:axId val="4001700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1184"/>
        <c:crosses val="autoZero"/>
        <c:crossBetween val="midCat"/>
        <c:majorUnit val="1"/>
      </c:valAx>
      <c:valAx>
        <c:axId val="40011184"/>
        <c:scaling>
          <c:orientation val="minMax"/>
          <c:max val="2022"/>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Year of Publiation</a:t>
                </a:r>
              </a:p>
            </c:rich>
          </c:tx>
          <c:layout>
            <c:manualLayout>
              <c:xMode val="edge"/>
              <c:yMode val="edge"/>
              <c:x val="2.3346210937116006E-2"/>
              <c:y val="0.406521779259204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01700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16. Tool Articles'!$A$2:$A$6</c:f>
              <c:strCache>
                <c:ptCount val="5"/>
                <c:pt idx="0">
                  <c:v>Maturity Level of Tool</c:v>
                </c:pt>
                <c:pt idx="1">
                  <c:v>Not implemented</c:v>
                </c:pt>
                <c:pt idx="2">
                  <c:v>Partially implemented</c:v>
                </c:pt>
                <c:pt idx="3">
                  <c:v>Fully implemented</c:v>
                </c:pt>
                <c:pt idx="4">
                  <c:v>Empirical evaluation</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16. Tool Articles'!$A$2:$A$6</c15:sqref>
                  </c15:fullRef>
                </c:ext>
              </c:extLst>
              <c:f>'Fig 16. Tool Articles'!$A$3:$A$6</c:f>
              <c:strCache>
                <c:ptCount val="4"/>
                <c:pt idx="0">
                  <c:v>Not implemented</c:v>
                </c:pt>
                <c:pt idx="1">
                  <c:v>Partially implemented</c:v>
                </c:pt>
                <c:pt idx="2">
                  <c:v>Fully implemented</c:v>
                </c:pt>
                <c:pt idx="3">
                  <c:v>Empirical evaluation</c:v>
                </c:pt>
              </c:strCache>
            </c:strRef>
          </c:cat>
          <c:val>
            <c:numRef>
              <c:extLst>
                <c:ext xmlns:c15="http://schemas.microsoft.com/office/drawing/2012/chart" uri="{02D57815-91ED-43cb-92C2-25804820EDAC}">
                  <c15:fullRef>
                    <c15:sqref>'Fig 16. Tool Articles'!$B$2:$B$6</c15:sqref>
                  </c15:fullRef>
                </c:ext>
              </c:extLst>
              <c:f>'Fig 16. Tool Articles'!$B$3:$B$6</c:f>
              <c:numCache>
                <c:formatCode>General</c:formatCode>
                <c:ptCount val="4"/>
                <c:pt idx="0">
                  <c:v>20</c:v>
                </c:pt>
                <c:pt idx="1">
                  <c:v>73</c:v>
                </c:pt>
                <c:pt idx="2">
                  <c:v>9</c:v>
                </c:pt>
                <c:pt idx="3">
                  <c:v>3</c:v>
                </c:pt>
              </c:numCache>
            </c:numRef>
          </c:val>
          <c:extLst>
            <c:ext xmlns:c16="http://schemas.microsoft.com/office/drawing/2014/chart" uri="{C3380CC4-5D6E-409C-BE32-E72D297353CC}">
              <c16:uniqueId val="{00000000-44F4-4210-93D3-8F7CFD55F590}"/>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05"/>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17. ConflictTypesbyApproach'!$A$3:$A$5</c:f>
              <c:strCache>
                <c:ptCount val="3"/>
                <c:pt idx="0">
                  <c:v>Syntactic</c:v>
                </c:pt>
                <c:pt idx="1">
                  <c:v>Semantic</c:v>
                </c:pt>
                <c:pt idx="2">
                  <c:v>Both</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17. ConflictTypesbyApproach'!$A$3:$A$5</c:f>
              <c:strCache>
                <c:ptCount val="3"/>
                <c:pt idx="0">
                  <c:v>Syntactic</c:v>
                </c:pt>
                <c:pt idx="1">
                  <c:v>Semantic</c:v>
                </c:pt>
                <c:pt idx="2">
                  <c:v>Both</c:v>
                </c:pt>
              </c:strCache>
            </c:strRef>
          </c:cat>
          <c:val>
            <c:numRef>
              <c:f>'Fig 17. ConflictTypesbyApproach'!$B$3:$B$5</c:f>
              <c:numCache>
                <c:formatCode>General</c:formatCode>
                <c:ptCount val="3"/>
                <c:pt idx="0">
                  <c:v>38</c:v>
                </c:pt>
                <c:pt idx="1">
                  <c:v>5</c:v>
                </c:pt>
                <c:pt idx="2">
                  <c:v>26</c:v>
                </c:pt>
              </c:numCache>
            </c:numRef>
          </c:val>
          <c:extLst>
            <c:ext xmlns:c16="http://schemas.microsoft.com/office/drawing/2014/chart" uri="{C3380CC4-5D6E-409C-BE32-E72D297353CC}">
              <c16:uniqueId val="{00000000-61EB-42B4-978D-30106C3674FB}"/>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18. SemanticConflictbyAppro'!$A$3:$A$5</c:f>
              <c:strCache>
                <c:ptCount val="3"/>
                <c:pt idx="0">
                  <c:v>Static Semantics</c:v>
                </c:pt>
                <c:pt idx="1">
                  <c:v>Behavioral Semantics</c:v>
                </c:pt>
                <c:pt idx="2">
                  <c:v>Semantic Equivalence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18. SemanticConflictbyAppro'!$A$3:$A$5</c:f>
              <c:strCache>
                <c:ptCount val="3"/>
                <c:pt idx="0">
                  <c:v>Static Semantics</c:v>
                </c:pt>
                <c:pt idx="1">
                  <c:v>Behavioral Semantics</c:v>
                </c:pt>
                <c:pt idx="2">
                  <c:v>Semantic Equivalence</c:v>
                </c:pt>
              </c:strCache>
            </c:strRef>
          </c:cat>
          <c:val>
            <c:numRef>
              <c:f>'Fig 18. SemanticConflictbyAppro'!$B$3:$B$5</c:f>
              <c:numCache>
                <c:formatCode>General</c:formatCode>
                <c:ptCount val="3"/>
                <c:pt idx="0">
                  <c:v>25</c:v>
                </c:pt>
                <c:pt idx="1">
                  <c:v>4</c:v>
                </c:pt>
                <c:pt idx="2">
                  <c:v>10</c:v>
                </c:pt>
              </c:numCache>
            </c:numRef>
          </c:val>
          <c:extLst>
            <c:ext xmlns:c16="http://schemas.microsoft.com/office/drawing/2014/chart" uri="{C3380CC4-5D6E-409C-BE32-E72D297353CC}">
              <c16:uniqueId val="{00000000-89E0-4218-A02E-6965E9F0521C}"/>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19. MV Characteristics'!$A$3:$A$36</c:f>
              <c:strCache>
                <c:ptCount val="34"/>
                <c:pt idx="0">
                  <c:v>Any</c:v>
                </c:pt>
                <c:pt idx="1">
                  <c:v>UML models</c:v>
                </c:pt>
                <c:pt idx="2">
                  <c:v>EMF-based</c:v>
                </c:pt>
                <c:pt idx="3">
                  <c:v>Workflow models</c:v>
                </c:pt>
                <c:pt idx="4">
                  <c:v>Other</c:v>
                </c:pt>
                <c:pt idx="6">
                  <c:v>Architecture of Repository</c:v>
                </c:pt>
                <c:pt idx="7">
                  <c:v>Centralized</c:v>
                </c:pt>
                <c:pt idx="8">
                  <c:v>Distributed</c:v>
                </c:pt>
                <c:pt idx="10">
                  <c:v>Versioning Approach</c:v>
                </c:pt>
                <c:pt idx="11">
                  <c:v>Optimistic</c:v>
                </c:pt>
                <c:pt idx="12">
                  <c:v>Pessimistic</c:v>
                </c:pt>
                <c:pt idx="13">
                  <c:v>Both</c:v>
                </c:pt>
                <c:pt idx="15">
                  <c:v>Colaboration Type</c:v>
                </c:pt>
                <c:pt idx="16">
                  <c:v>Online</c:v>
                </c:pt>
                <c:pt idx="17">
                  <c:v>Offline</c:v>
                </c:pt>
                <c:pt idx="18">
                  <c:v>Both</c:v>
                </c:pt>
                <c:pt idx="20">
                  <c:v>Comparison Technique</c:v>
                </c:pt>
                <c:pt idx="21">
                  <c:v>State-based</c:v>
                </c:pt>
                <c:pt idx="22">
                  <c:v>Operation-based</c:v>
                </c:pt>
                <c:pt idx="23">
                  <c:v>Both</c:v>
                </c:pt>
                <c:pt idx="24">
                  <c:v>Hybrid</c:v>
                </c:pt>
                <c:pt idx="26">
                  <c:v>Merging Technique</c:v>
                </c:pt>
                <c:pt idx="27">
                  <c:v>Raw merging</c:v>
                </c:pt>
                <c:pt idx="28">
                  <c:v>Two-way merging</c:v>
                </c:pt>
                <c:pt idx="29">
                  <c:v>Three-way merging</c:v>
                </c:pt>
                <c:pt idx="31">
                  <c:v>Feature Ordering</c:v>
                </c:pt>
                <c:pt idx="32">
                  <c:v>Supported</c:v>
                </c:pt>
                <c:pt idx="33">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19. MV Characteristics'!$A$3:$A$36</c15:sqref>
                  </c15:fullRef>
                </c:ext>
              </c:extLst>
              <c:f>('Fig 19. MV Characteristics'!$A$3:$A$8,'Fig 19. MV Characteristics'!$A$10:$A$12,'Fig 19. MV Characteristics'!$A$14:$A$17,'Fig 19. MV Characteristics'!$A$19:$A$22,'Fig 19. MV Characteristics'!$A$24:$A$28,'Fig 19. MV Characteristics'!$A$30:$A$33,'Fig 19. MV Characteristics'!$A$35:$A$36)</c:f>
              <c:strCache>
                <c:ptCount val="28"/>
                <c:pt idx="0">
                  <c:v>Any</c:v>
                </c:pt>
                <c:pt idx="1">
                  <c:v>UML models</c:v>
                </c:pt>
                <c:pt idx="2">
                  <c:v>EMF-based</c:v>
                </c:pt>
                <c:pt idx="3">
                  <c:v>Workflow models</c:v>
                </c:pt>
                <c:pt idx="4">
                  <c:v>Other</c:v>
                </c:pt>
                <c:pt idx="6">
                  <c:v>Centralized</c:v>
                </c:pt>
                <c:pt idx="7">
                  <c:v>Distributed</c:v>
                </c:pt>
                <c:pt idx="9">
                  <c:v>Optimistic</c:v>
                </c:pt>
                <c:pt idx="10">
                  <c:v>Pessimistic</c:v>
                </c:pt>
                <c:pt idx="11">
                  <c:v>Both</c:v>
                </c:pt>
                <c:pt idx="13">
                  <c:v>Online</c:v>
                </c:pt>
                <c:pt idx="14">
                  <c:v>Offline</c:v>
                </c:pt>
                <c:pt idx="15">
                  <c:v>Both</c:v>
                </c:pt>
                <c:pt idx="17">
                  <c:v>State-based</c:v>
                </c:pt>
                <c:pt idx="18">
                  <c:v>Operation-based</c:v>
                </c:pt>
                <c:pt idx="19">
                  <c:v>Both</c:v>
                </c:pt>
                <c:pt idx="20">
                  <c:v>Hybrid</c:v>
                </c:pt>
                <c:pt idx="22">
                  <c:v>Raw merging</c:v>
                </c:pt>
                <c:pt idx="23">
                  <c:v>Two-way merging</c:v>
                </c:pt>
                <c:pt idx="24">
                  <c:v>Three-way merging</c:v>
                </c:pt>
                <c:pt idx="26">
                  <c:v>Supported</c:v>
                </c:pt>
                <c:pt idx="27">
                  <c:v>Not supported</c:v>
                </c:pt>
              </c:strCache>
            </c:strRef>
          </c:cat>
          <c:val>
            <c:numRef>
              <c:extLst>
                <c:ext xmlns:c15="http://schemas.microsoft.com/office/drawing/2012/chart" uri="{02D57815-91ED-43cb-92C2-25804820EDAC}">
                  <c15:fullRef>
                    <c15:sqref>'Fig 19. MV Characteristics'!$B$3:$B$36</c15:sqref>
                  </c15:fullRef>
                </c:ext>
              </c:extLst>
              <c:f>('Fig 19. MV Characteristics'!$B$3:$B$8,'Fig 19. MV Characteristics'!$B$10:$B$12,'Fig 19. MV Characteristics'!$B$14:$B$17,'Fig 19. MV Characteristics'!$B$19:$B$22,'Fig 19. MV Characteristics'!$B$24:$B$28,'Fig 19. MV Characteristics'!$B$30:$B$33,'Fig 19. MV Characteristics'!$B$35:$B$36)</c:f>
              <c:numCache>
                <c:formatCode>General</c:formatCode>
                <c:ptCount val="28"/>
                <c:pt idx="0">
                  <c:v>15</c:v>
                </c:pt>
                <c:pt idx="1">
                  <c:v>28</c:v>
                </c:pt>
                <c:pt idx="2">
                  <c:v>20</c:v>
                </c:pt>
                <c:pt idx="3">
                  <c:v>5</c:v>
                </c:pt>
                <c:pt idx="4">
                  <c:v>13</c:v>
                </c:pt>
                <c:pt idx="6">
                  <c:v>60</c:v>
                </c:pt>
                <c:pt idx="7">
                  <c:v>9</c:v>
                </c:pt>
                <c:pt idx="9">
                  <c:v>64</c:v>
                </c:pt>
                <c:pt idx="10">
                  <c:v>4</c:v>
                </c:pt>
                <c:pt idx="11">
                  <c:v>1</c:v>
                </c:pt>
                <c:pt idx="13">
                  <c:v>10</c:v>
                </c:pt>
                <c:pt idx="14">
                  <c:v>54</c:v>
                </c:pt>
                <c:pt idx="15">
                  <c:v>5</c:v>
                </c:pt>
                <c:pt idx="17">
                  <c:v>30</c:v>
                </c:pt>
                <c:pt idx="18">
                  <c:v>33</c:v>
                </c:pt>
                <c:pt idx="19">
                  <c:v>2</c:v>
                </c:pt>
                <c:pt idx="20">
                  <c:v>4</c:v>
                </c:pt>
                <c:pt idx="22">
                  <c:v>7</c:v>
                </c:pt>
                <c:pt idx="23">
                  <c:v>29</c:v>
                </c:pt>
                <c:pt idx="24">
                  <c:v>33</c:v>
                </c:pt>
                <c:pt idx="26">
                  <c:v>14</c:v>
                </c:pt>
                <c:pt idx="27">
                  <c:v>55</c:v>
                </c:pt>
              </c:numCache>
            </c:numRef>
          </c:val>
          <c:extLst>
            <c:ext xmlns:c16="http://schemas.microsoft.com/office/drawing/2014/chart" uri="{C3380CC4-5D6E-409C-BE32-E72D297353CC}">
              <c16:uniqueId val="{00000000-5431-4591-B7F1-EB638851C908}"/>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20. MVCharCM'!$Q$2:$Q$121</c:f>
              <c:numCache>
                <c:formatCode>General</c:formatCode>
                <c:ptCount val="12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pt idx="25">
                  <c:v>6</c:v>
                </c:pt>
                <c:pt idx="26">
                  <c:v>6</c:v>
                </c:pt>
                <c:pt idx="27">
                  <c:v>6</c:v>
                </c:pt>
                <c:pt idx="28">
                  <c:v>6</c:v>
                </c:pt>
                <c:pt idx="29">
                  <c:v>6</c:v>
                </c:pt>
                <c:pt idx="30">
                  <c:v>7</c:v>
                </c:pt>
                <c:pt idx="31">
                  <c:v>7</c:v>
                </c:pt>
                <c:pt idx="32">
                  <c:v>7</c:v>
                </c:pt>
                <c:pt idx="33">
                  <c:v>7</c:v>
                </c:pt>
                <c:pt idx="34">
                  <c:v>7</c:v>
                </c:pt>
                <c:pt idx="35">
                  <c:v>8</c:v>
                </c:pt>
                <c:pt idx="36">
                  <c:v>8</c:v>
                </c:pt>
                <c:pt idx="37">
                  <c:v>8</c:v>
                </c:pt>
                <c:pt idx="38">
                  <c:v>8</c:v>
                </c:pt>
                <c:pt idx="39">
                  <c:v>8</c:v>
                </c:pt>
                <c:pt idx="40">
                  <c:v>9</c:v>
                </c:pt>
                <c:pt idx="41">
                  <c:v>9</c:v>
                </c:pt>
                <c:pt idx="42">
                  <c:v>9</c:v>
                </c:pt>
                <c:pt idx="43">
                  <c:v>9</c:v>
                </c:pt>
                <c:pt idx="44">
                  <c:v>9</c:v>
                </c:pt>
                <c:pt idx="45">
                  <c:v>10</c:v>
                </c:pt>
                <c:pt idx="46">
                  <c:v>10</c:v>
                </c:pt>
                <c:pt idx="47">
                  <c:v>10</c:v>
                </c:pt>
                <c:pt idx="48">
                  <c:v>10</c:v>
                </c:pt>
                <c:pt idx="49">
                  <c:v>10</c:v>
                </c:pt>
                <c:pt idx="50">
                  <c:v>11</c:v>
                </c:pt>
                <c:pt idx="51">
                  <c:v>11</c:v>
                </c:pt>
                <c:pt idx="52">
                  <c:v>11</c:v>
                </c:pt>
                <c:pt idx="53">
                  <c:v>11</c:v>
                </c:pt>
                <c:pt idx="54">
                  <c:v>11</c:v>
                </c:pt>
                <c:pt idx="55">
                  <c:v>12</c:v>
                </c:pt>
                <c:pt idx="56">
                  <c:v>12</c:v>
                </c:pt>
                <c:pt idx="57">
                  <c:v>12</c:v>
                </c:pt>
                <c:pt idx="58">
                  <c:v>12</c:v>
                </c:pt>
                <c:pt idx="59">
                  <c:v>12</c:v>
                </c:pt>
                <c:pt idx="60">
                  <c:v>13</c:v>
                </c:pt>
                <c:pt idx="61">
                  <c:v>13</c:v>
                </c:pt>
                <c:pt idx="62">
                  <c:v>13</c:v>
                </c:pt>
                <c:pt idx="63">
                  <c:v>13</c:v>
                </c:pt>
                <c:pt idx="64">
                  <c:v>13</c:v>
                </c:pt>
                <c:pt idx="65">
                  <c:v>14</c:v>
                </c:pt>
                <c:pt idx="66">
                  <c:v>14</c:v>
                </c:pt>
                <c:pt idx="67">
                  <c:v>14</c:v>
                </c:pt>
                <c:pt idx="68">
                  <c:v>14</c:v>
                </c:pt>
                <c:pt idx="69">
                  <c:v>14</c:v>
                </c:pt>
                <c:pt idx="70">
                  <c:v>15</c:v>
                </c:pt>
                <c:pt idx="71">
                  <c:v>15</c:v>
                </c:pt>
                <c:pt idx="72">
                  <c:v>15</c:v>
                </c:pt>
                <c:pt idx="73">
                  <c:v>15</c:v>
                </c:pt>
                <c:pt idx="74">
                  <c:v>15</c:v>
                </c:pt>
                <c:pt idx="75">
                  <c:v>16</c:v>
                </c:pt>
                <c:pt idx="76">
                  <c:v>16</c:v>
                </c:pt>
                <c:pt idx="77">
                  <c:v>16</c:v>
                </c:pt>
                <c:pt idx="78">
                  <c:v>16</c:v>
                </c:pt>
                <c:pt idx="79">
                  <c:v>16</c:v>
                </c:pt>
                <c:pt idx="80">
                  <c:v>17</c:v>
                </c:pt>
                <c:pt idx="81">
                  <c:v>17</c:v>
                </c:pt>
                <c:pt idx="82">
                  <c:v>17</c:v>
                </c:pt>
                <c:pt idx="83">
                  <c:v>17</c:v>
                </c:pt>
                <c:pt idx="84">
                  <c:v>17</c:v>
                </c:pt>
                <c:pt idx="85">
                  <c:v>18</c:v>
                </c:pt>
                <c:pt idx="86">
                  <c:v>18</c:v>
                </c:pt>
                <c:pt idx="87">
                  <c:v>18</c:v>
                </c:pt>
                <c:pt idx="88">
                  <c:v>18</c:v>
                </c:pt>
                <c:pt idx="89">
                  <c:v>18</c:v>
                </c:pt>
                <c:pt idx="90">
                  <c:v>19</c:v>
                </c:pt>
                <c:pt idx="91">
                  <c:v>19</c:v>
                </c:pt>
                <c:pt idx="92">
                  <c:v>19</c:v>
                </c:pt>
                <c:pt idx="93">
                  <c:v>19</c:v>
                </c:pt>
                <c:pt idx="94">
                  <c:v>19</c:v>
                </c:pt>
                <c:pt idx="95">
                  <c:v>20</c:v>
                </c:pt>
                <c:pt idx="96">
                  <c:v>20</c:v>
                </c:pt>
                <c:pt idx="97">
                  <c:v>20</c:v>
                </c:pt>
                <c:pt idx="98">
                  <c:v>20</c:v>
                </c:pt>
                <c:pt idx="99">
                  <c:v>20</c:v>
                </c:pt>
                <c:pt idx="100">
                  <c:v>21</c:v>
                </c:pt>
                <c:pt idx="101">
                  <c:v>21</c:v>
                </c:pt>
                <c:pt idx="102">
                  <c:v>21</c:v>
                </c:pt>
                <c:pt idx="103">
                  <c:v>21</c:v>
                </c:pt>
                <c:pt idx="104">
                  <c:v>21</c:v>
                </c:pt>
                <c:pt idx="105">
                  <c:v>22</c:v>
                </c:pt>
                <c:pt idx="106">
                  <c:v>22</c:v>
                </c:pt>
                <c:pt idx="107">
                  <c:v>22</c:v>
                </c:pt>
                <c:pt idx="108">
                  <c:v>22</c:v>
                </c:pt>
                <c:pt idx="109">
                  <c:v>22</c:v>
                </c:pt>
                <c:pt idx="110">
                  <c:v>23</c:v>
                </c:pt>
                <c:pt idx="111">
                  <c:v>23</c:v>
                </c:pt>
                <c:pt idx="112">
                  <c:v>23</c:v>
                </c:pt>
                <c:pt idx="113">
                  <c:v>23</c:v>
                </c:pt>
                <c:pt idx="114">
                  <c:v>23</c:v>
                </c:pt>
                <c:pt idx="115">
                  <c:v>24</c:v>
                </c:pt>
                <c:pt idx="116">
                  <c:v>24</c:v>
                </c:pt>
                <c:pt idx="117">
                  <c:v>24</c:v>
                </c:pt>
                <c:pt idx="118">
                  <c:v>24</c:v>
                </c:pt>
                <c:pt idx="119">
                  <c:v>24</c:v>
                </c:pt>
              </c:numCache>
            </c:numRef>
          </c:xVal>
          <c:yVal>
            <c:numRef>
              <c:f>'Fig 20. MVCharCM'!$R$2:$R$121</c:f>
              <c:numCache>
                <c:formatCode>General</c:formatCode>
                <c:ptCount val="12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pt idx="65">
                  <c:v>1</c:v>
                </c:pt>
                <c:pt idx="66">
                  <c:v>2</c:v>
                </c:pt>
                <c:pt idx="67">
                  <c:v>3</c:v>
                </c:pt>
                <c:pt idx="68">
                  <c:v>4</c:v>
                </c:pt>
                <c:pt idx="69">
                  <c:v>5</c:v>
                </c:pt>
                <c:pt idx="70">
                  <c:v>1</c:v>
                </c:pt>
                <c:pt idx="71">
                  <c:v>2</c:v>
                </c:pt>
                <c:pt idx="72">
                  <c:v>3</c:v>
                </c:pt>
                <c:pt idx="73">
                  <c:v>4</c:v>
                </c:pt>
                <c:pt idx="74">
                  <c:v>5</c:v>
                </c:pt>
                <c:pt idx="75">
                  <c:v>1</c:v>
                </c:pt>
                <c:pt idx="76">
                  <c:v>2</c:v>
                </c:pt>
                <c:pt idx="77">
                  <c:v>3</c:v>
                </c:pt>
                <c:pt idx="78">
                  <c:v>4</c:v>
                </c:pt>
                <c:pt idx="79">
                  <c:v>5</c:v>
                </c:pt>
                <c:pt idx="80">
                  <c:v>1</c:v>
                </c:pt>
                <c:pt idx="81">
                  <c:v>2</c:v>
                </c:pt>
                <c:pt idx="82">
                  <c:v>3</c:v>
                </c:pt>
                <c:pt idx="83">
                  <c:v>4</c:v>
                </c:pt>
                <c:pt idx="84">
                  <c:v>5</c:v>
                </c:pt>
                <c:pt idx="85">
                  <c:v>1</c:v>
                </c:pt>
                <c:pt idx="86">
                  <c:v>2</c:v>
                </c:pt>
                <c:pt idx="87">
                  <c:v>3</c:v>
                </c:pt>
                <c:pt idx="88">
                  <c:v>4</c:v>
                </c:pt>
                <c:pt idx="89">
                  <c:v>5</c:v>
                </c:pt>
                <c:pt idx="90">
                  <c:v>1</c:v>
                </c:pt>
                <c:pt idx="91">
                  <c:v>2</c:v>
                </c:pt>
                <c:pt idx="92">
                  <c:v>3</c:v>
                </c:pt>
                <c:pt idx="93">
                  <c:v>4</c:v>
                </c:pt>
                <c:pt idx="94">
                  <c:v>5</c:v>
                </c:pt>
                <c:pt idx="95">
                  <c:v>1</c:v>
                </c:pt>
                <c:pt idx="96">
                  <c:v>2</c:v>
                </c:pt>
                <c:pt idx="97">
                  <c:v>3</c:v>
                </c:pt>
                <c:pt idx="98">
                  <c:v>4</c:v>
                </c:pt>
                <c:pt idx="99">
                  <c:v>5</c:v>
                </c:pt>
                <c:pt idx="100">
                  <c:v>1</c:v>
                </c:pt>
                <c:pt idx="101">
                  <c:v>2</c:v>
                </c:pt>
                <c:pt idx="102">
                  <c:v>3</c:v>
                </c:pt>
                <c:pt idx="103">
                  <c:v>4</c:v>
                </c:pt>
                <c:pt idx="104">
                  <c:v>5</c:v>
                </c:pt>
                <c:pt idx="105">
                  <c:v>1</c:v>
                </c:pt>
                <c:pt idx="106">
                  <c:v>2</c:v>
                </c:pt>
                <c:pt idx="107">
                  <c:v>3</c:v>
                </c:pt>
                <c:pt idx="108">
                  <c:v>4</c:v>
                </c:pt>
                <c:pt idx="109">
                  <c:v>5</c:v>
                </c:pt>
                <c:pt idx="110">
                  <c:v>1</c:v>
                </c:pt>
                <c:pt idx="111">
                  <c:v>2</c:v>
                </c:pt>
                <c:pt idx="112">
                  <c:v>3</c:v>
                </c:pt>
                <c:pt idx="113">
                  <c:v>4</c:v>
                </c:pt>
                <c:pt idx="114">
                  <c:v>5</c:v>
                </c:pt>
                <c:pt idx="115">
                  <c:v>1</c:v>
                </c:pt>
                <c:pt idx="116">
                  <c:v>2</c:v>
                </c:pt>
                <c:pt idx="117">
                  <c:v>3</c:v>
                </c:pt>
                <c:pt idx="118">
                  <c:v>4</c:v>
                </c:pt>
                <c:pt idx="119">
                  <c:v>5</c:v>
                </c:pt>
              </c:numCache>
            </c:numRef>
          </c:yVal>
          <c:bubbleSize>
            <c:numRef>
              <c:f>'Fig 20. MVCharCM'!$S$2:$S$121</c:f>
              <c:numCache>
                <c:formatCode>General</c:formatCode>
                <c:ptCount val="120"/>
                <c:pt idx="0">
                  <c:v>9</c:v>
                </c:pt>
                <c:pt idx="1">
                  <c:v>6</c:v>
                </c:pt>
                <c:pt idx="2">
                  <c:v>11</c:v>
                </c:pt>
                <c:pt idx="3">
                  <c:v>7</c:v>
                </c:pt>
                <c:pt idx="4">
                  <c:v>8</c:v>
                </c:pt>
                <c:pt idx="5">
                  <c:v>12</c:v>
                </c:pt>
                <c:pt idx="6">
                  <c:v>4</c:v>
                </c:pt>
                <c:pt idx="7">
                  <c:v>23</c:v>
                </c:pt>
                <c:pt idx="8">
                  <c:v>9</c:v>
                </c:pt>
                <c:pt idx="9">
                  <c:v>19</c:v>
                </c:pt>
                <c:pt idx="10">
                  <c:v>13</c:v>
                </c:pt>
                <c:pt idx="11">
                  <c:v>6</c:v>
                </c:pt>
                <c:pt idx="12">
                  <c:v>15</c:v>
                </c:pt>
                <c:pt idx="13">
                  <c:v>8</c:v>
                </c:pt>
                <c:pt idx="14">
                  <c:v>14</c:v>
                </c:pt>
                <c:pt idx="15">
                  <c:v>4</c:v>
                </c:pt>
                <c:pt idx="16">
                  <c:v>0</c:v>
                </c:pt>
                <c:pt idx="17">
                  <c:v>5</c:v>
                </c:pt>
                <c:pt idx="18">
                  <c:v>5</c:v>
                </c:pt>
                <c:pt idx="19">
                  <c:v>4</c:v>
                </c:pt>
                <c:pt idx="20">
                  <c:v>11</c:v>
                </c:pt>
                <c:pt idx="21">
                  <c:v>2</c:v>
                </c:pt>
                <c:pt idx="22">
                  <c:v>12</c:v>
                </c:pt>
                <c:pt idx="23">
                  <c:v>8</c:v>
                </c:pt>
                <c:pt idx="24">
                  <c:v>10</c:v>
                </c:pt>
                <c:pt idx="25">
                  <c:v>0</c:v>
                </c:pt>
                <c:pt idx="26">
                  <c:v>0</c:v>
                </c:pt>
                <c:pt idx="27">
                  <c:v>0</c:v>
                </c:pt>
                <c:pt idx="28">
                  <c:v>0</c:v>
                </c:pt>
                <c:pt idx="29">
                  <c:v>0</c:v>
                </c:pt>
                <c:pt idx="30">
                  <c:v>37</c:v>
                </c:pt>
                <c:pt idx="31">
                  <c:v>12</c:v>
                </c:pt>
                <c:pt idx="32">
                  <c:v>49</c:v>
                </c:pt>
                <c:pt idx="33">
                  <c:v>28</c:v>
                </c:pt>
                <c:pt idx="34">
                  <c:v>41</c:v>
                </c:pt>
                <c:pt idx="35">
                  <c:v>4</c:v>
                </c:pt>
                <c:pt idx="36">
                  <c:v>3</c:v>
                </c:pt>
                <c:pt idx="37">
                  <c:v>8</c:v>
                </c:pt>
                <c:pt idx="38">
                  <c:v>4</c:v>
                </c:pt>
                <c:pt idx="39">
                  <c:v>6</c:v>
                </c:pt>
                <c:pt idx="40">
                  <c:v>0</c:v>
                </c:pt>
                <c:pt idx="41">
                  <c:v>0</c:v>
                </c:pt>
                <c:pt idx="42">
                  <c:v>0</c:v>
                </c:pt>
                <c:pt idx="43">
                  <c:v>0</c:v>
                </c:pt>
                <c:pt idx="44">
                  <c:v>0</c:v>
                </c:pt>
                <c:pt idx="45">
                  <c:v>40</c:v>
                </c:pt>
                <c:pt idx="46">
                  <c:v>11</c:v>
                </c:pt>
                <c:pt idx="47">
                  <c:v>57</c:v>
                </c:pt>
                <c:pt idx="48">
                  <c:v>32</c:v>
                </c:pt>
                <c:pt idx="49">
                  <c:v>47</c:v>
                </c:pt>
                <c:pt idx="50">
                  <c:v>1</c:v>
                </c:pt>
                <c:pt idx="51">
                  <c:v>5</c:v>
                </c:pt>
                <c:pt idx="52">
                  <c:v>1</c:v>
                </c:pt>
                <c:pt idx="53">
                  <c:v>1</c:v>
                </c:pt>
                <c:pt idx="54">
                  <c:v>0</c:v>
                </c:pt>
                <c:pt idx="55">
                  <c:v>0</c:v>
                </c:pt>
                <c:pt idx="56">
                  <c:v>0</c:v>
                </c:pt>
                <c:pt idx="57">
                  <c:v>0</c:v>
                </c:pt>
                <c:pt idx="58">
                  <c:v>0</c:v>
                </c:pt>
                <c:pt idx="59">
                  <c:v>0</c:v>
                </c:pt>
                <c:pt idx="60">
                  <c:v>8</c:v>
                </c:pt>
                <c:pt idx="61">
                  <c:v>7</c:v>
                </c:pt>
                <c:pt idx="62">
                  <c:v>9</c:v>
                </c:pt>
                <c:pt idx="63">
                  <c:v>6</c:v>
                </c:pt>
                <c:pt idx="64">
                  <c:v>6</c:v>
                </c:pt>
                <c:pt idx="65">
                  <c:v>36</c:v>
                </c:pt>
                <c:pt idx="66">
                  <c:v>10</c:v>
                </c:pt>
                <c:pt idx="67">
                  <c:v>49</c:v>
                </c:pt>
                <c:pt idx="68">
                  <c:v>27</c:v>
                </c:pt>
                <c:pt idx="69">
                  <c:v>41</c:v>
                </c:pt>
                <c:pt idx="70">
                  <c:v>0</c:v>
                </c:pt>
                <c:pt idx="71">
                  <c:v>0</c:v>
                </c:pt>
                <c:pt idx="72">
                  <c:v>0</c:v>
                </c:pt>
                <c:pt idx="73">
                  <c:v>0</c:v>
                </c:pt>
                <c:pt idx="74">
                  <c:v>0</c:v>
                </c:pt>
                <c:pt idx="75">
                  <c:v>21</c:v>
                </c:pt>
                <c:pt idx="76">
                  <c:v>7</c:v>
                </c:pt>
                <c:pt idx="77">
                  <c:v>25</c:v>
                </c:pt>
                <c:pt idx="78">
                  <c:v>11</c:v>
                </c:pt>
                <c:pt idx="79">
                  <c:v>23</c:v>
                </c:pt>
                <c:pt idx="80">
                  <c:v>19</c:v>
                </c:pt>
                <c:pt idx="81">
                  <c:v>9</c:v>
                </c:pt>
                <c:pt idx="82">
                  <c:v>30</c:v>
                </c:pt>
                <c:pt idx="83">
                  <c:v>19</c:v>
                </c:pt>
                <c:pt idx="84">
                  <c:v>23</c:v>
                </c:pt>
                <c:pt idx="85">
                  <c:v>2</c:v>
                </c:pt>
                <c:pt idx="86">
                  <c:v>1</c:v>
                </c:pt>
                <c:pt idx="87">
                  <c:v>4</c:v>
                </c:pt>
                <c:pt idx="88">
                  <c:v>3</c:v>
                </c:pt>
                <c:pt idx="89">
                  <c:v>3</c:v>
                </c:pt>
                <c:pt idx="90">
                  <c:v>0</c:v>
                </c:pt>
                <c:pt idx="91">
                  <c:v>0</c:v>
                </c:pt>
                <c:pt idx="92">
                  <c:v>0</c:v>
                </c:pt>
                <c:pt idx="93">
                  <c:v>0</c:v>
                </c:pt>
                <c:pt idx="94">
                  <c:v>0</c:v>
                </c:pt>
                <c:pt idx="95">
                  <c:v>3</c:v>
                </c:pt>
                <c:pt idx="96">
                  <c:v>5</c:v>
                </c:pt>
                <c:pt idx="97">
                  <c:v>4</c:v>
                </c:pt>
                <c:pt idx="98">
                  <c:v>2</c:v>
                </c:pt>
                <c:pt idx="99">
                  <c:v>3</c:v>
                </c:pt>
                <c:pt idx="100">
                  <c:v>18</c:v>
                </c:pt>
                <c:pt idx="101">
                  <c:v>5</c:v>
                </c:pt>
                <c:pt idx="102">
                  <c:v>25</c:v>
                </c:pt>
                <c:pt idx="103">
                  <c:v>14</c:v>
                </c:pt>
                <c:pt idx="104">
                  <c:v>19</c:v>
                </c:pt>
                <c:pt idx="105">
                  <c:v>20</c:v>
                </c:pt>
                <c:pt idx="106">
                  <c:v>5</c:v>
                </c:pt>
                <c:pt idx="107">
                  <c:v>28</c:v>
                </c:pt>
                <c:pt idx="108">
                  <c:v>16</c:v>
                </c:pt>
                <c:pt idx="109">
                  <c:v>25</c:v>
                </c:pt>
                <c:pt idx="110">
                  <c:v>0</c:v>
                </c:pt>
                <c:pt idx="111">
                  <c:v>0</c:v>
                </c:pt>
                <c:pt idx="112">
                  <c:v>0</c:v>
                </c:pt>
                <c:pt idx="113">
                  <c:v>0</c:v>
                </c:pt>
                <c:pt idx="114">
                  <c:v>0</c:v>
                </c:pt>
                <c:pt idx="115">
                  <c:v>11</c:v>
                </c:pt>
                <c:pt idx="116">
                  <c:v>2</c:v>
                </c:pt>
                <c:pt idx="117">
                  <c:v>12</c:v>
                </c:pt>
                <c:pt idx="118">
                  <c:v>10</c:v>
                </c:pt>
                <c:pt idx="119">
                  <c:v>10</c:v>
                </c:pt>
              </c:numCache>
            </c:numRef>
          </c:bubbleSize>
          <c:bubble3D val="0"/>
          <c:extLst>
            <c:ext xmlns:c16="http://schemas.microsoft.com/office/drawing/2014/chart" uri="{C3380CC4-5D6E-409C-BE32-E72D297353CC}">
              <c16:uniqueId val="{00000000-4F5E-40E3-BE0F-031DC5D7E9AD}"/>
            </c:ext>
          </c:extLst>
        </c:ser>
        <c:dLbls>
          <c:showLegendKey val="0"/>
          <c:showVal val="0"/>
          <c:showCatName val="0"/>
          <c:showSerName val="0"/>
          <c:showPercent val="0"/>
          <c:showBubbleSize val="0"/>
        </c:dLbls>
        <c:bubbleScale val="100"/>
        <c:showNegBubbles val="0"/>
        <c:axId val="1041016799"/>
        <c:axId val="1041025535"/>
      </c:bubbleChart>
      <c:valAx>
        <c:axId val="1041016799"/>
        <c:scaling>
          <c:orientation val="minMax"/>
          <c:max val="25"/>
          <c:min val="-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25535"/>
        <c:crosses val="autoZero"/>
        <c:crossBetween val="midCat"/>
        <c:majorUnit val="1"/>
      </c:valAx>
      <c:valAx>
        <c:axId val="1041025535"/>
        <c:scaling>
          <c:orientation val="minMax"/>
          <c:max val="6"/>
          <c:min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16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73577142598671"/>
          <c:y val="1.4668588961591071E-3"/>
          <c:w val="0.81424077375502835"/>
          <c:h val="0.77171416953162542"/>
        </c:manualLayout>
      </c:layout>
      <c:pie3DChart>
        <c:varyColors val="1"/>
        <c:ser>
          <c:idx val="0"/>
          <c:order val="0"/>
          <c:tx>
            <c:strRef>
              <c:f>'Quality Assessment '!$H$2</c:f>
              <c:strCache>
                <c:ptCount val="1"/>
                <c:pt idx="0">
                  <c:v>QA1</c:v>
                </c:pt>
              </c:strCache>
            </c:strRef>
          </c:tx>
          <c:explosion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C4A7-4FD8-AA0F-63269EF8478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C4A7-4FD8-AA0F-63269EF8478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C4A7-4FD8-AA0F-63269EF8478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C4A7-4FD8-AA0F-63269EF84785}"/>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C4A7-4FD8-AA0F-63269EF84785}"/>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C4A7-4FD8-AA0F-63269EF84785}"/>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C4A7-4FD8-AA0F-63269EF8478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4A7-4FD8-AA0F-63269EF8478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4A7-4FD8-AA0F-63269EF8478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4A7-4FD8-AA0F-63269EF8478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C4A7-4FD8-AA0F-63269EF8478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A7-4FD8-AA0F-63269EF84785}"/>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C4A7-4FD8-AA0F-63269EF84785}"/>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4A7-4FD8-AA0F-63269EF84785}"/>
                </c:ext>
              </c:extLst>
            </c:dLbl>
            <c:spPr>
              <a:noFill/>
              <a:ln>
                <a:noFill/>
              </a:ln>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Ref>
              <c:f>'Quality Assessment '!$H$117:$N$117</c:f>
              <c:numCache>
                <c:formatCode>0%</c:formatCode>
                <c:ptCount val="7"/>
                <c:pt idx="0">
                  <c:v>0.19636363636363635</c:v>
                </c:pt>
                <c:pt idx="1">
                  <c:v>0.14181818181818182</c:v>
                </c:pt>
                <c:pt idx="2">
                  <c:v>0.19</c:v>
                </c:pt>
                <c:pt idx="3">
                  <c:v>8.1818181818181818E-2</c:v>
                </c:pt>
                <c:pt idx="4">
                  <c:v>0.10181818181818182</c:v>
                </c:pt>
                <c:pt idx="5">
                  <c:v>0.15181818181818182</c:v>
                </c:pt>
                <c:pt idx="6">
                  <c:v>0.13818181818181818</c:v>
                </c:pt>
              </c:numCache>
            </c:numRef>
          </c:val>
          <c:extLst>
            <c:ext xmlns:c16="http://schemas.microsoft.com/office/drawing/2014/chart" uri="{C3380CC4-5D6E-409C-BE32-E72D297353CC}">
              <c16:uniqueId val="{0000000E-73AD-4723-96DC-9CD121C55764}"/>
            </c:ext>
          </c:extLst>
        </c:ser>
        <c:ser>
          <c:idx val="1"/>
          <c:order val="1"/>
          <c:tx>
            <c:strRef>
              <c:f>'Quality Assessment '!$I$2</c:f>
              <c:strCache>
                <c:ptCount val="1"/>
                <c:pt idx="0">
                  <c:v>QA2</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2</c:v>
              </c:pt>
            </c:numLit>
          </c:val>
          <c:extLst>
            <c:ext xmlns:c16="http://schemas.microsoft.com/office/drawing/2014/chart" uri="{C3380CC4-5D6E-409C-BE32-E72D297353CC}">
              <c16:uniqueId val="{00000011-73AD-4723-96DC-9CD121C55764}"/>
            </c:ext>
          </c:extLst>
        </c:ser>
        <c:ser>
          <c:idx val="2"/>
          <c:order val="2"/>
          <c:tx>
            <c:strRef>
              <c:f>'Quality Assessment '!$J$2</c:f>
              <c:strCache>
                <c:ptCount val="1"/>
                <c:pt idx="0">
                  <c:v>QA3</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3</c:v>
              </c:pt>
            </c:numLit>
          </c:val>
          <c:extLst>
            <c:ext xmlns:c16="http://schemas.microsoft.com/office/drawing/2014/chart" uri="{C3380CC4-5D6E-409C-BE32-E72D297353CC}">
              <c16:uniqueId val="{00000014-73AD-4723-96DC-9CD121C55764}"/>
            </c:ext>
          </c:extLst>
        </c:ser>
        <c:ser>
          <c:idx val="4"/>
          <c:order val="3"/>
          <c:tx>
            <c:strRef>
              <c:f>'Quality Assessment'!#REF!</c:f>
              <c:strCache>
                <c:ptCount val="1"/>
                <c:pt idx="0">
                  <c:v>#REF!</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5</c:v>
              </c:pt>
            </c:numLit>
          </c:val>
          <c:extLst>
            <c:ext xmlns:c16="http://schemas.microsoft.com/office/drawing/2014/chart" uri="{C3380CC4-5D6E-409C-BE32-E72D297353CC}">
              <c16:uniqueId val="{00000017-73AD-4723-96DC-9CD121C55764}"/>
            </c:ext>
          </c:extLst>
        </c:ser>
        <c:ser>
          <c:idx val="3"/>
          <c:order val="4"/>
          <c:tx>
            <c:strRef>
              <c:f>'Quality Assessment '!$K$2</c:f>
              <c:strCache>
                <c:ptCount val="1"/>
                <c:pt idx="0">
                  <c:v>QA4</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4</c:v>
              </c:pt>
            </c:numLit>
          </c:val>
          <c:extLst>
            <c:ext xmlns:c16="http://schemas.microsoft.com/office/drawing/2014/chart" uri="{C3380CC4-5D6E-409C-BE32-E72D297353CC}">
              <c16:uniqueId val="{0000001A-73AD-4723-96DC-9CD121C55764}"/>
            </c:ext>
          </c:extLst>
        </c:ser>
        <c:ser>
          <c:idx val="5"/>
          <c:order val="5"/>
          <c:tx>
            <c:strRef>
              <c:f>'Quality Assessment '!$M$2</c:f>
              <c:strCache>
                <c:ptCount val="1"/>
                <c:pt idx="0">
                  <c:v>QA6</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C-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6</c:v>
              </c:pt>
            </c:numLit>
          </c:val>
          <c:extLst>
            <c:ext xmlns:c16="http://schemas.microsoft.com/office/drawing/2014/chart" uri="{C3380CC4-5D6E-409C-BE32-E72D297353CC}">
              <c16:uniqueId val="{0000001D-73AD-4723-96DC-9CD121C55764}"/>
            </c:ext>
          </c:extLst>
        </c:ser>
        <c:ser>
          <c:idx val="6"/>
          <c:order val="6"/>
          <c:tx>
            <c:strRef>
              <c:f>'Quality Assessment '!$N$2</c:f>
              <c:strCache>
                <c:ptCount val="1"/>
                <c:pt idx="0">
                  <c:v>QA7</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7</c:v>
              </c:pt>
            </c:numLit>
          </c:val>
          <c:extLst>
            <c:ext xmlns:c16="http://schemas.microsoft.com/office/drawing/2014/chart" uri="{C3380CC4-5D6E-409C-BE32-E72D297353CC}">
              <c16:uniqueId val="{00000020-73AD-4723-96DC-9CD121C5576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21. CSpec'!$A$2:$A$7</c:f>
              <c:strCache>
                <c:ptCount val="6"/>
                <c:pt idx="0">
                  <c:v>Conflict Specification</c:v>
                </c:pt>
                <c:pt idx="1">
                  <c:v>Formalism</c:v>
                </c:pt>
                <c:pt idx="2">
                  <c:v>Pattern-based</c:v>
                </c:pt>
                <c:pt idx="3">
                  <c:v>Natural Language</c:v>
                </c:pt>
                <c:pt idx="4">
                  <c:v>Implicit Spec</c:v>
                </c:pt>
                <c:pt idx="5">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21. CSpec'!$A$2:$A$7</c15:sqref>
                  </c15:fullRef>
                </c:ext>
              </c:extLst>
              <c:f>'Fig 21. CSpec'!$A$3:$A$7</c:f>
              <c:strCache>
                <c:ptCount val="5"/>
                <c:pt idx="0">
                  <c:v>Formalism</c:v>
                </c:pt>
                <c:pt idx="1">
                  <c:v>Pattern-based</c:v>
                </c:pt>
                <c:pt idx="2">
                  <c:v>Natural Language</c:v>
                </c:pt>
                <c:pt idx="3">
                  <c:v>Implicit Spec</c:v>
                </c:pt>
                <c:pt idx="4">
                  <c:v>Not Supported</c:v>
                </c:pt>
              </c:strCache>
            </c:strRef>
          </c:cat>
          <c:val>
            <c:numRef>
              <c:extLst>
                <c:ext xmlns:c15="http://schemas.microsoft.com/office/drawing/2012/chart" uri="{02D57815-91ED-43cb-92C2-25804820EDAC}">
                  <c15:fullRef>
                    <c15:sqref>'Fig 21. CSpec'!$B$2:$B$7</c15:sqref>
                  </c15:fullRef>
                </c:ext>
              </c:extLst>
              <c:f>'Fig 21. CSpec'!$B$3:$B$7</c:f>
              <c:numCache>
                <c:formatCode>General</c:formatCode>
                <c:ptCount val="5"/>
                <c:pt idx="0">
                  <c:v>18</c:v>
                </c:pt>
                <c:pt idx="1">
                  <c:v>10</c:v>
                </c:pt>
                <c:pt idx="2">
                  <c:v>17</c:v>
                </c:pt>
                <c:pt idx="3">
                  <c:v>25</c:v>
                </c:pt>
                <c:pt idx="4">
                  <c:v>3</c:v>
                </c:pt>
              </c:numCache>
            </c:numRef>
          </c:val>
          <c:extLst>
            <c:ext xmlns:c16="http://schemas.microsoft.com/office/drawing/2014/chart" uri="{C3380CC4-5D6E-409C-BE32-E72D297353CC}">
              <c16:uniqueId val="{00000000-865B-407F-B659-31B82DE78B9B}"/>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21. CSpec'!$A$2:$A$7</c:f>
              <c:strCache>
                <c:ptCount val="6"/>
                <c:pt idx="0">
                  <c:v>Conflict Specification</c:v>
                </c:pt>
                <c:pt idx="1">
                  <c:v>Formalism</c:v>
                </c:pt>
                <c:pt idx="2">
                  <c:v>Pattern-based</c:v>
                </c:pt>
                <c:pt idx="3">
                  <c:v>Natural Language</c:v>
                </c:pt>
                <c:pt idx="4">
                  <c:v>Implicit Spec</c:v>
                </c:pt>
                <c:pt idx="5">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21. CSpec'!$A$2:$A$7</c15:sqref>
                  </c15:fullRef>
                </c:ext>
              </c:extLst>
              <c:f>'Fig 21. CSpec'!$A$3:$A$6</c:f>
              <c:strCache>
                <c:ptCount val="4"/>
                <c:pt idx="0">
                  <c:v>Formalism</c:v>
                </c:pt>
                <c:pt idx="1">
                  <c:v>Pattern-based</c:v>
                </c:pt>
                <c:pt idx="2">
                  <c:v>Natural Language</c:v>
                </c:pt>
                <c:pt idx="3">
                  <c:v>Implicit Spec</c:v>
                </c:pt>
              </c:strCache>
            </c:strRef>
          </c:cat>
          <c:val>
            <c:numRef>
              <c:extLst>
                <c:ext xmlns:c15="http://schemas.microsoft.com/office/drawing/2012/chart" uri="{02D57815-91ED-43cb-92C2-25804820EDAC}">
                  <c15:fullRef>
                    <c15:sqref>'Fig 21. CSpec'!$B$2:$B$7</c15:sqref>
                  </c15:fullRef>
                </c:ext>
              </c:extLst>
              <c:f>'Fig 21. CSpec'!$B$3:$B$6</c:f>
              <c:numCache>
                <c:formatCode>General</c:formatCode>
                <c:ptCount val="4"/>
                <c:pt idx="0">
                  <c:v>18</c:v>
                </c:pt>
                <c:pt idx="1">
                  <c:v>10</c:v>
                </c:pt>
                <c:pt idx="2">
                  <c:v>17</c:v>
                </c:pt>
                <c:pt idx="3">
                  <c:v>25</c:v>
                </c:pt>
              </c:numCache>
            </c:numRef>
          </c:val>
          <c:extLst>
            <c:ext xmlns:c16="http://schemas.microsoft.com/office/drawing/2014/chart" uri="{C3380CC4-5D6E-409C-BE32-E72D297353CC}">
              <c16:uniqueId val="{00000000-D442-4F73-ADE3-7BB333167DBA}"/>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22. CPrev'!$A$2:$A$8</c:f>
              <c:strCache>
                <c:ptCount val="7"/>
                <c:pt idx="0">
                  <c:v>Conflict Prevention</c:v>
                </c:pt>
                <c:pt idx="1">
                  <c:v>Lock-based</c:v>
                </c:pt>
                <c:pt idx="2">
                  <c:v>Conflict-free Algorithm</c:v>
                </c:pt>
                <c:pt idx="3">
                  <c:v>Operation ordering</c:v>
                </c:pt>
                <c:pt idx="4">
                  <c:v>Sync Modifications</c:v>
                </c:pt>
                <c:pt idx="5">
                  <c:v>Change Awareness</c:v>
                </c:pt>
                <c:pt idx="6">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22. CPrev'!$A$2:$A$8</c15:sqref>
                  </c15:fullRef>
                </c:ext>
              </c:extLst>
              <c:f>'Fig 22. CPrev'!$A$3:$A$8</c:f>
              <c:strCache>
                <c:ptCount val="6"/>
                <c:pt idx="0">
                  <c:v>Lock-based</c:v>
                </c:pt>
                <c:pt idx="1">
                  <c:v>Conflict-free Algorithm</c:v>
                </c:pt>
                <c:pt idx="2">
                  <c:v>Operation ordering</c:v>
                </c:pt>
                <c:pt idx="3">
                  <c:v>Sync Modifications</c:v>
                </c:pt>
                <c:pt idx="4">
                  <c:v>Change Awareness</c:v>
                </c:pt>
                <c:pt idx="5">
                  <c:v>Not Supported</c:v>
                </c:pt>
              </c:strCache>
            </c:strRef>
          </c:cat>
          <c:val>
            <c:numRef>
              <c:extLst>
                <c:ext xmlns:c15="http://schemas.microsoft.com/office/drawing/2012/chart" uri="{02D57815-91ED-43cb-92C2-25804820EDAC}">
                  <c15:fullRef>
                    <c15:sqref>'Fig 22. CPrev'!$B$2:$B$8</c15:sqref>
                  </c15:fullRef>
                </c:ext>
              </c:extLst>
              <c:f>'Fig 22. CPrev'!$B$3:$B$8</c:f>
              <c:numCache>
                <c:formatCode>General</c:formatCode>
                <c:ptCount val="6"/>
                <c:pt idx="0">
                  <c:v>5</c:v>
                </c:pt>
                <c:pt idx="1">
                  <c:v>5</c:v>
                </c:pt>
                <c:pt idx="2">
                  <c:v>2</c:v>
                </c:pt>
                <c:pt idx="3">
                  <c:v>2</c:v>
                </c:pt>
                <c:pt idx="4">
                  <c:v>2</c:v>
                </c:pt>
                <c:pt idx="5">
                  <c:v>54</c:v>
                </c:pt>
              </c:numCache>
            </c:numRef>
          </c:val>
          <c:extLst>
            <c:ext xmlns:c16="http://schemas.microsoft.com/office/drawing/2014/chart" uri="{C3380CC4-5D6E-409C-BE32-E72D297353CC}">
              <c16:uniqueId val="{00000000-8631-4675-B8D5-D8EADEB67A59}"/>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22. CPrev'!$A$2:$A$8</c:f>
              <c:strCache>
                <c:ptCount val="7"/>
                <c:pt idx="0">
                  <c:v>Conflict Prevention</c:v>
                </c:pt>
                <c:pt idx="1">
                  <c:v>Lock-based</c:v>
                </c:pt>
                <c:pt idx="2">
                  <c:v>Conflict-free Algorithm</c:v>
                </c:pt>
                <c:pt idx="3">
                  <c:v>Operation ordering</c:v>
                </c:pt>
                <c:pt idx="4">
                  <c:v>Sync Modifications</c:v>
                </c:pt>
                <c:pt idx="5">
                  <c:v>Change Awareness</c:v>
                </c:pt>
                <c:pt idx="6">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22. CPrev'!$A$2:$A$8</c15:sqref>
                  </c15:fullRef>
                </c:ext>
              </c:extLst>
              <c:f>'Fig 22. CPrev'!$A$3:$A$7</c:f>
              <c:strCache>
                <c:ptCount val="5"/>
                <c:pt idx="0">
                  <c:v>Lock-based</c:v>
                </c:pt>
                <c:pt idx="1">
                  <c:v>Conflict-free Algorithm</c:v>
                </c:pt>
                <c:pt idx="2">
                  <c:v>Operation ordering</c:v>
                </c:pt>
                <c:pt idx="3">
                  <c:v>Sync Modifications</c:v>
                </c:pt>
                <c:pt idx="4">
                  <c:v>Change Awareness</c:v>
                </c:pt>
              </c:strCache>
            </c:strRef>
          </c:cat>
          <c:val>
            <c:numRef>
              <c:extLst>
                <c:ext xmlns:c15="http://schemas.microsoft.com/office/drawing/2012/chart" uri="{02D57815-91ED-43cb-92C2-25804820EDAC}">
                  <c15:fullRef>
                    <c15:sqref>'Fig 22. CPrev'!$B$2:$B$8</c15:sqref>
                  </c15:fullRef>
                </c:ext>
              </c:extLst>
              <c:f>'Fig 22. CPrev'!$B$3:$B$7</c:f>
              <c:numCache>
                <c:formatCode>General</c:formatCode>
                <c:ptCount val="5"/>
                <c:pt idx="0">
                  <c:v>5</c:v>
                </c:pt>
                <c:pt idx="1">
                  <c:v>5</c:v>
                </c:pt>
                <c:pt idx="2">
                  <c:v>2</c:v>
                </c:pt>
                <c:pt idx="3">
                  <c:v>2</c:v>
                </c:pt>
                <c:pt idx="4">
                  <c:v>2</c:v>
                </c:pt>
              </c:numCache>
            </c:numRef>
          </c:val>
          <c:extLst>
            <c:ext xmlns:c16="http://schemas.microsoft.com/office/drawing/2014/chart" uri="{C3380CC4-5D6E-409C-BE32-E72D297353CC}">
              <c16:uniqueId val="{00000000-1DBE-4350-8BB6-A24E4C49CA4E}"/>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23. CDet'!$A$2:$A$7</c:f>
              <c:strCache>
                <c:ptCount val="6"/>
                <c:pt idx="0">
                  <c:v>Conflict Detection</c:v>
                </c:pt>
                <c:pt idx="1">
                  <c:v>Constraint violation</c:v>
                </c:pt>
                <c:pt idx="2">
                  <c:v>Change overlapping</c:v>
                </c:pt>
                <c:pt idx="3">
                  <c:v>Pattern matching</c:v>
                </c:pt>
                <c:pt idx="4">
                  <c:v>Formal methods</c:v>
                </c:pt>
                <c:pt idx="5">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23. CDet'!$A$2:$A$7</c15:sqref>
                  </c15:fullRef>
                </c:ext>
              </c:extLst>
              <c:f>'Fig 23. CDet'!$A$3:$A$7</c:f>
              <c:strCache>
                <c:ptCount val="5"/>
                <c:pt idx="0">
                  <c:v>Constraint violation</c:v>
                </c:pt>
                <c:pt idx="1">
                  <c:v>Change overlapping</c:v>
                </c:pt>
                <c:pt idx="2">
                  <c:v>Pattern matching</c:v>
                </c:pt>
                <c:pt idx="3">
                  <c:v>Formal methods</c:v>
                </c:pt>
                <c:pt idx="4">
                  <c:v>Not Supported</c:v>
                </c:pt>
              </c:strCache>
            </c:strRef>
          </c:cat>
          <c:val>
            <c:numRef>
              <c:extLst>
                <c:ext xmlns:c15="http://schemas.microsoft.com/office/drawing/2012/chart" uri="{02D57815-91ED-43cb-92C2-25804820EDAC}">
                  <c15:fullRef>
                    <c15:sqref>'Fig 23. CDet'!$B$2:$B$7</c15:sqref>
                  </c15:fullRef>
                </c:ext>
              </c:extLst>
              <c:f>'Fig 23. CDet'!$B$3:$B$7</c:f>
              <c:numCache>
                <c:formatCode>General</c:formatCode>
                <c:ptCount val="5"/>
                <c:pt idx="0">
                  <c:v>23</c:v>
                </c:pt>
                <c:pt idx="1">
                  <c:v>20</c:v>
                </c:pt>
                <c:pt idx="2">
                  <c:v>15</c:v>
                </c:pt>
                <c:pt idx="3">
                  <c:v>13</c:v>
                </c:pt>
                <c:pt idx="4">
                  <c:v>12</c:v>
                </c:pt>
              </c:numCache>
            </c:numRef>
          </c:val>
          <c:extLst>
            <c:ext xmlns:c16="http://schemas.microsoft.com/office/drawing/2014/chart" uri="{C3380CC4-5D6E-409C-BE32-E72D297353CC}">
              <c16:uniqueId val="{00000000-A18B-4840-96A8-64D5EDC277EC}"/>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23. CDet'!$A$2:$A$7</c:f>
              <c:strCache>
                <c:ptCount val="6"/>
                <c:pt idx="0">
                  <c:v>Conflict Detection</c:v>
                </c:pt>
                <c:pt idx="1">
                  <c:v>Constraint violation</c:v>
                </c:pt>
                <c:pt idx="2">
                  <c:v>Change overlapping</c:v>
                </c:pt>
                <c:pt idx="3">
                  <c:v>Pattern matching</c:v>
                </c:pt>
                <c:pt idx="4">
                  <c:v>Formal methods</c:v>
                </c:pt>
                <c:pt idx="5">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23. CDet'!$A$2:$A$7</c15:sqref>
                  </c15:fullRef>
                </c:ext>
              </c:extLst>
              <c:f>'Fig 23. CDet'!$A$3:$A$6</c:f>
              <c:strCache>
                <c:ptCount val="4"/>
                <c:pt idx="0">
                  <c:v>Constraint violation</c:v>
                </c:pt>
                <c:pt idx="1">
                  <c:v>Change overlapping</c:v>
                </c:pt>
                <c:pt idx="2">
                  <c:v>Pattern matching</c:v>
                </c:pt>
                <c:pt idx="3">
                  <c:v>Formal methods</c:v>
                </c:pt>
              </c:strCache>
            </c:strRef>
          </c:cat>
          <c:val>
            <c:numRef>
              <c:extLst>
                <c:ext xmlns:c15="http://schemas.microsoft.com/office/drawing/2012/chart" uri="{02D57815-91ED-43cb-92C2-25804820EDAC}">
                  <c15:fullRef>
                    <c15:sqref>'Fig 23. CDet'!$B$2:$B$7</c15:sqref>
                  </c15:fullRef>
                </c:ext>
              </c:extLst>
              <c:f>'Fig 23. CDet'!$B$3:$B$6</c:f>
              <c:numCache>
                <c:formatCode>General</c:formatCode>
                <c:ptCount val="4"/>
                <c:pt idx="0">
                  <c:v>23</c:v>
                </c:pt>
                <c:pt idx="1">
                  <c:v>20</c:v>
                </c:pt>
                <c:pt idx="2">
                  <c:v>15</c:v>
                </c:pt>
                <c:pt idx="3">
                  <c:v>13</c:v>
                </c:pt>
              </c:numCache>
            </c:numRef>
          </c:val>
          <c:extLst>
            <c:ext xmlns:c16="http://schemas.microsoft.com/office/drawing/2014/chart" uri="{C3380CC4-5D6E-409C-BE32-E72D297353CC}">
              <c16:uniqueId val="{00000000-6E87-4FD6-87FD-BC78A7AD8002}"/>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24. CDbyCType (old)'!$Q$2:$Q$121</c:f>
              <c:numCache>
                <c:formatCode>General</c:formatCode>
                <c:ptCount val="120"/>
                <c:pt idx="0">
                  <c:v>1</c:v>
                </c:pt>
                <c:pt idx="1">
                  <c:v>1</c:v>
                </c:pt>
                <c:pt idx="2">
                  <c:v>1</c:v>
                </c:pt>
                <c:pt idx="3">
                  <c:v>1</c:v>
                </c:pt>
                <c:pt idx="4">
                  <c:v>2</c:v>
                </c:pt>
                <c:pt idx="5">
                  <c:v>2</c:v>
                </c:pt>
                <c:pt idx="6">
                  <c:v>2</c:v>
                </c:pt>
                <c:pt idx="7">
                  <c:v>2</c:v>
                </c:pt>
              </c:numCache>
            </c:numRef>
          </c:xVal>
          <c:yVal>
            <c:numRef>
              <c:f>'Fig 24. CDbyCType (old)'!$R$2:$R$121</c:f>
              <c:numCache>
                <c:formatCode>General</c:formatCode>
                <c:ptCount val="120"/>
                <c:pt idx="0">
                  <c:v>4</c:v>
                </c:pt>
                <c:pt idx="1">
                  <c:v>3</c:v>
                </c:pt>
                <c:pt idx="2">
                  <c:v>2</c:v>
                </c:pt>
                <c:pt idx="3">
                  <c:v>1</c:v>
                </c:pt>
                <c:pt idx="4">
                  <c:v>4</c:v>
                </c:pt>
                <c:pt idx="5">
                  <c:v>3</c:v>
                </c:pt>
                <c:pt idx="6">
                  <c:v>2</c:v>
                </c:pt>
                <c:pt idx="7">
                  <c:v>1</c:v>
                </c:pt>
              </c:numCache>
            </c:numRef>
          </c:yVal>
          <c:bubbleSize>
            <c:numRef>
              <c:f>'Fig 24. CDbyCType (old)'!$S$2:$S$121</c:f>
              <c:numCache>
                <c:formatCode>General</c:formatCode>
                <c:ptCount val="120"/>
                <c:pt idx="0">
                  <c:v>20</c:v>
                </c:pt>
                <c:pt idx="1">
                  <c:v>19</c:v>
                </c:pt>
                <c:pt idx="2">
                  <c:v>15</c:v>
                </c:pt>
                <c:pt idx="3">
                  <c:v>11</c:v>
                </c:pt>
                <c:pt idx="4">
                  <c:v>11</c:v>
                </c:pt>
                <c:pt idx="5">
                  <c:v>7</c:v>
                </c:pt>
                <c:pt idx="6">
                  <c:v>7</c:v>
                </c:pt>
                <c:pt idx="7">
                  <c:v>6</c:v>
                </c:pt>
              </c:numCache>
            </c:numRef>
          </c:bubbleSize>
          <c:bubble3D val="0"/>
          <c:extLst>
            <c:ext xmlns:c16="http://schemas.microsoft.com/office/drawing/2014/chart" uri="{C3380CC4-5D6E-409C-BE32-E72D297353CC}">
              <c16:uniqueId val="{00000000-FA1A-4B34-8D6C-39C6B23A95AE}"/>
            </c:ext>
          </c:extLst>
        </c:ser>
        <c:dLbls>
          <c:showLegendKey val="0"/>
          <c:showVal val="0"/>
          <c:showCatName val="0"/>
          <c:showSerName val="0"/>
          <c:showPercent val="0"/>
          <c:showBubbleSize val="0"/>
        </c:dLbls>
        <c:bubbleScale val="140"/>
        <c:showNegBubbles val="0"/>
        <c:axId val="1041016799"/>
        <c:axId val="1041025535"/>
      </c:bubbleChart>
      <c:valAx>
        <c:axId val="1041016799"/>
        <c:scaling>
          <c:orientation val="minMax"/>
          <c:max val="3"/>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25535"/>
        <c:crosses val="autoZero"/>
        <c:crossBetween val="midCat"/>
        <c:majorUnit val="1"/>
        <c:minorUnit val="1"/>
      </c:valAx>
      <c:valAx>
        <c:axId val="104102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16799"/>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24. CDbyCType'!$Q$2:$Q$121</c:f>
              <c:numCache>
                <c:formatCode>General</c:formatCode>
                <c:ptCount val="120"/>
                <c:pt idx="0">
                  <c:v>1</c:v>
                </c:pt>
                <c:pt idx="1">
                  <c:v>1</c:v>
                </c:pt>
                <c:pt idx="2">
                  <c:v>1</c:v>
                </c:pt>
                <c:pt idx="3">
                  <c:v>1</c:v>
                </c:pt>
                <c:pt idx="4">
                  <c:v>2</c:v>
                </c:pt>
                <c:pt idx="5">
                  <c:v>2</c:v>
                </c:pt>
                <c:pt idx="6">
                  <c:v>2</c:v>
                </c:pt>
                <c:pt idx="7">
                  <c:v>2</c:v>
                </c:pt>
                <c:pt idx="8">
                  <c:v>3</c:v>
                </c:pt>
                <c:pt idx="9">
                  <c:v>3</c:v>
                </c:pt>
                <c:pt idx="10">
                  <c:v>3</c:v>
                </c:pt>
                <c:pt idx="11">
                  <c:v>3</c:v>
                </c:pt>
                <c:pt idx="12">
                  <c:v>4</c:v>
                </c:pt>
                <c:pt idx="13">
                  <c:v>4</c:v>
                </c:pt>
                <c:pt idx="14">
                  <c:v>4</c:v>
                </c:pt>
                <c:pt idx="15">
                  <c:v>4</c:v>
                </c:pt>
              </c:numCache>
            </c:numRef>
          </c:xVal>
          <c:yVal>
            <c:numRef>
              <c:f>'Fig 24. CDbyCType'!$R$2:$R$121</c:f>
              <c:numCache>
                <c:formatCode>General</c:formatCode>
                <c:ptCount val="120"/>
                <c:pt idx="0">
                  <c:v>4</c:v>
                </c:pt>
                <c:pt idx="1">
                  <c:v>3</c:v>
                </c:pt>
                <c:pt idx="2">
                  <c:v>2</c:v>
                </c:pt>
                <c:pt idx="3">
                  <c:v>1</c:v>
                </c:pt>
                <c:pt idx="4">
                  <c:v>4</c:v>
                </c:pt>
                <c:pt idx="5">
                  <c:v>3</c:v>
                </c:pt>
                <c:pt idx="6">
                  <c:v>2</c:v>
                </c:pt>
                <c:pt idx="7">
                  <c:v>1</c:v>
                </c:pt>
                <c:pt idx="8">
                  <c:v>4</c:v>
                </c:pt>
                <c:pt idx="9">
                  <c:v>3</c:v>
                </c:pt>
                <c:pt idx="10">
                  <c:v>2</c:v>
                </c:pt>
                <c:pt idx="11">
                  <c:v>1</c:v>
                </c:pt>
                <c:pt idx="12">
                  <c:v>4</c:v>
                </c:pt>
                <c:pt idx="13">
                  <c:v>3</c:v>
                </c:pt>
                <c:pt idx="14">
                  <c:v>2</c:v>
                </c:pt>
                <c:pt idx="15">
                  <c:v>1</c:v>
                </c:pt>
              </c:numCache>
            </c:numRef>
          </c:yVal>
          <c:bubbleSize>
            <c:numRef>
              <c:f>'Fig 24. CDbyCType'!$S$2:$S$121</c:f>
              <c:numCache>
                <c:formatCode>General</c:formatCode>
                <c:ptCount val="120"/>
                <c:pt idx="0">
                  <c:v>20</c:v>
                </c:pt>
                <c:pt idx="1">
                  <c:v>19</c:v>
                </c:pt>
                <c:pt idx="2">
                  <c:v>15</c:v>
                </c:pt>
                <c:pt idx="3">
                  <c:v>11</c:v>
                </c:pt>
                <c:pt idx="4">
                  <c:v>9</c:v>
                </c:pt>
                <c:pt idx="5">
                  <c:v>4</c:v>
                </c:pt>
                <c:pt idx="6">
                  <c:v>7</c:v>
                </c:pt>
                <c:pt idx="7">
                  <c:v>4</c:v>
                </c:pt>
                <c:pt idx="8">
                  <c:v>3</c:v>
                </c:pt>
                <c:pt idx="9">
                  <c:v>1</c:v>
                </c:pt>
                <c:pt idx="10">
                  <c:v>1</c:v>
                </c:pt>
                <c:pt idx="11">
                  <c:v>1</c:v>
                </c:pt>
                <c:pt idx="12">
                  <c:v>2</c:v>
                </c:pt>
                <c:pt idx="13">
                  <c:v>2</c:v>
                </c:pt>
                <c:pt idx="14">
                  <c:v>2</c:v>
                </c:pt>
                <c:pt idx="15">
                  <c:v>2</c:v>
                </c:pt>
              </c:numCache>
            </c:numRef>
          </c:bubbleSize>
          <c:bubble3D val="0"/>
          <c:extLst>
            <c:ext xmlns:c16="http://schemas.microsoft.com/office/drawing/2014/chart" uri="{C3380CC4-5D6E-409C-BE32-E72D297353CC}">
              <c16:uniqueId val="{00000000-0B3B-4BD0-B15B-FE6EC04E9EF8}"/>
            </c:ext>
          </c:extLst>
        </c:ser>
        <c:dLbls>
          <c:showLegendKey val="0"/>
          <c:showVal val="0"/>
          <c:showCatName val="0"/>
          <c:showSerName val="0"/>
          <c:showPercent val="0"/>
          <c:showBubbleSize val="0"/>
        </c:dLbls>
        <c:bubbleScale val="140"/>
        <c:showNegBubbles val="0"/>
        <c:axId val="1041016799"/>
        <c:axId val="1041025535"/>
      </c:bubbleChart>
      <c:valAx>
        <c:axId val="1041016799"/>
        <c:scaling>
          <c:orientation val="minMax"/>
          <c:max val="5"/>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25535"/>
        <c:crosses val="autoZero"/>
        <c:crossBetween val="midCat"/>
        <c:majorUnit val="1"/>
        <c:minorUnit val="1"/>
      </c:valAx>
      <c:valAx>
        <c:axId val="104102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16799"/>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CRes'!$A$2:$A$11</c:f>
              <c:strCache>
                <c:ptCount val="10"/>
                <c:pt idx="0">
                  <c:v>Conflict Resolution</c:v>
                </c:pt>
                <c:pt idx="1">
                  <c:v>Manual</c:v>
                </c:pt>
                <c:pt idx="2">
                  <c:v>Semi-automatic</c:v>
                </c:pt>
                <c:pt idx="3">
                  <c:v>Automatically</c:v>
                </c:pt>
                <c:pt idx="4">
                  <c:v>Not Applicable</c:v>
                </c:pt>
                <c:pt idx="6">
                  <c:v>Resolution Time</c:v>
                </c:pt>
                <c:pt idx="7">
                  <c:v>On-the-fly</c:v>
                </c:pt>
                <c:pt idx="8">
                  <c:v>Post-analysis</c:v>
                </c:pt>
                <c:pt idx="9">
                  <c:v>Not Applicable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CRes'!$A$2:$A$11</c15:sqref>
                  </c15:fullRef>
                </c:ext>
              </c:extLst>
              <c:f>('Fig 25 &amp; 26. CRes'!$A$3:$A$7,'Fig 25 &amp; 26. CRes'!$A$9:$A$11)</c:f>
              <c:strCache>
                <c:ptCount val="8"/>
                <c:pt idx="0">
                  <c:v>Manual</c:v>
                </c:pt>
                <c:pt idx="1">
                  <c:v>Semi-automatic</c:v>
                </c:pt>
                <c:pt idx="2">
                  <c:v>Automatically</c:v>
                </c:pt>
                <c:pt idx="3">
                  <c:v>Not Applicable</c:v>
                </c:pt>
                <c:pt idx="5">
                  <c:v>On-the-fly</c:v>
                </c:pt>
                <c:pt idx="6">
                  <c:v>Post-analysis</c:v>
                </c:pt>
                <c:pt idx="7">
                  <c:v>Not Applicable</c:v>
                </c:pt>
              </c:strCache>
            </c:strRef>
          </c:cat>
          <c:val>
            <c:numRef>
              <c:extLst>
                <c:ext xmlns:c15="http://schemas.microsoft.com/office/drawing/2012/chart" uri="{02D57815-91ED-43cb-92C2-25804820EDAC}">
                  <c15:fullRef>
                    <c15:sqref>'Fig 25 &amp; 26. CRes'!$C$2:$C$11</c15:sqref>
                  </c15:fullRef>
                </c:ext>
              </c:extLst>
              <c:f>('Fig 25 &amp; 26. CRes'!$C$3:$C$7,'Fig 25 &amp; 26. CRes'!$C$9:$C$11)</c:f>
              <c:numCache>
                <c:formatCode>0.0%</c:formatCode>
                <c:ptCount val="8"/>
                <c:pt idx="0">
                  <c:v>0.36331884057971015</c:v>
                </c:pt>
                <c:pt idx="1">
                  <c:v>0.2608695652173913</c:v>
                </c:pt>
                <c:pt idx="2">
                  <c:v>0.20289855072463769</c:v>
                </c:pt>
                <c:pt idx="3">
                  <c:v>0.17391304347826086</c:v>
                </c:pt>
                <c:pt idx="5">
                  <c:v>0.50724637681159424</c:v>
                </c:pt>
                <c:pt idx="6">
                  <c:v>0.3188405797101449</c:v>
                </c:pt>
                <c:pt idx="7">
                  <c:v>0.17391304347826086</c:v>
                </c:pt>
              </c:numCache>
            </c:numRef>
          </c:val>
          <c:extLst>
            <c:ext xmlns:c16="http://schemas.microsoft.com/office/drawing/2014/chart" uri="{C3380CC4-5D6E-409C-BE32-E72D297353CC}">
              <c16:uniqueId val="{00000000-3990-4DF6-AD01-A5B9779004C1}"/>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CRes'!$A$2:$A$6</c:f>
              <c:strCache>
                <c:ptCount val="5"/>
                <c:pt idx="0">
                  <c:v>Conflict Resolution</c:v>
                </c:pt>
                <c:pt idx="1">
                  <c:v>Manual</c:v>
                </c:pt>
                <c:pt idx="2">
                  <c:v>Semi-automatic</c:v>
                </c:pt>
                <c:pt idx="3">
                  <c:v>Automatically</c:v>
                </c:pt>
                <c:pt idx="4">
                  <c:v>Not Applicable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CRes'!$A$2:$A$6</c15:sqref>
                  </c15:fullRef>
                </c:ext>
              </c:extLst>
              <c:f>'Fig 25 &amp; 26. CRes'!$A$3:$A$6</c:f>
              <c:strCache>
                <c:ptCount val="4"/>
                <c:pt idx="0">
                  <c:v>Manual</c:v>
                </c:pt>
                <c:pt idx="1">
                  <c:v>Semi-automatic</c:v>
                </c:pt>
                <c:pt idx="2">
                  <c:v>Automatically</c:v>
                </c:pt>
                <c:pt idx="3">
                  <c:v>Not Applicable</c:v>
                </c:pt>
              </c:strCache>
            </c:strRef>
          </c:cat>
          <c:val>
            <c:numRef>
              <c:extLst>
                <c:ext xmlns:c15="http://schemas.microsoft.com/office/drawing/2012/chart" uri="{02D57815-91ED-43cb-92C2-25804820EDAC}">
                  <c15:fullRef>
                    <c15:sqref>'Fig 25 &amp; 26. CRes'!$B$2:$B$6</c15:sqref>
                  </c15:fullRef>
                </c:ext>
              </c:extLst>
              <c:f>'Fig 25 &amp; 26. CRes'!$B$3:$B$6</c:f>
              <c:numCache>
                <c:formatCode>General</c:formatCode>
                <c:ptCount val="4"/>
                <c:pt idx="0">
                  <c:v>25</c:v>
                </c:pt>
                <c:pt idx="1">
                  <c:v>18</c:v>
                </c:pt>
                <c:pt idx="2">
                  <c:v>14</c:v>
                </c:pt>
                <c:pt idx="3">
                  <c:v>12</c:v>
                </c:pt>
              </c:numCache>
            </c:numRef>
          </c:val>
          <c:extLst>
            <c:ext xmlns:c16="http://schemas.microsoft.com/office/drawing/2014/chart" uri="{C3380CC4-5D6E-409C-BE32-E72D297353CC}">
              <c16:uniqueId val="{00000000-700F-49C2-96E5-9429773DB7E1}"/>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57562854559985"/>
          <c:y val="1.8979117351633455E-2"/>
          <c:w val="0.86006122778745819"/>
          <c:h val="0.72704597409194816"/>
        </c:manualLayout>
      </c:layout>
      <c:barChart>
        <c:barDir val="col"/>
        <c:grouping val="clustered"/>
        <c:varyColors val="0"/>
        <c:ser>
          <c:idx val="0"/>
          <c:order val="0"/>
          <c:tx>
            <c:v>Initial studies</c:v>
          </c:tx>
          <c:spPr>
            <a:solidFill>
              <a:srgbClr val="0070C0"/>
            </a:solidFill>
            <a:ln>
              <a:solidFill>
                <a:srgbClr val="0070C0"/>
              </a:solid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3. Data Source'!$A$29:$A$34</c:f>
              <c:strCache>
                <c:ptCount val="6"/>
                <c:pt idx="0">
                  <c:v>IEEE</c:v>
                </c:pt>
                <c:pt idx="1">
                  <c:v>ACM</c:v>
                </c:pt>
                <c:pt idx="2">
                  <c:v>Science Direct</c:v>
                </c:pt>
                <c:pt idx="3">
                  <c:v>Wiley</c:v>
                </c:pt>
                <c:pt idx="4">
                  <c:v>Springer Link</c:v>
                </c:pt>
                <c:pt idx="5">
                  <c:v>Other</c:v>
                </c:pt>
              </c:strCache>
            </c:strRef>
          </c:cat>
          <c:val>
            <c:numRef>
              <c:f>'Fig 3. Data Source'!$B$29:$B$34</c:f>
              <c:numCache>
                <c:formatCode>General</c:formatCode>
                <c:ptCount val="6"/>
                <c:pt idx="0">
                  <c:v>526</c:v>
                </c:pt>
                <c:pt idx="1">
                  <c:v>478</c:v>
                </c:pt>
                <c:pt idx="2">
                  <c:v>264</c:v>
                </c:pt>
                <c:pt idx="3">
                  <c:v>144</c:v>
                </c:pt>
                <c:pt idx="4">
                  <c:v>390</c:v>
                </c:pt>
                <c:pt idx="5">
                  <c:v>0</c:v>
                </c:pt>
              </c:numCache>
            </c:numRef>
          </c:val>
          <c:extLst>
            <c:ext xmlns:c16="http://schemas.microsoft.com/office/drawing/2014/chart" uri="{C3380CC4-5D6E-409C-BE32-E72D297353CC}">
              <c16:uniqueId val="{00000000-9A96-48B4-8C26-7F91907C1C60}"/>
            </c:ext>
          </c:extLst>
        </c:ser>
        <c:ser>
          <c:idx val="1"/>
          <c:order val="1"/>
          <c:tx>
            <c:v>Potential studies</c:v>
          </c:tx>
          <c:spPr>
            <a:solidFill>
              <a:srgbClr val="C00000"/>
            </a:solidFill>
            <a:ln>
              <a:solidFill>
                <a:srgbClr val="C00000"/>
              </a:solid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3. Data Source'!$A$29:$A$34</c:f>
              <c:strCache>
                <c:ptCount val="6"/>
                <c:pt idx="0">
                  <c:v>IEEE</c:v>
                </c:pt>
                <c:pt idx="1">
                  <c:v>ACM</c:v>
                </c:pt>
                <c:pt idx="2">
                  <c:v>Science Direct</c:v>
                </c:pt>
                <c:pt idx="3">
                  <c:v>Wiley</c:v>
                </c:pt>
                <c:pt idx="4">
                  <c:v>Springer Link</c:v>
                </c:pt>
                <c:pt idx="5">
                  <c:v>Other</c:v>
                </c:pt>
              </c:strCache>
            </c:strRef>
          </c:cat>
          <c:val>
            <c:numRef>
              <c:f>'Fig 3. Data Source'!$C$29:$C$34</c:f>
              <c:numCache>
                <c:formatCode>General</c:formatCode>
                <c:ptCount val="6"/>
                <c:pt idx="0">
                  <c:v>56</c:v>
                </c:pt>
                <c:pt idx="1">
                  <c:v>48</c:v>
                </c:pt>
                <c:pt idx="2">
                  <c:v>20</c:v>
                </c:pt>
                <c:pt idx="3">
                  <c:v>2</c:v>
                </c:pt>
                <c:pt idx="4">
                  <c:v>66</c:v>
                </c:pt>
                <c:pt idx="5">
                  <c:v>20</c:v>
                </c:pt>
              </c:numCache>
            </c:numRef>
          </c:val>
          <c:extLst>
            <c:ext xmlns:c16="http://schemas.microsoft.com/office/drawing/2014/chart" uri="{C3380CC4-5D6E-409C-BE32-E72D297353CC}">
              <c16:uniqueId val="{00000001-9A96-48B4-8C26-7F91907C1C60}"/>
            </c:ext>
          </c:extLst>
        </c:ser>
        <c:ser>
          <c:idx val="2"/>
          <c:order val="2"/>
          <c:tx>
            <c:v>Primary studies</c:v>
          </c:tx>
          <c:spPr>
            <a:solidFill>
              <a:srgbClr val="00B050"/>
            </a:solidFill>
            <a:ln>
              <a:solidFill>
                <a:srgbClr val="00B050"/>
              </a:solid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3. Data Source'!$A$29:$A$34</c:f>
              <c:strCache>
                <c:ptCount val="6"/>
                <c:pt idx="0">
                  <c:v>IEEE</c:v>
                </c:pt>
                <c:pt idx="1">
                  <c:v>ACM</c:v>
                </c:pt>
                <c:pt idx="2">
                  <c:v>Science Direct</c:v>
                </c:pt>
                <c:pt idx="3">
                  <c:v>Wiley</c:v>
                </c:pt>
                <c:pt idx="4">
                  <c:v>Springer Link</c:v>
                </c:pt>
                <c:pt idx="5">
                  <c:v>Other</c:v>
                </c:pt>
              </c:strCache>
            </c:strRef>
          </c:cat>
          <c:val>
            <c:numRef>
              <c:f>'Fig 3. Data Source'!$D$29:$D$34</c:f>
              <c:numCache>
                <c:formatCode>General</c:formatCode>
                <c:ptCount val="6"/>
                <c:pt idx="0">
                  <c:v>29</c:v>
                </c:pt>
                <c:pt idx="1">
                  <c:v>25</c:v>
                </c:pt>
                <c:pt idx="2">
                  <c:v>10</c:v>
                </c:pt>
                <c:pt idx="3">
                  <c:v>1</c:v>
                </c:pt>
                <c:pt idx="4">
                  <c:v>36</c:v>
                </c:pt>
                <c:pt idx="5">
                  <c:v>11</c:v>
                </c:pt>
              </c:numCache>
            </c:numRef>
          </c:val>
          <c:extLst>
            <c:ext xmlns:c16="http://schemas.microsoft.com/office/drawing/2014/chart" uri="{C3380CC4-5D6E-409C-BE32-E72D297353CC}">
              <c16:uniqueId val="{00000002-9A96-48B4-8C26-7F91907C1C60}"/>
            </c:ext>
          </c:extLst>
        </c:ser>
        <c:dLbls>
          <c:showLegendKey val="0"/>
          <c:showVal val="0"/>
          <c:showCatName val="0"/>
          <c:showSerName val="0"/>
          <c:showPercent val="0"/>
          <c:showBubbleSize val="0"/>
        </c:dLbls>
        <c:gapWidth val="75"/>
        <c:axId val="374187760"/>
        <c:axId val="374191024"/>
      </c:barChart>
      <c:catAx>
        <c:axId val="374187760"/>
        <c:scaling>
          <c:orientation val="minMax"/>
        </c:scaling>
        <c:delete val="0"/>
        <c:axPos val="b"/>
        <c:numFmt formatCode="General" sourceLinked="0"/>
        <c:majorTickMark val="out"/>
        <c:minorTickMark val="none"/>
        <c:tickLblPos val="nextTo"/>
        <c:txPr>
          <a:bodyPr/>
          <a:lstStyle/>
          <a:p>
            <a:pPr>
              <a:defRPr sz="1100"/>
            </a:pPr>
            <a:endParaRPr lang="en-US"/>
          </a:p>
        </c:txPr>
        <c:crossAx val="374191024"/>
        <c:crosses val="autoZero"/>
        <c:auto val="1"/>
        <c:lblAlgn val="ctr"/>
        <c:lblOffset val="100"/>
        <c:noMultiLvlLbl val="0"/>
      </c:catAx>
      <c:valAx>
        <c:axId val="374191024"/>
        <c:scaling>
          <c:orientation val="minMax"/>
          <c:max val="550"/>
          <c:min val="0"/>
        </c:scaling>
        <c:delete val="0"/>
        <c:axPos val="l"/>
        <c:majorGridlines/>
        <c:numFmt formatCode="General" sourceLinked="1"/>
        <c:majorTickMark val="out"/>
        <c:minorTickMark val="none"/>
        <c:tickLblPos val="nextTo"/>
        <c:crossAx val="374187760"/>
        <c:crosses val="autoZero"/>
        <c:crossBetween val="between"/>
        <c:majorUnit val="50"/>
      </c:valAx>
    </c:plotArea>
    <c:legend>
      <c:legendPos val="b"/>
      <c:layout>
        <c:manualLayout>
          <c:xMode val="edge"/>
          <c:yMode val="edge"/>
          <c:x val="0.17884068983889498"/>
          <c:y val="0.82575107805496828"/>
          <c:w val="0.71568383402989766"/>
          <c:h val="7.8866079767010572E-2"/>
        </c:manualLayout>
      </c:layout>
      <c:overlay val="1"/>
      <c:txPr>
        <a:bodyPr/>
        <a:lstStyle/>
        <a:p>
          <a:pPr>
            <a:defRPr sz="1200"/>
          </a:pPr>
          <a:endParaRPr lang="en-US"/>
        </a:p>
      </c:txPr>
    </c:legend>
    <c:plotVisOnly val="1"/>
    <c:dispBlanksAs val="gap"/>
    <c:showDLblsOverMax val="0"/>
  </c:chart>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CRes'!$A$8:$A$11</c:f>
              <c:strCache>
                <c:ptCount val="4"/>
                <c:pt idx="0">
                  <c:v>Resolution Time</c:v>
                </c:pt>
                <c:pt idx="1">
                  <c:v>On-the-fly</c:v>
                </c:pt>
                <c:pt idx="2">
                  <c:v>Post-analysis</c:v>
                </c:pt>
                <c:pt idx="3">
                  <c:v>Not Applicable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CRes'!$A$8:$A$11</c15:sqref>
                  </c15:fullRef>
                </c:ext>
              </c:extLst>
              <c:f>'Fig 25 &amp; 26. CRes'!$A$9:$A$11</c:f>
              <c:strCache>
                <c:ptCount val="3"/>
                <c:pt idx="0">
                  <c:v>On-the-fly</c:v>
                </c:pt>
                <c:pt idx="1">
                  <c:v>Post-analysis</c:v>
                </c:pt>
                <c:pt idx="2">
                  <c:v>Not Applicable</c:v>
                </c:pt>
              </c:strCache>
            </c:strRef>
          </c:cat>
          <c:val>
            <c:numRef>
              <c:extLst>
                <c:ext xmlns:c15="http://schemas.microsoft.com/office/drawing/2012/chart" uri="{02D57815-91ED-43cb-92C2-25804820EDAC}">
                  <c15:fullRef>
                    <c15:sqref>'Fig 25 &amp; 26. CRes'!$B$8:$B$11</c15:sqref>
                  </c15:fullRef>
                </c:ext>
              </c:extLst>
              <c:f>'Fig 25 &amp; 26. CRes'!$B$9:$B$11</c:f>
              <c:numCache>
                <c:formatCode>General</c:formatCode>
                <c:ptCount val="3"/>
                <c:pt idx="0">
                  <c:v>35</c:v>
                </c:pt>
                <c:pt idx="1">
                  <c:v>22</c:v>
                </c:pt>
                <c:pt idx="2">
                  <c:v>12</c:v>
                </c:pt>
              </c:numCache>
            </c:numRef>
          </c:val>
          <c:extLst>
            <c:ext xmlns:c16="http://schemas.microsoft.com/office/drawing/2014/chart" uri="{C3380CC4-5D6E-409C-BE32-E72D297353CC}">
              <c16:uniqueId val="{00000000-1055-481E-84BE-A0433885F258}"/>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CRes'!$A$8:$A$11</c:f>
              <c:strCache>
                <c:ptCount val="4"/>
                <c:pt idx="0">
                  <c:v>Resolution Time</c:v>
                </c:pt>
                <c:pt idx="1">
                  <c:v>On-the-fly</c:v>
                </c:pt>
                <c:pt idx="2">
                  <c:v>Post-analysis</c:v>
                </c:pt>
                <c:pt idx="3">
                  <c:v>Not Applicable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CRes'!$A$8:$A$11</c15:sqref>
                  </c15:fullRef>
                </c:ext>
              </c:extLst>
              <c:f>'Fig 25 &amp; 26. CRes'!$A$9:$A$10</c:f>
              <c:strCache>
                <c:ptCount val="2"/>
                <c:pt idx="0">
                  <c:v>On-the-fly</c:v>
                </c:pt>
                <c:pt idx="1">
                  <c:v>Post-analysis</c:v>
                </c:pt>
              </c:strCache>
            </c:strRef>
          </c:cat>
          <c:val>
            <c:numRef>
              <c:extLst>
                <c:ext xmlns:c15="http://schemas.microsoft.com/office/drawing/2012/chart" uri="{02D57815-91ED-43cb-92C2-25804820EDAC}">
                  <c15:fullRef>
                    <c15:sqref>'Fig 25 &amp; 26. CRes'!$B$8:$B$11</c15:sqref>
                  </c15:fullRef>
                </c:ext>
              </c:extLst>
              <c:f>'Fig 25 &amp; 26. CRes'!$B$9:$B$10</c:f>
              <c:numCache>
                <c:formatCode>General</c:formatCode>
                <c:ptCount val="2"/>
                <c:pt idx="0">
                  <c:v>35</c:v>
                </c:pt>
                <c:pt idx="1">
                  <c:v>22</c:v>
                </c:pt>
              </c:numCache>
            </c:numRef>
          </c:val>
          <c:extLst>
            <c:ext xmlns:c16="http://schemas.microsoft.com/office/drawing/2014/chart" uri="{C3380CC4-5D6E-409C-BE32-E72D297353CC}">
              <c16:uniqueId val="{00000000-56C4-4C63-9DBA-DCFBB327DEBB}"/>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CRes'!$A$2:$A$6</c:f>
              <c:strCache>
                <c:ptCount val="5"/>
                <c:pt idx="0">
                  <c:v>Conflict Resolution</c:v>
                </c:pt>
                <c:pt idx="1">
                  <c:v>Manual</c:v>
                </c:pt>
                <c:pt idx="2">
                  <c:v>Semi-automatic</c:v>
                </c:pt>
                <c:pt idx="3">
                  <c:v>Automatically</c:v>
                </c:pt>
                <c:pt idx="4">
                  <c:v>Not Applicable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CRes'!$A$2:$A$6</c15:sqref>
                  </c15:fullRef>
                </c:ext>
              </c:extLst>
              <c:f>'Fig 25 &amp; 26. CRes'!$A$3:$A$5</c:f>
              <c:strCache>
                <c:ptCount val="3"/>
                <c:pt idx="0">
                  <c:v>Manual</c:v>
                </c:pt>
                <c:pt idx="1">
                  <c:v>Semi-automatic</c:v>
                </c:pt>
                <c:pt idx="2">
                  <c:v>Automatically</c:v>
                </c:pt>
              </c:strCache>
            </c:strRef>
          </c:cat>
          <c:val>
            <c:numRef>
              <c:extLst>
                <c:ext xmlns:c15="http://schemas.microsoft.com/office/drawing/2012/chart" uri="{02D57815-91ED-43cb-92C2-25804820EDAC}">
                  <c15:fullRef>
                    <c15:sqref>'Fig 25 &amp; 26. CRes'!$B$2:$B$6</c15:sqref>
                  </c15:fullRef>
                </c:ext>
              </c:extLst>
              <c:f>'Fig 25 &amp; 26. CRes'!$B$3:$B$5</c:f>
              <c:numCache>
                <c:formatCode>General</c:formatCode>
                <c:ptCount val="3"/>
                <c:pt idx="0">
                  <c:v>25</c:v>
                </c:pt>
                <c:pt idx="1">
                  <c:v>18</c:v>
                </c:pt>
                <c:pt idx="2">
                  <c:v>14</c:v>
                </c:pt>
              </c:numCache>
            </c:numRef>
          </c:val>
          <c:extLst>
            <c:ext xmlns:c16="http://schemas.microsoft.com/office/drawing/2014/chart" uri="{C3380CC4-5D6E-409C-BE32-E72D297353CC}">
              <c16:uniqueId val="{00000000-6FEF-44BF-AB33-99D1DEDB4499}"/>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27. CAware'!$A$2:$A$6</c:f>
              <c:strCache>
                <c:ptCount val="5"/>
                <c:pt idx="0">
                  <c:v>Conflict Awareness</c:v>
                </c:pt>
                <c:pt idx="1">
                  <c:v>Notification</c:v>
                </c:pt>
                <c:pt idx="2">
                  <c:v>Conflict Highlighting</c:v>
                </c:pt>
                <c:pt idx="3">
                  <c:v>Conflict Report</c:v>
                </c:pt>
                <c:pt idx="4">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27. CAware'!$A$2:$A$6</c15:sqref>
                  </c15:fullRef>
                </c:ext>
              </c:extLst>
              <c:f>'Fig 27. CAware'!$A$3:$A$6</c:f>
              <c:strCache>
                <c:ptCount val="4"/>
                <c:pt idx="0">
                  <c:v>Notification</c:v>
                </c:pt>
                <c:pt idx="1">
                  <c:v>Conflict Highlighting</c:v>
                </c:pt>
                <c:pt idx="2">
                  <c:v>Conflict Report</c:v>
                </c:pt>
                <c:pt idx="3">
                  <c:v>Not Supported</c:v>
                </c:pt>
              </c:strCache>
            </c:strRef>
          </c:cat>
          <c:val>
            <c:numRef>
              <c:extLst>
                <c:ext xmlns:c15="http://schemas.microsoft.com/office/drawing/2012/chart" uri="{02D57815-91ED-43cb-92C2-25804820EDAC}">
                  <c15:fullRef>
                    <c15:sqref>'Fig 27. CAware'!$B$2:$B$6</c15:sqref>
                  </c15:fullRef>
                </c:ext>
              </c:extLst>
              <c:f>'Fig 27. CAware'!$B$3:$B$6</c:f>
              <c:numCache>
                <c:formatCode>General</c:formatCode>
                <c:ptCount val="4"/>
                <c:pt idx="0">
                  <c:v>11</c:v>
                </c:pt>
                <c:pt idx="1">
                  <c:v>13</c:v>
                </c:pt>
                <c:pt idx="2">
                  <c:v>18</c:v>
                </c:pt>
                <c:pt idx="3">
                  <c:v>22</c:v>
                </c:pt>
              </c:numCache>
            </c:numRef>
          </c:val>
          <c:extLst>
            <c:ext xmlns:c16="http://schemas.microsoft.com/office/drawing/2014/chart" uri="{C3380CC4-5D6E-409C-BE32-E72D297353CC}">
              <c16:uniqueId val="{00000000-9F1C-402A-A070-C7B171651DCE}"/>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27. CAware'!$A$2:$A$6</c:f>
              <c:strCache>
                <c:ptCount val="5"/>
                <c:pt idx="0">
                  <c:v>Conflict Awareness</c:v>
                </c:pt>
                <c:pt idx="1">
                  <c:v>Notification</c:v>
                </c:pt>
                <c:pt idx="2">
                  <c:v>Conflict Highlighting</c:v>
                </c:pt>
                <c:pt idx="3">
                  <c:v>Conflict Report</c:v>
                </c:pt>
                <c:pt idx="4">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27. CAware'!$A$2:$A$6</c15:sqref>
                  </c15:fullRef>
                </c:ext>
              </c:extLst>
              <c:f>'Fig 27. CAware'!$A$3:$A$5</c:f>
              <c:strCache>
                <c:ptCount val="3"/>
                <c:pt idx="0">
                  <c:v>Notification</c:v>
                </c:pt>
                <c:pt idx="1">
                  <c:v>Conflict Highlighting</c:v>
                </c:pt>
                <c:pt idx="2">
                  <c:v>Conflict Report</c:v>
                </c:pt>
              </c:strCache>
            </c:strRef>
          </c:cat>
          <c:val>
            <c:numRef>
              <c:extLst>
                <c:ext xmlns:c15="http://schemas.microsoft.com/office/drawing/2012/chart" uri="{02D57815-91ED-43cb-92C2-25804820EDAC}">
                  <c15:fullRef>
                    <c15:sqref>'Fig 27. CAware'!$B$2:$B$6</c15:sqref>
                  </c15:fullRef>
                </c:ext>
              </c:extLst>
              <c:f>'Fig 27. CAware'!$B$3:$B$5</c:f>
              <c:numCache>
                <c:formatCode>General</c:formatCode>
                <c:ptCount val="3"/>
                <c:pt idx="0">
                  <c:v>11</c:v>
                </c:pt>
                <c:pt idx="1">
                  <c:v>13</c:v>
                </c:pt>
                <c:pt idx="2">
                  <c:v>18</c:v>
                </c:pt>
              </c:numCache>
            </c:numRef>
          </c:val>
          <c:extLst>
            <c:ext xmlns:c16="http://schemas.microsoft.com/office/drawing/2014/chart" uri="{C3380CC4-5D6E-409C-BE32-E72D297353CC}">
              <c16:uniqueId val="{00000000-1664-46E5-9537-D55AA211DFE3}"/>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28. Limitation'!$A$2:$A$9</c:f>
              <c:strCache>
                <c:ptCount val="8"/>
                <c:pt idx="0">
                  <c:v>Reported Limitations</c:v>
                </c:pt>
                <c:pt idx="1">
                  <c:v>Scalability</c:v>
                </c:pt>
                <c:pt idx="2">
                  <c:v>Visualization</c:v>
                </c:pt>
                <c:pt idx="3">
                  <c:v>Evaluation</c:v>
                </c:pt>
                <c:pt idx="4">
                  <c:v>Functionality</c:v>
                </c:pt>
                <c:pt idx="5">
                  <c:v>Domain-specific</c:v>
                </c:pt>
                <c:pt idx="6">
                  <c:v>Tool Support</c:v>
                </c:pt>
                <c:pt idx="7">
                  <c:v>Not Specified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28. Limitation'!$A$2:$A$9</c15:sqref>
                  </c15:fullRef>
                </c:ext>
              </c:extLst>
              <c:f>'Fig 28. Limitation'!$A$3:$A$9</c:f>
              <c:strCache>
                <c:ptCount val="7"/>
                <c:pt idx="0">
                  <c:v>Scalability</c:v>
                </c:pt>
                <c:pt idx="1">
                  <c:v>Visualization</c:v>
                </c:pt>
                <c:pt idx="2">
                  <c:v>Evaluation</c:v>
                </c:pt>
                <c:pt idx="3">
                  <c:v>Functionality</c:v>
                </c:pt>
                <c:pt idx="4">
                  <c:v>Domain-specific</c:v>
                </c:pt>
                <c:pt idx="5">
                  <c:v>Tool Support</c:v>
                </c:pt>
                <c:pt idx="6">
                  <c:v>Not Specified</c:v>
                </c:pt>
              </c:strCache>
            </c:strRef>
          </c:cat>
          <c:val>
            <c:numRef>
              <c:extLst>
                <c:ext xmlns:c15="http://schemas.microsoft.com/office/drawing/2012/chart" uri="{02D57815-91ED-43cb-92C2-25804820EDAC}">
                  <c15:fullRef>
                    <c15:sqref>'Fig 28. Limitation'!$B$2:$B$9</c15:sqref>
                  </c15:fullRef>
                </c:ext>
              </c:extLst>
              <c:f>'Fig 28. Limitation'!$B$3:$B$9</c:f>
              <c:numCache>
                <c:formatCode>General</c:formatCode>
                <c:ptCount val="7"/>
                <c:pt idx="0">
                  <c:v>4</c:v>
                </c:pt>
                <c:pt idx="1">
                  <c:v>6</c:v>
                </c:pt>
                <c:pt idx="2">
                  <c:v>9</c:v>
                </c:pt>
                <c:pt idx="3">
                  <c:v>9</c:v>
                </c:pt>
                <c:pt idx="4">
                  <c:v>10</c:v>
                </c:pt>
                <c:pt idx="5">
                  <c:v>11</c:v>
                </c:pt>
                <c:pt idx="6">
                  <c:v>73</c:v>
                </c:pt>
              </c:numCache>
            </c:numRef>
          </c:val>
          <c:extLst>
            <c:ext xmlns:c16="http://schemas.microsoft.com/office/drawing/2014/chart" uri="{C3380CC4-5D6E-409C-BE32-E72D297353CC}">
              <c16:uniqueId val="{00000000-FDA6-4A9B-BC4A-6FAF927F94D9}"/>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29. Future Direction'!$A$2:$A$12</c:f>
              <c:strCache>
                <c:ptCount val="11"/>
                <c:pt idx="0">
                  <c:v>Reported Future Directions</c:v>
                </c:pt>
                <c:pt idx="1">
                  <c:v>Evaluation</c:v>
                </c:pt>
                <c:pt idx="2">
                  <c:v>Tool support</c:v>
                </c:pt>
                <c:pt idx="3">
                  <c:v>Conflict resolution</c:v>
                </c:pt>
                <c:pt idx="4">
                  <c:v>Visualization</c:v>
                </c:pt>
                <c:pt idx="5">
                  <c:v>Semantic conflict</c:v>
                </c:pt>
                <c:pt idx="6">
                  <c:v>Syntactical conflict</c:v>
                </c:pt>
                <c:pt idx="7">
                  <c:v>Conflict awareness</c:v>
                </c:pt>
                <c:pt idx="8">
                  <c:v>Support other models</c:v>
                </c:pt>
                <c:pt idx="9">
                  <c:v>Composite operation</c:v>
                </c:pt>
                <c:pt idx="10">
                  <c:v>Not Specified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29. Future Direction'!$A$2:$A$12</c15:sqref>
                  </c15:fullRef>
                </c:ext>
              </c:extLst>
              <c:f>'Fig 29. Future Direction'!$A$3:$A$12</c:f>
              <c:strCache>
                <c:ptCount val="10"/>
                <c:pt idx="0">
                  <c:v>Evaluation</c:v>
                </c:pt>
                <c:pt idx="1">
                  <c:v>Tool support</c:v>
                </c:pt>
                <c:pt idx="2">
                  <c:v>Conflict resolution</c:v>
                </c:pt>
                <c:pt idx="3">
                  <c:v>Visualization</c:v>
                </c:pt>
                <c:pt idx="4">
                  <c:v>Semantic conflict</c:v>
                </c:pt>
                <c:pt idx="5">
                  <c:v>Syntactical conflict</c:v>
                </c:pt>
                <c:pt idx="6">
                  <c:v>Conflict awareness</c:v>
                </c:pt>
                <c:pt idx="7">
                  <c:v>Support other models</c:v>
                </c:pt>
                <c:pt idx="8">
                  <c:v>Composite operation</c:v>
                </c:pt>
                <c:pt idx="9">
                  <c:v>Not Specified</c:v>
                </c:pt>
              </c:strCache>
            </c:strRef>
          </c:cat>
          <c:val>
            <c:numRef>
              <c:extLst>
                <c:ext xmlns:c15="http://schemas.microsoft.com/office/drawing/2012/chart" uri="{02D57815-91ED-43cb-92C2-25804820EDAC}">
                  <c15:fullRef>
                    <c15:sqref>'Fig 29. Future Direction'!$B$2:$B$12</c15:sqref>
                  </c15:fullRef>
                </c:ext>
              </c:extLst>
              <c:f>'Fig 29. Future Direction'!$B$3:$B$12</c:f>
              <c:numCache>
                <c:formatCode>General</c:formatCode>
                <c:ptCount val="10"/>
                <c:pt idx="0">
                  <c:v>35</c:v>
                </c:pt>
                <c:pt idx="1">
                  <c:v>34</c:v>
                </c:pt>
                <c:pt idx="2">
                  <c:v>25</c:v>
                </c:pt>
                <c:pt idx="3">
                  <c:v>14</c:v>
                </c:pt>
                <c:pt idx="4">
                  <c:v>15</c:v>
                </c:pt>
                <c:pt idx="5">
                  <c:v>11</c:v>
                </c:pt>
                <c:pt idx="6">
                  <c:v>9</c:v>
                </c:pt>
                <c:pt idx="7">
                  <c:v>8</c:v>
                </c:pt>
                <c:pt idx="8">
                  <c:v>4</c:v>
                </c:pt>
                <c:pt idx="9">
                  <c:v>10</c:v>
                </c:pt>
              </c:numCache>
            </c:numRef>
          </c:val>
          <c:extLst>
            <c:ext xmlns:c16="http://schemas.microsoft.com/office/drawing/2014/chart" uri="{C3380CC4-5D6E-409C-BE32-E72D297353CC}">
              <c16:uniqueId val="{00000000-54C8-4B54-8012-18E653C2468C}"/>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majorUnit val="2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rgbClr val="0070C0"/>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4. Publication Type'!$A$2:$A$4</c:f>
              <c:strCache>
                <c:ptCount val="3"/>
                <c:pt idx="0">
                  <c:v>Journal</c:v>
                </c:pt>
                <c:pt idx="1">
                  <c:v>Conference</c:v>
                </c:pt>
                <c:pt idx="2">
                  <c:v>Workshop</c:v>
                </c:pt>
              </c:strCache>
            </c:strRef>
          </c:cat>
          <c:val>
            <c:numRef>
              <c:f>'Fig 4. Publication Type'!$B$2:$B$4</c:f>
              <c:numCache>
                <c:formatCode>General</c:formatCode>
                <c:ptCount val="3"/>
                <c:pt idx="0">
                  <c:v>26</c:v>
                </c:pt>
                <c:pt idx="1">
                  <c:v>70</c:v>
                </c:pt>
                <c:pt idx="2">
                  <c:v>16</c:v>
                </c:pt>
              </c:numCache>
            </c:numRef>
          </c:val>
          <c:extLst>
            <c:ext xmlns:c16="http://schemas.microsoft.com/office/drawing/2014/chart" uri="{C3380CC4-5D6E-409C-BE32-E72D297353CC}">
              <c16:uniqueId val="{00000000-5BEF-4C43-A4F4-EB4CDC6235EB}"/>
            </c:ext>
          </c:extLst>
        </c:ser>
        <c:dLbls>
          <c:showLegendKey val="0"/>
          <c:showVal val="0"/>
          <c:showCatName val="0"/>
          <c:showSerName val="0"/>
          <c:showPercent val="0"/>
          <c:showBubbleSize val="0"/>
        </c:dLbls>
        <c:gapWidth val="20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3.0591435137965271E-2"/>
              <c:y val="0.271786824519275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 5. and Fig6. QA Questions'!$V$5</c:f>
              <c:strCache>
                <c:ptCount val="1"/>
                <c:pt idx="0">
                  <c:v>Yes</c:v>
                </c:pt>
              </c:strCache>
            </c:strRef>
          </c:tx>
          <c:spPr>
            <a:solidFill>
              <a:srgbClr val="00B050"/>
            </a:solidFill>
            <a:ln>
              <a:solidFill>
                <a:srgbClr val="00B05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5. and Fig6. QA Questions'!$H$2:$Q$2</c15:sqref>
                  </c15:fullRef>
                </c:ext>
              </c:extLst>
              <c:f>'Fig 5. and Fig6. QA Questions'!$H$2:$N$2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'Fig 5. and Fig6. QA Questions'!$V$6:$V$15</c15:sqref>
                  </c15:fullRef>
                </c:ext>
              </c:extLst>
              <c:f>'Fig 5. and Fig6. QA Questions'!$V$6:$V$12</c:f>
              <c:numCache>
                <c:formatCode>General</c:formatCode>
                <c:ptCount val="7"/>
                <c:pt idx="0">
                  <c:v>0.9107142857142857</c:v>
                </c:pt>
                <c:pt idx="1">
                  <c:v>0.5982142857142857</c:v>
                </c:pt>
                <c:pt idx="2">
                  <c:v>0.8660714285714286</c:v>
                </c:pt>
                <c:pt idx="3">
                  <c:v>0.22321428571428573</c:v>
                </c:pt>
                <c:pt idx="4">
                  <c:v>0.20535714285714285</c:v>
                </c:pt>
                <c:pt idx="5">
                  <c:v>0.6160714285714286</c:v>
                </c:pt>
                <c:pt idx="6">
                  <c:v>0.4732142857142857</c:v>
                </c:pt>
              </c:numCache>
            </c:numRef>
          </c:val>
          <c:extLst>
            <c:ext xmlns:c16="http://schemas.microsoft.com/office/drawing/2014/chart" uri="{C3380CC4-5D6E-409C-BE32-E72D297353CC}">
              <c16:uniqueId val="{00000000-0FA3-46C5-812C-A5E09FA581DB}"/>
            </c:ext>
          </c:extLst>
        </c:ser>
        <c:ser>
          <c:idx val="1"/>
          <c:order val="1"/>
          <c:tx>
            <c:strRef>
              <c:f>'Fig 5. and Fig6. QA Questions'!$W$5</c:f>
              <c:strCache>
                <c:ptCount val="1"/>
                <c:pt idx="0">
                  <c:v>Partially</c:v>
                </c:pt>
              </c:strCache>
            </c:strRef>
          </c:tx>
          <c:spPr>
            <a:solidFill>
              <a:srgbClr val="0070C0"/>
            </a:solidFill>
            <a:ln>
              <a:no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5. and Fig6. QA Questions'!$H$2:$Q$2</c15:sqref>
                  </c15:fullRef>
                </c:ext>
              </c:extLst>
              <c:f>'Fig 5. and Fig6. QA Questions'!$H$2:$N$2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'Fig 5. and Fig6. QA Questions'!$W$6:$W$15</c15:sqref>
                  </c15:fullRef>
                </c:ext>
              </c:extLst>
              <c:f>'Fig 5. and Fig6. QA Questions'!$W$6:$W$12</c:f>
              <c:numCache>
                <c:formatCode>General</c:formatCode>
                <c:ptCount val="7"/>
                <c:pt idx="0">
                  <c:v>8.9285714285714288E-2</c:v>
                </c:pt>
                <c:pt idx="1">
                  <c:v>0.19642857142857142</c:v>
                </c:pt>
                <c:pt idx="2">
                  <c:v>0.13392857142857142</c:v>
                </c:pt>
                <c:pt idx="3">
                  <c:v>0.35714285714285715</c:v>
                </c:pt>
                <c:pt idx="4">
                  <c:v>0.5892857142857143</c:v>
                </c:pt>
                <c:pt idx="5">
                  <c:v>0.25892857142857145</c:v>
                </c:pt>
                <c:pt idx="6">
                  <c:v>0.4107142857142857</c:v>
                </c:pt>
              </c:numCache>
            </c:numRef>
          </c:val>
          <c:extLst>
            <c:ext xmlns:c16="http://schemas.microsoft.com/office/drawing/2014/chart" uri="{C3380CC4-5D6E-409C-BE32-E72D297353CC}">
              <c16:uniqueId val="{00000001-0FA3-46C5-812C-A5E09FA581DB}"/>
            </c:ext>
          </c:extLst>
        </c:ser>
        <c:ser>
          <c:idx val="2"/>
          <c:order val="2"/>
          <c:tx>
            <c:strRef>
              <c:f>'Fig 5. and Fig6. QA Questions'!$X$5</c:f>
              <c:strCache>
                <c:ptCount val="1"/>
                <c:pt idx="0">
                  <c:v>No</c:v>
                </c:pt>
              </c:strCache>
            </c:strRef>
          </c:tx>
          <c:spPr>
            <a:solidFill>
              <a:srgbClr val="C00000"/>
            </a:solidFill>
            <a:ln>
              <a:solidFill>
                <a:srgbClr val="C0000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5. and Fig6. QA Questions'!$H$2:$Q$2</c15:sqref>
                  </c15:fullRef>
                </c:ext>
              </c:extLst>
              <c:f>'Fig 5. and Fig6. QA Questions'!$H$2:$N$2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'Fig 5. and Fig6. QA Questions'!$X$6:$X$15</c15:sqref>
                  </c15:fullRef>
                </c:ext>
              </c:extLst>
              <c:f>'Fig 5. and Fig6. QA Questions'!$X$6:$X$12</c:f>
              <c:numCache>
                <c:formatCode>General</c:formatCode>
                <c:ptCount val="7"/>
                <c:pt idx="0">
                  <c:v>0</c:v>
                </c:pt>
                <c:pt idx="1">
                  <c:v>0.20135714285714285</c:v>
                </c:pt>
                <c:pt idx="2">
                  <c:v>0</c:v>
                </c:pt>
                <c:pt idx="3">
                  <c:v>0.41964285714285715</c:v>
                </c:pt>
                <c:pt idx="4">
                  <c:v>0.20435714285714285</c:v>
                </c:pt>
                <c:pt idx="5">
                  <c:v>0.124</c:v>
                </c:pt>
                <c:pt idx="6">
                  <c:v>0.11607142857142858</c:v>
                </c:pt>
              </c:numCache>
            </c:numRef>
          </c:val>
          <c:extLst>
            <c:ext xmlns:c16="http://schemas.microsoft.com/office/drawing/2014/chart" uri="{C3380CC4-5D6E-409C-BE32-E72D297353CC}">
              <c16:uniqueId val="{00000002-0FA3-46C5-812C-A5E09FA581DB}"/>
            </c:ext>
          </c:extLst>
        </c:ser>
        <c:dLbls>
          <c:dLblPos val="outEnd"/>
          <c:showLegendKey val="0"/>
          <c:showVal val="1"/>
          <c:showCatName val="0"/>
          <c:showSerName val="0"/>
          <c:showPercent val="0"/>
          <c:showBubbleSize val="0"/>
        </c:dLbls>
        <c:gapWidth val="219"/>
        <c:overlap val="-27"/>
        <c:axId val="496205263"/>
        <c:axId val="496203183"/>
      </c:barChart>
      <c:catAx>
        <c:axId val="4962052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3183"/>
        <c:crosses val="autoZero"/>
        <c:auto val="0"/>
        <c:lblAlgn val="ctr"/>
        <c:lblOffset val="100"/>
        <c:noMultiLvlLbl val="0"/>
      </c:catAx>
      <c:valAx>
        <c:axId val="49620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5263"/>
        <c:crosses val="autoZero"/>
        <c:crossBetween val="between"/>
      </c:valAx>
      <c:spPr>
        <a:noFill/>
        <a:ln>
          <a:noFill/>
        </a:ln>
        <a:effectLst/>
      </c:spPr>
    </c:plotArea>
    <c:legend>
      <c:legendPos val="b"/>
      <c:layout>
        <c:manualLayout>
          <c:xMode val="edge"/>
          <c:yMode val="edge"/>
          <c:x val="0.35189481735616729"/>
          <c:y val="0.87110255103004208"/>
          <c:w val="0.29804944548111933"/>
          <c:h val="8.09358182745142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73577142598671"/>
          <c:y val="1.4668588961591071E-3"/>
          <c:w val="0.81424077375502835"/>
          <c:h val="0.77171416953162542"/>
        </c:manualLayout>
      </c:layout>
      <c:pie3DChart>
        <c:varyColors val="1"/>
        <c:ser>
          <c:idx val="0"/>
          <c:order val="0"/>
          <c:tx>
            <c:strRef>
              <c:f>'Fig 5. and Fig6. QA Questions'!$H$2</c:f>
              <c:strCache>
                <c:ptCount val="1"/>
                <c:pt idx="0">
                  <c:v>QA1</c:v>
                </c:pt>
              </c:strCache>
            </c:strRef>
          </c:tx>
          <c:explosion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C64-4355-ADEB-9FCD743672A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C64-4355-ADEB-9FCD743672A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C64-4355-ADEB-9FCD743672A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C64-4355-ADEB-9FCD743672AE}"/>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CC64-4355-ADEB-9FCD743672AE}"/>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CC64-4355-ADEB-9FCD743672AE}"/>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C64-4355-ADEB-9FCD743672A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64-4355-ADEB-9FCD743672A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C64-4355-ADEB-9FCD743672A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C64-4355-ADEB-9FCD743672A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C64-4355-ADEB-9FCD743672A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C64-4355-ADEB-9FCD743672A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C64-4355-ADEB-9FCD743672AE}"/>
                </c:ext>
              </c:extLst>
            </c:dLbl>
            <c:spPr>
              <a:noFill/>
              <a:ln>
                <a:noFill/>
              </a:ln>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Ref>
              <c:f>'Fig 5. and Fig6. QA Questions'!$H$117:$N$117</c:f>
              <c:numCache>
                <c:formatCode>0%</c:formatCode>
                <c:ptCount val="7"/>
                <c:pt idx="0">
                  <c:v>0.19636363636363635</c:v>
                </c:pt>
                <c:pt idx="1">
                  <c:v>0.14181818181818182</c:v>
                </c:pt>
                <c:pt idx="2">
                  <c:v>0.19</c:v>
                </c:pt>
                <c:pt idx="3">
                  <c:v>8.1818181818181818E-2</c:v>
                </c:pt>
                <c:pt idx="4">
                  <c:v>0.10181818181818182</c:v>
                </c:pt>
                <c:pt idx="5">
                  <c:v>0.15181818181818182</c:v>
                </c:pt>
                <c:pt idx="6">
                  <c:v>0.13818181818181818</c:v>
                </c:pt>
              </c:numCache>
            </c:numRef>
          </c:val>
          <c:extLst>
            <c:ext xmlns:c16="http://schemas.microsoft.com/office/drawing/2014/chart" uri="{C3380CC4-5D6E-409C-BE32-E72D297353CC}">
              <c16:uniqueId val="{0000000E-CC64-4355-ADEB-9FCD743672AE}"/>
            </c:ext>
          </c:extLst>
        </c:ser>
        <c:ser>
          <c:idx val="1"/>
          <c:order val="1"/>
          <c:tx>
            <c:strRef>
              <c:f>'Fig 5. and Fig6. QA Questions'!$I$2</c:f>
              <c:strCache>
                <c:ptCount val="1"/>
                <c:pt idx="0">
                  <c:v>QA2</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2</c:v>
              </c:pt>
            </c:numLit>
          </c:val>
          <c:extLst>
            <c:ext xmlns:c16="http://schemas.microsoft.com/office/drawing/2014/chart" uri="{C3380CC4-5D6E-409C-BE32-E72D297353CC}">
              <c16:uniqueId val="{00000011-CC64-4355-ADEB-9FCD743672AE}"/>
            </c:ext>
          </c:extLst>
        </c:ser>
        <c:ser>
          <c:idx val="2"/>
          <c:order val="2"/>
          <c:tx>
            <c:strRef>
              <c:f>'Fig 5. and Fig6. QA Questions'!$J$2</c:f>
              <c:strCache>
                <c:ptCount val="1"/>
                <c:pt idx="0">
                  <c:v>QA3</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3</c:v>
              </c:pt>
            </c:numLit>
          </c:val>
          <c:extLst>
            <c:ext xmlns:c16="http://schemas.microsoft.com/office/drawing/2014/chart" uri="{C3380CC4-5D6E-409C-BE32-E72D297353CC}">
              <c16:uniqueId val="{00000014-CC64-4355-ADEB-9FCD743672AE}"/>
            </c:ext>
          </c:extLst>
        </c:ser>
        <c:ser>
          <c:idx val="4"/>
          <c:order val="3"/>
          <c:tx>
            <c:strRef>
              <c:f>'Quality Assessment'!#REF!</c:f>
              <c:strCache>
                <c:ptCount val="1"/>
                <c:pt idx="0">
                  <c:v>#REF!</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5</c:v>
              </c:pt>
            </c:numLit>
          </c:val>
          <c:extLst>
            <c:ext xmlns:c16="http://schemas.microsoft.com/office/drawing/2014/chart" uri="{C3380CC4-5D6E-409C-BE32-E72D297353CC}">
              <c16:uniqueId val="{00000017-CC64-4355-ADEB-9FCD743672AE}"/>
            </c:ext>
          </c:extLst>
        </c:ser>
        <c:ser>
          <c:idx val="3"/>
          <c:order val="4"/>
          <c:tx>
            <c:strRef>
              <c:f>'Fig 5. and Fig6. QA Questions'!$K$2</c:f>
              <c:strCache>
                <c:ptCount val="1"/>
                <c:pt idx="0">
                  <c:v>QA4</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4</c:v>
              </c:pt>
            </c:numLit>
          </c:val>
          <c:extLst>
            <c:ext xmlns:c16="http://schemas.microsoft.com/office/drawing/2014/chart" uri="{C3380CC4-5D6E-409C-BE32-E72D297353CC}">
              <c16:uniqueId val="{0000001A-CC64-4355-ADEB-9FCD743672AE}"/>
            </c:ext>
          </c:extLst>
        </c:ser>
        <c:ser>
          <c:idx val="5"/>
          <c:order val="5"/>
          <c:tx>
            <c:strRef>
              <c:f>'Fig 5. and Fig6. QA Questions'!$M$2</c:f>
              <c:strCache>
                <c:ptCount val="1"/>
                <c:pt idx="0">
                  <c:v>QA6</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C-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6</c:v>
              </c:pt>
            </c:numLit>
          </c:val>
          <c:extLst>
            <c:ext xmlns:c16="http://schemas.microsoft.com/office/drawing/2014/chart" uri="{C3380CC4-5D6E-409C-BE32-E72D297353CC}">
              <c16:uniqueId val="{0000001D-CC64-4355-ADEB-9FCD743672AE}"/>
            </c:ext>
          </c:extLst>
        </c:ser>
        <c:ser>
          <c:idx val="6"/>
          <c:order val="6"/>
          <c:tx>
            <c:strRef>
              <c:f>'Fig 5. and Fig6. QA Questions'!$N$2</c:f>
              <c:strCache>
                <c:ptCount val="1"/>
                <c:pt idx="0">
                  <c:v>QA7</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7</c:v>
              </c:pt>
            </c:numLit>
          </c:val>
          <c:extLst>
            <c:ext xmlns:c16="http://schemas.microsoft.com/office/drawing/2014/chart" uri="{C3380CC4-5D6E-409C-BE32-E72D297353CC}">
              <c16:uniqueId val="{00000020-CC64-4355-ADEB-9FCD743672AE}"/>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8195014584215928E-2"/>
          <c:y val="0.13930555555555554"/>
          <c:w val="0.90286351706036749"/>
          <c:h val="0.72088764946048411"/>
        </c:manualLayout>
      </c:layout>
      <c:barChart>
        <c:barDir val="col"/>
        <c:grouping val="clustered"/>
        <c:varyColors val="0"/>
        <c:ser>
          <c:idx val="1"/>
          <c:order val="0"/>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 Publication Year'!$B$1:$V$1</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'Fig 7. Publication Year'!$B$2:$V$2</c:f>
              <c:numCache>
                <c:formatCode>General</c:formatCode>
                <c:ptCount val="21"/>
                <c:pt idx="0">
                  <c:v>1</c:v>
                </c:pt>
                <c:pt idx="1">
                  <c:v>0</c:v>
                </c:pt>
                <c:pt idx="2">
                  <c:v>2</c:v>
                </c:pt>
                <c:pt idx="3">
                  <c:v>0</c:v>
                </c:pt>
                <c:pt idx="4">
                  <c:v>3</c:v>
                </c:pt>
                <c:pt idx="5">
                  <c:v>3</c:v>
                </c:pt>
                <c:pt idx="6">
                  <c:v>4</c:v>
                </c:pt>
                <c:pt idx="7">
                  <c:v>2</c:v>
                </c:pt>
                <c:pt idx="8">
                  <c:v>7</c:v>
                </c:pt>
                <c:pt idx="9">
                  <c:v>10</c:v>
                </c:pt>
                <c:pt idx="10">
                  <c:v>6</c:v>
                </c:pt>
                <c:pt idx="11">
                  <c:v>5</c:v>
                </c:pt>
                <c:pt idx="12">
                  <c:v>8</c:v>
                </c:pt>
                <c:pt idx="13">
                  <c:v>7</c:v>
                </c:pt>
                <c:pt idx="14">
                  <c:v>7</c:v>
                </c:pt>
                <c:pt idx="15">
                  <c:v>6</c:v>
                </c:pt>
                <c:pt idx="16">
                  <c:v>7</c:v>
                </c:pt>
                <c:pt idx="17">
                  <c:v>6</c:v>
                </c:pt>
                <c:pt idx="18">
                  <c:v>8</c:v>
                </c:pt>
                <c:pt idx="19">
                  <c:v>9</c:v>
                </c:pt>
                <c:pt idx="20">
                  <c:v>4</c:v>
                </c:pt>
              </c:numCache>
            </c:numRef>
          </c:val>
          <c:extLst>
            <c:ext xmlns:c16="http://schemas.microsoft.com/office/drawing/2014/chart" uri="{C3380CC4-5D6E-409C-BE32-E72D297353CC}">
              <c16:uniqueId val="{00000003-4AF4-4F1D-9184-C9197CF112F2}"/>
            </c:ext>
          </c:extLst>
        </c:ser>
        <c:dLbls>
          <c:showLegendKey val="0"/>
          <c:showVal val="0"/>
          <c:showCatName val="0"/>
          <c:showSerName val="0"/>
          <c:showPercent val="0"/>
          <c:showBubbleSize val="0"/>
        </c:dLbls>
        <c:gapWidth val="219"/>
        <c:overlap val="-27"/>
        <c:axId val="374200272"/>
        <c:axId val="374189936"/>
      </c:barChart>
      <c:catAx>
        <c:axId val="37420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89936"/>
        <c:crosses val="autoZero"/>
        <c:auto val="1"/>
        <c:lblAlgn val="ctr"/>
        <c:lblOffset val="100"/>
        <c:noMultiLvlLbl val="0"/>
      </c:catAx>
      <c:valAx>
        <c:axId val="37418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solidFill>
                      <a:sysClr val="windowText" lastClr="000000"/>
                    </a:solidFill>
                  </a:rPr>
                  <a:t>Number of Articles</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20027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bg1"/>
            </a:solidFill>
            <a:ln w="12700">
              <a:solidFill>
                <a:schemeClr val="tx1">
                  <a:lumMod val="85000"/>
                  <a:lumOff val="15000"/>
                </a:schemeClr>
              </a:solidFill>
            </a:ln>
            <a:effectLst>
              <a:outerShdw blurRad="50800" dist="38100" dir="2700000" algn="tl" rotWithShape="0">
                <a:prstClr val="black">
                  <a:alpha val="40000"/>
                </a:prstClr>
              </a:outerShdw>
            </a:effectLst>
          </c:spPr>
          <c:invertIfNegative val="0"/>
          <c:dLbls>
            <c:dLbl>
              <c:idx val="0"/>
              <c:tx>
                <c:rich>
                  <a:bodyPr/>
                  <a:lstStyle/>
                  <a:p>
                    <a:fld id="{8F280139-4C2F-47AC-9AED-0C9A763087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CE9-4D7C-94B0-BCF648136F3D}"/>
                </c:ext>
              </c:extLst>
            </c:dLbl>
            <c:dLbl>
              <c:idx val="1"/>
              <c:tx>
                <c:rich>
                  <a:bodyPr/>
                  <a:lstStyle/>
                  <a:p>
                    <a:fld id="{8CF283ED-714C-47B6-A318-A8186F452F0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CE9-4D7C-94B0-BCF648136F3D}"/>
                </c:ext>
              </c:extLst>
            </c:dLbl>
            <c:dLbl>
              <c:idx val="2"/>
              <c:tx>
                <c:rich>
                  <a:bodyPr/>
                  <a:lstStyle/>
                  <a:p>
                    <a:fld id="{0E3D2A9F-BB3A-4E3C-8881-2FB7E2E7204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CE9-4D7C-94B0-BCF648136F3D}"/>
                </c:ext>
              </c:extLst>
            </c:dLbl>
            <c:dLbl>
              <c:idx val="3"/>
              <c:tx>
                <c:rich>
                  <a:bodyPr/>
                  <a:lstStyle/>
                  <a:p>
                    <a:fld id="{8980C32E-2287-46E9-980C-8943B2456D4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E9-4D7C-94B0-BCF648136F3D}"/>
                </c:ext>
              </c:extLst>
            </c:dLbl>
            <c:dLbl>
              <c:idx val="4"/>
              <c:tx>
                <c:rich>
                  <a:bodyPr/>
                  <a:lstStyle/>
                  <a:p>
                    <a:fld id="{41D17771-7EDE-44C4-BB48-E0E467FB78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E9-4D7C-94B0-BCF648136F3D}"/>
                </c:ext>
              </c:extLst>
            </c:dLbl>
            <c:dLbl>
              <c:idx val="5"/>
              <c:tx>
                <c:rich>
                  <a:bodyPr/>
                  <a:lstStyle/>
                  <a:p>
                    <a:fld id="{9E29055F-6403-4232-9E0A-DC25336459E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CE9-4D7C-94B0-BCF648136F3D}"/>
                </c:ext>
              </c:extLst>
            </c:dLbl>
            <c:dLbl>
              <c:idx val="6"/>
              <c:tx>
                <c:rich>
                  <a:bodyPr/>
                  <a:lstStyle/>
                  <a:p>
                    <a:fld id="{174B689B-BA0F-4F7F-AD7B-D75F8B736C3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E9-4D7C-94B0-BCF648136F3D}"/>
                </c:ext>
              </c:extLst>
            </c:dLbl>
            <c:dLbl>
              <c:idx val="7"/>
              <c:tx>
                <c:rich>
                  <a:bodyPr/>
                  <a:lstStyle/>
                  <a:p>
                    <a:fld id="{0787FBAE-8CC8-48C3-9B09-B46F381FFE1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CE9-4D7C-94B0-BCF648136F3D}"/>
                </c:ext>
              </c:extLst>
            </c:dLbl>
            <c:dLbl>
              <c:idx val="8"/>
              <c:tx>
                <c:rich>
                  <a:bodyPr/>
                  <a:lstStyle/>
                  <a:p>
                    <a:fld id="{47D299F3-C0B9-446C-B904-07D86505FD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E9-4D7C-94B0-BCF648136F3D}"/>
                </c:ext>
              </c:extLst>
            </c:dLbl>
            <c:dLbl>
              <c:idx val="9"/>
              <c:tx>
                <c:rich>
                  <a:bodyPr/>
                  <a:lstStyle/>
                  <a:p>
                    <a:fld id="{0633A60A-1990-4FE2-BD95-D865ADF629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CE9-4D7C-94B0-BCF648136F3D}"/>
                </c:ext>
              </c:extLst>
            </c:dLbl>
            <c:dLbl>
              <c:idx val="10"/>
              <c:tx>
                <c:rich>
                  <a:bodyPr/>
                  <a:lstStyle/>
                  <a:p>
                    <a:fld id="{0AAD5011-5C02-4727-92F5-4802BBD9504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E9-4D7C-94B0-BCF648136F3D}"/>
                </c:ext>
              </c:extLst>
            </c:dLbl>
            <c:dLbl>
              <c:idx val="11"/>
              <c:tx>
                <c:rich>
                  <a:bodyPr/>
                  <a:lstStyle/>
                  <a:p>
                    <a:fld id="{D97A0247-6C75-444F-B8B4-E852A6B4C25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E9-4D7C-94B0-BCF648136F3D}"/>
                </c:ext>
              </c:extLst>
            </c:dLbl>
            <c:dLbl>
              <c:idx val="12"/>
              <c:tx>
                <c:rich>
                  <a:bodyPr/>
                  <a:lstStyle/>
                  <a:p>
                    <a:fld id="{A1DC88C2-EFFA-4858-87A4-6DB13EFA8E1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E9-4D7C-94B0-BCF648136F3D}"/>
                </c:ext>
              </c:extLst>
            </c:dLbl>
            <c:dLbl>
              <c:idx val="13"/>
              <c:tx>
                <c:rich>
                  <a:bodyPr/>
                  <a:lstStyle/>
                  <a:p>
                    <a:fld id="{FD50FA23-4213-47E3-9DD4-C9DD84299BB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E9-4D7C-94B0-BCF648136F3D}"/>
                </c:ext>
              </c:extLst>
            </c:dLbl>
            <c:dLbl>
              <c:idx val="14"/>
              <c:tx>
                <c:rich>
                  <a:bodyPr/>
                  <a:lstStyle/>
                  <a:p>
                    <a:fld id="{8680BD7C-87D6-4AE9-B186-C4E02FA2690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E9-4D7C-94B0-BCF648136F3D}"/>
                </c:ext>
              </c:extLst>
            </c:dLbl>
            <c:dLbl>
              <c:idx val="15"/>
              <c:tx>
                <c:rich>
                  <a:bodyPr/>
                  <a:lstStyle/>
                  <a:p>
                    <a:fld id="{543CCABE-6AAB-45C8-9C64-4D5B7B3096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E9-4D7C-94B0-BCF648136F3D}"/>
                </c:ext>
              </c:extLst>
            </c:dLbl>
            <c:dLbl>
              <c:idx val="16"/>
              <c:tx>
                <c:rich>
                  <a:bodyPr/>
                  <a:lstStyle/>
                  <a:p>
                    <a:fld id="{032FD6D5-3F29-4A71-BC49-51CF6803FE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E9-4D7C-94B0-BCF648136F3D}"/>
                </c:ext>
              </c:extLst>
            </c:dLbl>
            <c:dLbl>
              <c:idx val="17"/>
              <c:tx>
                <c:rich>
                  <a:bodyPr/>
                  <a:lstStyle/>
                  <a:p>
                    <a:fld id="{CD07F89E-976E-4B99-BCFC-E435BC725A6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CE9-4D7C-94B0-BCF648136F3D}"/>
                </c:ext>
              </c:extLst>
            </c:dLbl>
            <c:dLbl>
              <c:idx val="18"/>
              <c:tx>
                <c:rich>
                  <a:bodyPr/>
                  <a:lstStyle/>
                  <a:p>
                    <a:fld id="{3BB924AB-34B8-4CBF-B42C-BD4ED27087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FCE9-4D7C-94B0-BCF648136F3D}"/>
                </c:ext>
              </c:extLst>
            </c:dLbl>
            <c:dLbl>
              <c:idx val="19"/>
              <c:tx>
                <c:rich>
                  <a:bodyPr/>
                  <a:lstStyle/>
                  <a:p>
                    <a:fld id="{292E98A2-0798-4702-888C-204DC47D7D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FCE9-4D7C-94B0-BCF648136F3D}"/>
                </c:ext>
              </c:extLst>
            </c:dLbl>
            <c:dLbl>
              <c:idx val="20"/>
              <c:tx>
                <c:rich>
                  <a:bodyPr/>
                  <a:lstStyle/>
                  <a:p>
                    <a:fld id="{0D85A8A2-9A87-4B84-962C-5034DB83667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FCE9-4D7C-94B0-BCF648136F3D}"/>
                </c:ext>
              </c:extLst>
            </c:dLbl>
            <c:dLbl>
              <c:idx val="21"/>
              <c:tx>
                <c:rich>
                  <a:bodyPr/>
                  <a:lstStyle/>
                  <a:p>
                    <a:fld id="{1DA897F0-E777-41D0-8C01-5CCDE6B3C67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FCE9-4D7C-94B0-BCF648136F3D}"/>
                </c:ext>
              </c:extLst>
            </c:dLbl>
            <c:dLbl>
              <c:idx val="22"/>
              <c:tx>
                <c:rich>
                  <a:bodyPr/>
                  <a:lstStyle/>
                  <a:p>
                    <a:fld id="{1243CD09-07CD-4742-BEA7-EB89E65F7F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FCE9-4D7C-94B0-BCF648136F3D}"/>
                </c:ext>
              </c:extLst>
            </c:dLbl>
            <c:dLbl>
              <c:idx val="23"/>
              <c:tx>
                <c:rich>
                  <a:bodyPr/>
                  <a:lstStyle/>
                  <a:p>
                    <a:fld id="{E1644D4B-9382-4714-8632-535B5262A9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FCE9-4D7C-94B0-BCF648136F3D}"/>
                </c:ext>
              </c:extLst>
            </c:dLbl>
            <c:dLbl>
              <c:idx val="24"/>
              <c:tx>
                <c:rich>
                  <a:bodyPr/>
                  <a:lstStyle/>
                  <a:p>
                    <a:fld id="{0DACE9A3-2CFA-4531-ACA5-062683D5914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FCE9-4D7C-94B0-BCF648136F3D}"/>
                </c:ext>
              </c:extLst>
            </c:dLbl>
            <c:dLbl>
              <c:idx val="25"/>
              <c:tx>
                <c:rich>
                  <a:bodyPr/>
                  <a:lstStyle/>
                  <a:p>
                    <a:fld id="{9F49109F-5E74-42F8-8E9F-838586651CA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FCE9-4D7C-94B0-BCF648136F3D}"/>
                </c:ext>
              </c:extLst>
            </c:dLbl>
            <c:dLbl>
              <c:idx val="26"/>
              <c:tx>
                <c:rich>
                  <a:bodyPr/>
                  <a:lstStyle/>
                  <a:p>
                    <a:fld id="{376DD8A0-5154-479D-8CE0-A0919DFA35F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FCE9-4D7C-94B0-BCF648136F3D}"/>
                </c:ext>
              </c:extLst>
            </c:dLbl>
            <c:dLbl>
              <c:idx val="27"/>
              <c:tx>
                <c:rich>
                  <a:bodyPr/>
                  <a:lstStyle/>
                  <a:p>
                    <a:fld id="{FCC37C7E-C73A-42A8-88A7-EF881D47D9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FCE9-4D7C-94B0-BCF648136F3D}"/>
                </c:ext>
              </c:extLst>
            </c:dLbl>
            <c:dLbl>
              <c:idx val="28"/>
              <c:tx>
                <c:rich>
                  <a:bodyPr/>
                  <a:lstStyle/>
                  <a:p>
                    <a:fld id="{204E1EF4-9B03-4BA7-BA94-CAB9D28D47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FCE9-4D7C-94B0-BCF648136F3D}"/>
                </c:ext>
              </c:extLst>
            </c:dLbl>
            <c:dLbl>
              <c:idx val="29"/>
              <c:tx>
                <c:rich>
                  <a:bodyPr/>
                  <a:lstStyle/>
                  <a:p>
                    <a:fld id="{949857C8-3C8D-4758-8A0B-A5F8FB7D75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FCE9-4D7C-94B0-BCF648136F3D}"/>
                </c:ext>
              </c:extLst>
            </c:dLbl>
            <c:dLbl>
              <c:idx val="30"/>
              <c:tx>
                <c:rich>
                  <a:bodyPr/>
                  <a:lstStyle/>
                  <a:p>
                    <a:fld id="{40358562-822B-4A31-9F9F-178207B49D1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FCE9-4D7C-94B0-BCF648136F3D}"/>
                </c:ext>
              </c:extLst>
            </c:dLbl>
            <c:dLbl>
              <c:idx val="31"/>
              <c:tx>
                <c:rich>
                  <a:bodyPr/>
                  <a:lstStyle/>
                  <a:p>
                    <a:fld id="{6EBF59D2-79AA-4969-8CAC-0C7BDE63C00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FCE9-4D7C-94B0-BCF648136F3D}"/>
                </c:ext>
              </c:extLst>
            </c:dLbl>
            <c:dLbl>
              <c:idx val="32"/>
              <c:tx>
                <c:rich>
                  <a:bodyPr/>
                  <a:lstStyle/>
                  <a:p>
                    <a:fld id="{2A810509-FC91-4183-AAF2-78E8CB9BC61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FCE9-4D7C-94B0-BCF648136F3D}"/>
                </c:ext>
              </c:extLst>
            </c:dLbl>
            <c:dLbl>
              <c:idx val="33"/>
              <c:tx>
                <c:rich>
                  <a:bodyPr/>
                  <a:lstStyle/>
                  <a:p>
                    <a:fld id="{2220FCFC-CAC4-4811-A017-C64E0856D1D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FCE9-4D7C-94B0-BCF648136F3D}"/>
                </c:ext>
              </c:extLst>
            </c:dLbl>
            <c:dLbl>
              <c:idx val="34"/>
              <c:tx>
                <c:rich>
                  <a:bodyPr/>
                  <a:lstStyle/>
                  <a:p>
                    <a:fld id="{2C17589E-5EC1-4932-A565-58775E19FF0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FCE9-4D7C-94B0-BCF648136F3D}"/>
                </c:ext>
              </c:extLst>
            </c:dLbl>
            <c:dLbl>
              <c:idx val="35"/>
              <c:tx>
                <c:rich>
                  <a:bodyPr/>
                  <a:lstStyle/>
                  <a:p>
                    <a:fld id="{1A92259E-F309-4093-AF75-CA0AA654A1C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FCE9-4D7C-94B0-BCF648136F3D}"/>
                </c:ext>
              </c:extLst>
            </c:dLbl>
            <c:dLbl>
              <c:idx val="36"/>
              <c:tx>
                <c:rich>
                  <a:bodyPr/>
                  <a:lstStyle/>
                  <a:p>
                    <a:fld id="{A5ACA984-3265-491B-925F-C073AF027A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FCE9-4D7C-94B0-BCF648136F3D}"/>
                </c:ext>
              </c:extLst>
            </c:dLbl>
            <c:dLbl>
              <c:idx val="37"/>
              <c:tx>
                <c:rich>
                  <a:bodyPr/>
                  <a:lstStyle/>
                  <a:p>
                    <a:fld id="{49E668FF-7BAC-4BCA-AE9F-79885528DE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FCE9-4D7C-94B0-BCF648136F3D}"/>
                </c:ext>
              </c:extLst>
            </c:dLbl>
            <c:dLbl>
              <c:idx val="38"/>
              <c:tx>
                <c:rich>
                  <a:bodyPr/>
                  <a:lstStyle/>
                  <a:p>
                    <a:fld id="{6EBC1D10-8101-4BB8-A361-F164A30379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FCE9-4D7C-94B0-BCF648136F3D}"/>
                </c:ext>
              </c:extLst>
            </c:dLbl>
            <c:dLbl>
              <c:idx val="39"/>
              <c:tx>
                <c:rich>
                  <a:bodyPr/>
                  <a:lstStyle/>
                  <a:p>
                    <a:fld id="{FAE4CC35-49D4-4E58-A118-C06C8589339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FCE9-4D7C-94B0-BCF648136F3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 9. SM Analysis'!$C$16:$C$55</c:f>
              <c:numCache>
                <c:formatCode>General</c:formatCode>
                <c:ptCount val="40"/>
                <c:pt idx="0">
                  <c:v>2</c:v>
                </c:pt>
                <c:pt idx="1">
                  <c:v>3</c:v>
                </c:pt>
                <c:pt idx="2">
                  <c:v>4</c:v>
                </c:pt>
                <c:pt idx="3">
                  <c:v>-2</c:v>
                </c:pt>
                <c:pt idx="4">
                  <c:v>-3</c:v>
                </c:pt>
                <c:pt idx="5">
                  <c:v>-4</c:v>
                </c:pt>
                <c:pt idx="6">
                  <c:v>-5</c:v>
                </c:pt>
                <c:pt idx="7">
                  <c:v>-6</c:v>
                </c:pt>
                <c:pt idx="8">
                  <c:v>2</c:v>
                </c:pt>
                <c:pt idx="9">
                  <c:v>3</c:v>
                </c:pt>
                <c:pt idx="10">
                  <c:v>4</c:v>
                </c:pt>
                <c:pt idx="11">
                  <c:v>-2</c:v>
                </c:pt>
                <c:pt idx="12">
                  <c:v>-3</c:v>
                </c:pt>
                <c:pt idx="13">
                  <c:v>-4</c:v>
                </c:pt>
                <c:pt idx="14">
                  <c:v>-5</c:v>
                </c:pt>
                <c:pt idx="15">
                  <c:v>-6</c:v>
                </c:pt>
                <c:pt idx="16">
                  <c:v>2</c:v>
                </c:pt>
                <c:pt idx="17">
                  <c:v>3</c:v>
                </c:pt>
                <c:pt idx="18">
                  <c:v>4</c:v>
                </c:pt>
                <c:pt idx="19">
                  <c:v>-2</c:v>
                </c:pt>
                <c:pt idx="20">
                  <c:v>-3</c:v>
                </c:pt>
                <c:pt idx="21">
                  <c:v>-4</c:v>
                </c:pt>
                <c:pt idx="22">
                  <c:v>-5</c:v>
                </c:pt>
                <c:pt idx="23">
                  <c:v>-6</c:v>
                </c:pt>
                <c:pt idx="24">
                  <c:v>2</c:v>
                </c:pt>
                <c:pt idx="25">
                  <c:v>3</c:v>
                </c:pt>
                <c:pt idx="26">
                  <c:v>4</c:v>
                </c:pt>
                <c:pt idx="27">
                  <c:v>-2</c:v>
                </c:pt>
                <c:pt idx="28">
                  <c:v>-3</c:v>
                </c:pt>
                <c:pt idx="29">
                  <c:v>-4</c:v>
                </c:pt>
                <c:pt idx="30">
                  <c:v>-5</c:v>
                </c:pt>
                <c:pt idx="31">
                  <c:v>-6</c:v>
                </c:pt>
                <c:pt idx="32">
                  <c:v>2</c:v>
                </c:pt>
                <c:pt idx="33">
                  <c:v>3</c:v>
                </c:pt>
                <c:pt idx="34">
                  <c:v>4</c:v>
                </c:pt>
                <c:pt idx="35">
                  <c:v>-2</c:v>
                </c:pt>
                <c:pt idx="36">
                  <c:v>-3</c:v>
                </c:pt>
                <c:pt idx="37">
                  <c:v>-4</c:v>
                </c:pt>
                <c:pt idx="38">
                  <c:v>-5</c:v>
                </c:pt>
                <c:pt idx="39">
                  <c:v>-6</c:v>
                </c:pt>
              </c:numCache>
            </c:numRef>
          </c:xVal>
          <c:yVal>
            <c:numRef>
              <c:f>'Fig 9. SM Analysis'!$D$16:$D$55</c:f>
              <c:numCache>
                <c:formatCode>General</c:formatCode>
                <c:ptCount val="40"/>
                <c:pt idx="0">
                  <c:v>1</c:v>
                </c:pt>
                <c:pt idx="1">
                  <c:v>1</c:v>
                </c:pt>
                <c:pt idx="2">
                  <c:v>1</c:v>
                </c:pt>
                <c:pt idx="3">
                  <c:v>1</c:v>
                </c:pt>
                <c:pt idx="4">
                  <c:v>1</c:v>
                </c:pt>
                <c:pt idx="5">
                  <c:v>1</c:v>
                </c:pt>
                <c:pt idx="6">
                  <c:v>1</c:v>
                </c:pt>
                <c:pt idx="7">
                  <c:v>1</c:v>
                </c:pt>
                <c:pt idx="8">
                  <c:v>2</c:v>
                </c:pt>
                <c:pt idx="9">
                  <c:v>2</c:v>
                </c:pt>
                <c:pt idx="10">
                  <c:v>2</c:v>
                </c:pt>
                <c:pt idx="11">
                  <c:v>2</c:v>
                </c:pt>
                <c:pt idx="12">
                  <c:v>2</c:v>
                </c:pt>
                <c:pt idx="13">
                  <c:v>2</c:v>
                </c:pt>
                <c:pt idx="14">
                  <c:v>2</c:v>
                </c:pt>
                <c:pt idx="15">
                  <c:v>2</c:v>
                </c:pt>
                <c:pt idx="16">
                  <c:v>3</c:v>
                </c:pt>
                <c:pt idx="17">
                  <c:v>3</c:v>
                </c:pt>
                <c:pt idx="18">
                  <c:v>3</c:v>
                </c:pt>
                <c:pt idx="19">
                  <c:v>3</c:v>
                </c:pt>
                <c:pt idx="20">
                  <c:v>3</c:v>
                </c:pt>
                <c:pt idx="21">
                  <c:v>3</c:v>
                </c:pt>
                <c:pt idx="22">
                  <c:v>3</c:v>
                </c:pt>
                <c:pt idx="23">
                  <c:v>3</c:v>
                </c:pt>
                <c:pt idx="24">
                  <c:v>4</c:v>
                </c:pt>
                <c:pt idx="25">
                  <c:v>4</c:v>
                </c:pt>
                <c:pt idx="26">
                  <c:v>4</c:v>
                </c:pt>
                <c:pt idx="27">
                  <c:v>4</c:v>
                </c:pt>
                <c:pt idx="28">
                  <c:v>4</c:v>
                </c:pt>
                <c:pt idx="29">
                  <c:v>4</c:v>
                </c:pt>
                <c:pt idx="30">
                  <c:v>4</c:v>
                </c:pt>
                <c:pt idx="31">
                  <c:v>4</c:v>
                </c:pt>
                <c:pt idx="32">
                  <c:v>5</c:v>
                </c:pt>
                <c:pt idx="33">
                  <c:v>5</c:v>
                </c:pt>
                <c:pt idx="34">
                  <c:v>5</c:v>
                </c:pt>
                <c:pt idx="35">
                  <c:v>5</c:v>
                </c:pt>
                <c:pt idx="36">
                  <c:v>5</c:v>
                </c:pt>
                <c:pt idx="37">
                  <c:v>5</c:v>
                </c:pt>
                <c:pt idx="38">
                  <c:v>5</c:v>
                </c:pt>
                <c:pt idx="39">
                  <c:v>5</c:v>
                </c:pt>
              </c:numCache>
            </c:numRef>
          </c:yVal>
          <c:bubbleSize>
            <c:numRef>
              <c:f>'Fig 9. SM Analysis'!$E$16:$E$55</c:f>
              <c:numCache>
                <c:formatCode>General</c:formatCode>
                <c:ptCount val="40"/>
                <c:pt idx="0">
                  <c:v>14</c:v>
                </c:pt>
                <c:pt idx="1">
                  <c:v>31</c:v>
                </c:pt>
                <c:pt idx="2">
                  <c:v>5</c:v>
                </c:pt>
                <c:pt idx="3">
                  <c:v>6</c:v>
                </c:pt>
                <c:pt idx="4">
                  <c:v>43</c:v>
                </c:pt>
                <c:pt idx="5">
                  <c:v>10</c:v>
                </c:pt>
                <c:pt idx="6">
                  <c:v>0</c:v>
                </c:pt>
                <c:pt idx="7">
                  <c:v>0</c:v>
                </c:pt>
                <c:pt idx="8">
                  <c:v>3</c:v>
                </c:pt>
                <c:pt idx="9">
                  <c:v>11</c:v>
                </c:pt>
                <c:pt idx="10">
                  <c:v>5</c:v>
                </c:pt>
                <c:pt idx="11">
                  <c:v>16</c:v>
                </c:pt>
                <c:pt idx="12">
                  <c:v>15</c:v>
                </c:pt>
                <c:pt idx="13">
                  <c:v>3</c:v>
                </c:pt>
                <c:pt idx="14">
                  <c:v>8</c:v>
                </c:pt>
                <c:pt idx="15">
                  <c:v>1</c:v>
                </c:pt>
                <c:pt idx="16">
                  <c:v>23</c:v>
                </c:pt>
                <c:pt idx="17">
                  <c:v>54</c:v>
                </c:pt>
                <c:pt idx="18">
                  <c:v>8</c:v>
                </c:pt>
                <c:pt idx="19">
                  <c:v>61</c:v>
                </c:pt>
                <c:pt idx="20">
                  <c:v>71</c:v>
                </c:pt>
                <c:pt idx="21">
                  <c:v>20</c:v>
                </c:pt>
                <c:pt idx="22">
                  <c:v>25</c:v>
                </c:pt>
                <c:pt idx="23">
                  <c:v>8</c:v>
                </c:pt>
                <c:pt idx="24">
                  <c:v>9</c:v>
                </c:pt>
                <c:pt idx="25">
                  <c:v>33</c:v>
                </c:pt>
                <c:pt idx="26">
                  <c:v>5</c:v>
                </c:pt>
                <c:pt idx="27">
                  <c:v>30</c:v>
                </c:pt>
                <c:pt idx="28">
                  <c:v>38</c:v>
                </c:pt>
                <c:pt idx="29">
                  <c:v>10</c:v>
                </c:pt>
                <c:pt idx="30">
                  <c:v>16</c:v>
                </c:pt>
                <c:pt idx="31">
                  <c:v>1</c:v>
                </c:pt>
                <c:pt idx="32">
                  <c:v>9</c:v>
                </c:pt>
                <c:pt idx="33">
                  <c:v>44</c:v>
                </c:pt>
                <c:pt idx="34">
                  <c:v>6</c:v>
                </c:pt>
                <c:pt idx="35">
                  <c:v>50</c:v>
                </c:pt>
                <c:pt idx="36">
                  <c:v>35</c:v>
                </c:pt>
                <c:pt idx="37">
                  <c:v>4</c:v>
                </c:pt>
                <c:pt idx="38">
                  <c:v>0</c:v>
                </c:pt>
                <c:pt idx="39">
                  <c:v>0</c:v>
                </c:pt>
              </c:numCache>
            </c:numRef>
          </c:bubbleSize>
          <c:bubble3D val="0"/>
          <c:extLst>
            <c:ext xmlns:c15="http://schemas.microsoft.com/office/drawing/2012/chart" uri="{02D57815-91ED-43cb-92C2-25804820EDAC}">
              <c15:datalabelsRange>
                <c15:f>'Fig 9. SM Analysis'!$E$16:$E$55</c15:f>
                <c15:dlblRangeCache>
                  <c:ptCount val="40"/>
                  <c:pt idx="0">
                    <c:v>14</c:v>
                  </c:pt>
                  <c:pt idx="1">
                    <c:v>31</c:v>
                  </c:pt>
                  <c:pt idx="2">
                    <c:v>5</c:v>
                  </c:pt>
                  <c:pt idx="3">
                    <c:v>6</c:v>
                  </c:pt>
                  <c:pt idx="4">
                    <c:v>43</c:v>
                  </c:pt>
                  <c:pt idx="5">
                    <c:v>10</c:v>
                  </c:pt>
                  <c:pt idx="6">
                    <c:v>0</c:v>
                  </c:pt>
                  <c:pt idx="7">
                    <c:v>0</c:v>
                  </c:pt>
                  <c:pt idx="8">
                    <c:v>3</c:v>
                  </c:pt>
                  <c:pt idx="9">
                    <c:v>11</c:v>
                  </c:pt>
                  <c:pt idx="10">
                    <c:v>5</c:v>
                  </c:pt>
                  <c:pt idx="11">
                    <c:v>16</c:v>
                  </c:pt>
                  <c:pt idx="12">
                    <c:v>15</c:v>
                  </c:pt>
                  <c:pt idx="13">
                    <c:v>3</c:v>
                  </c:pt>
                  <c:pt idx="14">
                    <c:v>8</c:v>
                  </c:pt>
                  <c:pt idx="15">
                    <c:v>1</c:v>
                  </c:pt>
                  <c:pt idx="16">
                    <c:v>23</c:v>
                  </c:pt>
                  <c:pt idx="17">
                    <c:v>54</c:v>
                  </c:pt>
                  <c:pt idx="18">
                    <c:v>8</c:v>
                  </c:pt>
                  <c:pt idx="19">
                    <c:v>61</c:v>
                  </c:pt>
                  <c:pt idx="20">
                    <c:v>71</c:v>
                  </c:pt>
                  <c:pt idx="21">
                    <c:v>20</c:v>
                  </c:pt>
                  <c:pt idx="22">
                    <c:v>25</c:v>
                  </c:pt>
                  <c:pt idx="23">
                    <c:v>8</c:v>
                  </c:pt>
                  <c:pt idx="24">
                    <c:v>9</c:v>
                  </c:pt>
                  <c:pt idx="25">
                    <c:v>33</c:v>
                  </c:pt>
                  <c:pt idx="26">
                    <c:v>5</c:v>
                  </c:pt>
                  <c:pt idx="27">
                    <c:v>30</c:v>
                  </c:pt>
                  <c:pt idx="28">
                    <c:v>38</c:v>
                  </c:pt>
                  <c:pt idx="29">
                    <c:v>10</c:v>
                  </c:pt>
                  <c:pt idx="30">
                    <c:v>16</c:v>
                  </c:pt>
                  <c:pt idx="31">
                    <c:v>1</c:v>
                  </c:pt>
                  <c:pt idx="32">
                    <c:v>9</c:v>
                  </c:pt>
                  <c:pt idx="33">
                    <c:v>44</c:v>
                  </c:pt>
                  <c:pt idx="34">
                    <c:v>6</c:v>
                  </c:pt>
                  <c:pt idx="35">
                    <c:v>50</c:v>
                  </c:pt>
                  <c:pt idx="36">
                    <c:v>35</c:v>
                  </c:pt>
                  <c:pt idx="37">
                    <c:v>4</c:v>
                  </c:pt>
                  <c:pt idx="38">
                    <c:v>0</c:v>
                  </c:pt>
                  <c:pt idx="39">
                    <c:v>0</c:v>
                  </c:pt>
                </c15:dlblRangeCache>
              </c15:datalabelsRange>
            </c:ext>
            <c:ext xmlns:c16="http://schemas.microsoft.com/office/drawing/2014/chart" uri="{C3380CC4-5D6E-409C-BE32-E72D297353CC}">
              <c16:uniqueId val="{00000028-FCE9-4D7C-94B0-BCF648136F3D}"/>
            </c:ext>
          </c:extLst>
        </c:ser>
        <c:dLbls>
          <c:dLblPos val="ctr"/>
          <c:showLegendKey val="0"/>
          <c:showVal val="1"/>
          <c:showCatName val="0"/>
          <c:showSerName val="0"/>
          <c:showPercent val="0"/>
          <c:showBubbleSize val="0"/>
        </c:dLbls>
        <c:bubbleScale val="100"/>
        <c:showNegBubbles val="0"/>
        <c:axId val="2079962783"/>
        <c:axId val="2079964031"/>
      </c:bubbleChart>
      <c:valAx>
        <c:axId val="2079962783"/>
        <c:scaling>
          <c:orientation val="minMax"/>
          <c:max val="6"/>
          <c:min val="-8"/>
        </c:scaling>
        <c:delete val="0"/>
        <c:axPos val="b"/>
        <c:majorGridlines>
          <c:spPr>
            <a:ln w="12700" cap="flat" cmpd="sng" algn="ctr">
              <a:solidFill>
                <a:schemeClr val="bg1">
                  <a:lumMod val="65000"/>
                </a:schemeClr>
              </a:solidFill>
              <a:prstDash val="dash"/>
              <a:round/>
            </a:ln>
            <a:effectLst/>
          </c:spPr>
        </c:majorGridlines>
        <c:numFmt formatCode="@" sourceLinked="0"/>
        <c:majorTickMark val="none"/>
        <c:minorTickMark val="none"/>
        <c:tickLblPos val="none"/>
        <c:spPr>
          <a:solidFill>
            <a:schemeClr val="tx1"/>
          </a:solidFill>
          <a:ln w="31750" cap="flat" cmpd="sng" algn="ctr">
            <a:solidFill>
              <a:schemeClr val="tx1">
                <a:lumMod val="50000"/>
                <a:lumOff val="50000"/>
              </a:schemeClr>
            </a:solidFill>
            <a:round/>
          </a:ln>
          <a:effectLst>
            <a:outerShdw blurRad="50800" dist="50800" dir="5400000" algn="ctr" rotWithShape="0">
              <a:schemeClr val="bg1"/>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64031"/>
        <c:crosses val="autoZero"/>
        <c:crossBetween val="midCat"/>
        <c:majorUnit val="1"/>
        <c:minorUnit val="1"/>
      </c:valAx>
      <c:valAx>
        <c:axId val="2079964031"/>
        <c:scaling>
          <c:orientation val="minMax"/>
          <c:max val="6"/>
          <c:min val="-1"/>
        </c:scaling>
        <c:delete val="0"/>
        <c:axPos val="l"/>
        <c:majorGridlines>
          <c:spPr>
            <a:ln w="12700" cap="flat" cmpd="sng" algn="ctr">
              <a:solidFill>
                <a:schemeClr val="bg1">
                  <a:lumMod val="75000"/>
                </a:schemeClr>
              </a:solidFill>
              <a:prstDash val="dash"/>
              <a:round/>
            </a:ln>
            <a:effectLst/>
          </c:spPr>
        </c:majorGridlines>
        <c:numFmt formatCode="@" sourceLinked="0"/>
        <c:majorTickMark val="none"/>
        <c:minorTickMark val="none"/>
        <c:tickLblPos val="none"/>
        <c:spPr>
          <a:noFill/>
          <a:ln w="31750"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62783"/>
        <c:crosses val="autoZero"/>
        <c:crossBetween val="midCat"/>
        <c:majorUnit val="1"/>
        <c:min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10. CMFacetsArticles'!$A$2:$A$6</c:f>
              <c:strCache>
                <c:ptCount val="5"/>
                <c:pt idx="0">
                  <c:v>Conflict Specfication</c:v>
                </c:pt>
                <c:pt idx="1">
                  <c:v>Conflict Prevention</c:v>
                </c:pt>
                <c:pt idx="2">
                  <c:v>Conflict Detection</c:v>
                </c:pt>
                <c:pt idx="3">
                  <c:v>Conflict Resolution</c:v>
                </c:pt>
                <c:pt idx="4">
                  <c:v>Conflict Awareness</c:v>
                </c:pt>
              </c:strCache>
            </c:strRef>
          </c:cat>
          <c:val>
            <c:numRef>
              <c:f>'Fig 10. CMFacetsArticles'!$B$2:$B$6</c:f>
              <c:numCache>
                <c:formatCode>General</c:formatCode>
                <c:ptCount val="5"/>
                <c:pt idx="0">
                  <c:v>50</c:v>
                </c:pt>
                <c:pt idx="1">
                  <c:v>19</c:v>
                </c:pt>
                <c:pt idx="2">
                  <c:v>85</c:v>
                </c:pt>
                <c:pt idx="3">
                  <c:v>47</c:v>
                </c:pt>
                <c:pt idx="4">
                  <c:v>59</c:v>
                </c:pt>
              </c:numCache>
            </c:numRef>
          </c:val>
          <c:extLst>
            <c:ext xmlns:c16="http://schemas.microsoft.com/office/drawing/2014/chart" uri="{C3380CC4-5D6E-409C-BE32-E72D297353CC}">
              <c16:uniqueId val="{00000000-9E63-404A-A9F1-649210D24FBD}"/>
            </c:ext>
          </c:extLst>
        </c:ser>
        <c:dLbls>
          <c:showLegendKey val="0"/>
          <c:showVal val="0"/>
          <c:showCatName val="0"/>
          <c:showSerName val="0"/>
          <c:showPercent val="0"/>
          <c:showBubbleSize val="0"/>
        </c:dLbls>
        <c:gapWidth val="15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2.6049300538463622E-2"/>
              <c:y val="0.297712831062359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chart" Target="../charts/chart32.xml"/><Relationship Id="rId4" Type="http://schemas.openxmlformats.org/officeDocument/2006/relationships/chart" Target="../charts/chart31.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21</xdr:col>
      <xdr:colOff>238125</xdr:colOff>
      <xdr:row>17</xdr:row>
      <xdr:rowOff>9525</xdr:rowOff>
    </xdr:from>
    <xdr:to>
      <xdr:col>28</xdr:col>
      <xdr:colOff>2171701</xdr:colOff>
      <xdr:row>30</xdr:row>
      <xdr:rowOff>180975</xdr:rowOff>
    </xdr:to>
    <xdr:graphicFrame macro="">
      <xdr:nvGraphicFramePr>
        <xdr:cNvPr id="3" name="Chart 2">
          <a:extLst>
            <a:ext uri="{FF2B5EF4-FFF2-40B4-BE49-F238E27FC236}">
              <a16:creationId xmlns:a16="http://schemas.microsoft.com/office/drawing/2014/main" id="{10623A44-2DB3-4A56-A634-5F817851B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238125</xdr:colOff>
      <xdr:row>31</xdr:row>
      <xdr:rowOff>142875</xdr:rowOff>
    </xdr:from>
    <xdr:to>
      <xdr:col>29</xdr:col>
      <xdr:colOff>66674</xdr:colOff>
      <xdr:row>50</xdr:row>
      <xdr:rowOff>28575</xdr:rowOff>
    </xdr:to>
    <xdr:graphicFrame macro="">
      <xdr:nvGraphicFramePr>
        <xdr:cNvPr id="8" name="Chart 7">
          <a:extLst>
            <a:ext uri="{FF2B5EF4-FFF2-40B4-BE49-F238E27FC236}">
              <a16:creationId xmlns:a16="http://schemas.microsoft.com/office/drawing/2014/main" id="{FB7D3535-DBE2-487E-B82A-3D1A32A20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13</xdr:row>
      <xdr:rowOff>38100</xdr:rowOff>
    </xdr:from>
    <xdr:to>
      <xdr:col>19</xdr:col>
      <xdr:colOff>352425</xdr:colOff>
      <xdr:row>31</xdr:row>
      <xdr:rowOff>38099</xdr:rowOff>
    </xdr:to>
    <xdr:graphicFrame macro="">
      <xdr:nvGraphicFramePr>
        <xdr:cNvPr id="6" name="Chart 5">
          <a:extLst>
            <a:ext uri="{FF2B5EF4-FFF2-40B4-BE49-F238E27FC236}">
              <a16:creationId xmlns:a16="http://schemas.microsoft.com/office/drawing/2014/main" id="{669E137D-0329-49A5-BBF8-BC7005FA1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xdr:col>
      <xdr:colOff>228600</xdr:colOff>
      <xdr:row>26</xdr:row>
      <xdr:rowOff>87783</xdr:rowOff>
    </xdr:from>
    <xdr:ext cx="411908" cy="248851"/>
    <xdr:sp macro="" textlink="">
      <xdr:nvSpPr>
        <xdr:cNvPr id="7" name="TextBox 6">
          <a:extLst>
            <a:ext uri="{FF2B5EF4-FFF2-40B4-BE49-F238E27FC236}">
              <a16:creationId xmlns:a16="http://schemas.microsoft.com/office/drawing/2014/main" id="{7D8A1859-805B-4097-8426-5EF7320ECAD5}"/>
            </a:ext>
          </a:extLst>
        </xdr:cNvPr>
        <xdr:cNvSpPr txBox="1"/>
      </xdr:nvSpPr>
      <xdr:spPr>
        <a:xfrm>
          <a:off x="9991725" y="5231283"/>
          <a:ext cx="41190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Tool</a:t>
          </a:r>
        </a:p>
      </xdr:txBody>
    </xdr:sp>
    <xdr:clientData/>
  </xdr:oneCellAnchor>
  <xdr:oneCellAnchor>
    <xdr:from>
      <xdr:col>14</xdr:col>
      <xdr:colOff>245627</xdr:colOff>
      <xdr:row>26</xdr:row>
      <xdr:rowOff>38100</xdr:rowOff>
    </xdr:from>
    <xdr:ext cx="689035" cy="405367"/>
    <xdr:sp macro="" textlink="">
      <xdr:nvSpPr>
        <xdr:cNvPr id="8" name="TextBox 7">
          <a:extLst>
            <a:ext uri="{FF2B5EF4-FFF2-40B4-BE49-F238E27FC236}">
              <a16:creationId xmlns:a16="http://schemas.microsoft.com/office/drawing/2014/main" id="{8BC84343-B7AE-4696-87BB-51A936DC0FDD}"/>
            </a:ext>
          </a:extLst>
        </xdr:cNvPr>
        <xdr:cNvSpPr txBox="1"/>
      </xdr:nvSpPr>
      <xdr:spPr>
        <a:xfrm>
          <a:off x="10618352" y="5181600"/>
          <a:ext cx="68903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Method/</a:t>
          </a:r>
        </a:p>
        <a:p>
          <a:pPr algn="ctr"/>
          <a:r>
            <a:rPr lang="en-US" sz="1000"/>
            <a:t>Approach</a:t>
          </a:r>
        </a:p>
      </xdr:txBody>
    </xdr:sp>
    <xdr:clientData/>
  </xdr:oneCellAnchor>
  <xdr:oneCellAnchor>
    <xdr:from>
      <xdr:col>15</xdr:col>
      <xdr:colOff>358183</xdr:colOff>
      <xdr:row>26</xdr:row>
      <xdr:rowOff>38100</xdr:rowOff>
    </xdr:from>
    <xdr:ext cx="778290" cy="405367"/>
    <xdr:sp macro="" textlink="">
      <xdr:nvSpPr>
        <xdr:cNvPr id="9" name="TextBox 8">
          <a:extLst>
            <a:ext uri="{FF2B5EF4-FFF2-40B4-BE49-F238E27FC236}">
              <a16:creationId xmlns:a16="http://schemas.microsoft.com/office/drawing/2014/main" id="{88DBB509-BE2D-46F3-B655-BCECD027F0D6}"/>
            </a:ext>
          </a:extLst>
        </xdr:cNvPr>
        <xdr:cNvSpPr txBox="1"/>
      </xdr:nvSpPr>
      <xdr:spPr>
        <a:xfrm>
          <a:off x="11340508" y="5181600"/>
          <a:ext cx="77829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Model/</a:t>
          </a:r>
        </a:p>
        <a:p>
          <a:pPr algn="ctr"/>
          <a:r>
            <a:rPr lang="en-US" sz="1000"/>
            <a:t>Framework</a:t>
          </a:r>
        </a:p>
      </xdr:txBody>
    </xdr:sp>
    <xdr:clientData/>
  </xdr:oneCellAnchor>
  <xdr:oneCellAnchor>
    <xdr:from>
      <xdr:col>16</xdr:col>
      <xdr:colOff>544286</xdr:colOff>
      <xdr:row>26</xdr:row>
      <xdr:rowOff>38100</xdr:rowOff>
    </xdr:from>
    <xdr:ext cx="703205" cy="405367"/>
    <xdr:sp macro="" textlink="">
      <xdr:nvSpPr>
        <xdr:cNvPr id="10" name="TextBox 9">
          <a:extLst>
            <a:ext uri="{FF2B5EF4-FFF2-40B4-BE49-F238E27FC236}">
              <a16:creationId xmlns:a16="http://schemas.microsoft.com/office/drawing/2014/main" id="{D71D4637-396B-490E-A9C4-0AFCD54FDED2}"/>
            </a:ext>
          </a:extLst>
        </xdr:cNvPr>
        <xdr:cNvSpPr txBox="1"/>
      </xdr:nvSpPr>
      <xdr:spPr>
        <a:xfrm>
          <a:off x="12136211" y="5181600"/>
          <a:ext cx="70320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Process/</a:t>
          </a:r>
        </a:p>
        <a:p>
          <a:pPr algn="ctr"/>
          <a:r>
            <a:rPr lang="en-US" sz="1000"/>
            <a:t>Algorithm</a:t>
          </a:r>
        </a:p>
      </xdr:txBody>
    </xdr:sp>
    <xdr:clientData/>
  </xdr:oneCellAnchor>
  <xdr:oneCellAnchor>
    <xdr:from>
      <xdr:col>18</xdr:col>
      <xdr:colOff>38485</xdr:colOff>
      <xdr:row>26</xdr:row>
      <xdr:rowOff>47625</xdr:rowOff>
    </xdr:from>
    <xdr:ext cx="825907" cy="405367"/>
    <xdr:sp macro="" textlink="">
      <xdr:nvSpPr>
        <xdr:cNvPr id="11" name="TextBox 10">
          <a:extLst>
            <a:ext uri="{FF2B5EF4-FFF2-40B4-BE49-F238E27FC236}">
              <a16:creationId xmlns:a16="http://schemas.microsoft.com/office/drawing/2014/main" id="{1C7B1FEE-930A-478D-A848-A5D7FBCEA368}"/>
            </a:ext>
          </a:extLst>
        </xdr:cNvPr>
        <xdr:cNvSpPr txBox="1"/>
      </xdr:nvSpPr>
      <xdr:spPr>
        <a:xfrm>
          <a:off x="12849610" y="5191125"/>
          <a:ext cx="82590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Metric/</a:t>
          </a:r>
        </a:p>
        <a:p>
          <a:pPr algn="ctr"/>
          <a:r>
            <a:rPr lang="en-US" sz="1000"/>
            <a:t>Benchmark</a:t>
          </a:r>
        </a:p>
      </xdr:txBody>
    </xdr:sp>
    <xdr:clientData/>
  </xdr:oneCellAnchor>
</xdr:wsDr>
</file>

<file path=xl/drawings/drawing11.xml><?xml version="1.0" encoding="utf-8"?>
<c:userShapes xmlns:c="http://schemas.openxmlformats.org/drawingml/2006/chart">
  <cdr:relSizeAnchor xmlns:cdr="http://schemas.openxmlformats.org/drawingml/2006/chartDrawing">
    <cdr:from>
      <cdr:x>0</cdr:x>
      <cdr:y>0.74167</cdr:y>
    </cdr:from>
    <cdr:to>
      <cdr:x>1</cdr:x>
      <cdr:y>1</cdr:y>
    </cdr:to>
    <cdr:sp macro="" textlink="">
      <cdr:nvSpPr>
        <cdr:cNvPr id="2" name="Rectangle 1">
          <a:extLst xmlns:a="http://schemas.openxmlformats.org/drawingml/2006/main">
            <a:ext uri="{FF2B5EF4-FFF2-40B4-BE49-F238E27FC236}">
              <a16:creationId xmlns:a16="http://schemas.microsoft.com/office/drawing/2014/main" id="{5BE334DF-6597-4C09-9319-CF6D7E5A19F8}"/>
            </a:ext>
          </a:extLst>
        </cdr:cNvPr>
        <cdr:cNvSpPr/>
      </cdr:nvSpPr>
      <cdr:spPr>
        <a:xfrm xmlns:a="http://schemas.openxmlformats.org/drawingml/2006/main">
          <a:off x="0" y="2543176"/>
          <a:ext cx="4619625" cy="88582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4</xdr:col>
      <xdr:colOff>123825</xdr:colOff>
      <xdr:row>90</xdr:row>
      <xdr:rowOff>0</xdr:rowOff>
    </xdr:from>
    <xdr:to>
      <xdr:col>13</xdr:col>
      <xdr:colOff>1419225</xdr:colOff>
      <xdr:row>91</xdr:row>
      <xdr:rowOff>133350</xdr:rowOff>
    </xdr:to>
    <xdr:sp macro="" textlink="">
      <xdr:nvSpPr>
        <xdr:cNvPr id="5" name="Rectangle 4">
          <a:extLst>
            <a:ext uri="{FF2B5EF4-FFF2-40B4-BE49-F238E27FC236}">
              <a16:creationId xmlns:a16="http://schemas.microsoft.com/office/drawing/2014/main" id="{1A632BBF-0CDA-49B3-832C-0DF01BA79174}"/>
            </a:ext>
          </a:extLst>
        </xdr:cNvPr>
        <xdr:cNvSpPr/>
      </xdr:nvSpPr>
      <xdr:spPr>
        <a:xfrm>
          <a:off x="4495800" y="13335000"/>
          <a:ext cx="678180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89</xdr:row>
      <xdr:rowOff>47625</xdr:rowOff>
    </xdr:from>
    <xdr:to>
      <xdr:col>5</xdr:col>
      <xdr:colOff>142875</xdr:colOff>
      <xdr:row>90</xdr:row>
      <xdr:rowOff>76200</xdr:rowOff>
    </xdr:to>
    <xdr:sp macro="" textlink="">
      <xdr:nvSpPr>
        <xdr:cNvPr id="6" name="Rectangle 5">
          <a:extLst>
            <a:ext uri="{FF2B5EF4-FFF2-40B4-BE49-F238E27FC236}">
              <a16:creationId xmlns:a16="http://schemas.microsoft.com/office/drawing/2014/main" id="{CB4E67A8-6FB2-4456-A32A-D6D05E51DF43}"/>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89</xdr:row>
      <xdr:rowOff>0</xdr:rowOff>
    </xdr:from>
    <xdr:to>
      <xdr:col>5</xdr:col>
      <xdr:colOff>104775</xdr:colOff>
      <xdr:row>90</xdr:row>
      <xdr:rowOff>66675</xdr:rowOff>
    </xdr:to>
    <xdr:sp macro="" textlink="">
      <xdr:nvSpPr>
        <xdr:cNvPr id="7" name="Rectangle 6">
          <a:extLst>
            <a:ext uri="{FF2B5EF4-FFF2-40B4-BE49-F238E27FC236}">
              <a16:creationId xmlns:a16="http://schemas.microsoft.com/office/drawing/2014/main" id="{112F6731-0230-4BEC-9C20-8B9060FF7D17}"/>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89</xdr:row>
      <xdr:rowOff>0</xdr:rowOff>
    </xdr:from>
    <xdr:to>
      <xdr:col>13</xdr:col>
      <xdr:colOff>1343024</xdr:colOff>
      <xdr:row>90</xdr:row>
      <xdr:rowOff>66675</xdr:rowOff>
    </xdr:to>
    <xdr:sp macro="" textlink="">
      <xdr:nvSpPr>
        <xdr:cNvPr id="8" name="Rectangle 7">
          <a:extLst>
            <a:ext uri="{FF2B5EF4-FFF2-40B4-BE49-F238E27FC236}">
              <a16:creationId xmlns:a16="http://schemas.microsoft.com/office/drawing/2014/main" id="{24FA8977-452A-4611-894E-D820C2D59649}"/>
            </a:ext>
          </a:extLst>
        </xdr:cNvPr>
        <xdr:cNvSpPr/>
      </xdr:nvSpPr>
      <xdr:spPr>
        <a:xfrm>
          <a:off x="10906124" y="1314450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90</xdr:row>
      <xdr:rowOff>28575</xdr:rowOff>
    </xdr:from>
    <xdr:ext cx="1029064" cy="248851"/>
    <xdr:sp macro="" textlink="">
      <xdr:nvSpPr>
        <xdr:cNvPr id="9" name="TextBox 8">
          <a:extLst>
            <a:ext uri="{FF2B5EF4-FFF2-40B4-BE49-F238E27FC236}">
              <a16:creationId xmlns:a16="http://schemas.microsoft.com/office/drawing/2014/main" id="{E3183140-ABEC-4E2D-834C-1A4156909EBE}"/>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14</xdr:col>
      <xdr:colOff>542924</xdr:colOff>
      <xdr:row>55</xdr:row>
      <xdr:rowOff>85725</xdr:rowOff>
    </xdr:from>
    <xdr:to>
      <xdr:col>15</xdr:col>
      <xdr:colOff>228599</xdr:colOff>
      <xdr:row>56</xdr:row>
      <xdr:rowOff>152400</xdr:rowOff>
    </xdr:to>
    <xdr:sp macro="" textlink="">
      <xdr:nvSpPr>
        <xdr:cNvPr id="11" name="Rectangle 10">
          <a:extLst>
            <a:ext uri="{FF2B5EF4-FFF2-40B4-BE49-F238E27FC236}">
              <a16:creationId xmlns:a16="http://schemas.microsoft.com/office/drawing/2014/main" id="{328890CC-AF04-439E-8C4C-D775469296D3}"/>
            </a:ext>
          </a:extLst>
        </xdr:cNvPr>
        <xdr:cNvSpPr/>
      </xdr:nvSpPr>
      <xdr:spPr>
        <a:xfrm>
          <a:off x="11858624" y="67532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26</xdr:row>
      <xdr:rowOff>1</xdr:rowOff>
    </xdr:from>
    <xdr:to>
      <xdr:col>12</xdr:col>
      <xdr:colOff>171449</xdr:colOff>
      <xdr:row>58</xdr:row>
      <xdr:rowOff>104775</xdr:rowOff>
    </xdr:to>
    <xdr:graphicFrame macro="">
      <xdr:nvGraphicFramePr>
        <xdr:cNvPr id="12" name="Chart 11">
          <a:extLst>
            <a:ext uri="{FF2B5EF4-FFF2-40B4-BE49-F238E27FC236}">
              <a16:creationId xmlns:a16="http://schemas.microsoft.com/office/drawing/2014/main" id="{5232A142-71C7-4EA3-B97C-5BDCCCC9C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352424</xdr:colOff>
      <xdr:row>55</xdr:row>
      <xdr:rowOff>9525</xdr:rowOff>
    </xdr:from>
    <xdr:to>
      <xdr:col>5</xdr:col>
      <xdr:colOff>38099</xdr:colOff>
      <xdr:row>56</xdr:row>
      <xdr:rowOff>76200</xdr:rowOff>
    </xdr:to>
    <xdr:sp macro="" textlink="">
      <xdr:nvSpPr>
        <xdr:cNvPr id="13" name="Rectangle 12">
          <a:extLst>
            <a:ext uri="{FF2B5EF4-FFF2-40B4-BE49-F238E27FC236}">
              <a16:creationId xmlns:a16="http://schemas.microsoft.com/office/drawing/2014/main" id="{5C127E0D-82E6-4AC6-B77B-794E490FD91D}"/>
            </a:ext>
          </a:extLst>
        </xdr:cNvPr>
        <xdr:cNvSpPr/>
      </xdr:nvSpPr>
      <xdr:spPr>
        <a:xfrm>
          <a:off x="4724399" y="104870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55</xdr:row>
      <xdr:rowOff>133349</xdr:rowOff>
    </xdr:from>
    <xdr:to>
      <xdr:col>12</xdr:col>
      <xdr:colOff>142874</xdr:colOff>
      <xdr:row>62</xdr:row>
      <xdr:rowOff>161924</xdr:rowOff>
    </xdr:to>
    <xdr:sp macro="" textlink="">
      <xdr:nvSpPr>
        <xdr:cNvPr id="15" name="Rectangle 14">
          <a:extLst>
            <a:ext uri="{FF2B5EF4-FFF2-40B4-BE49-F238E27FC236}">
              <a16:creationId xmlns:a16="http://schemas.microsoft.com/office/drawing/2014/main" id="{5BE334DF-6597-4C09-9319-CF6D7E5A19F8}"/>
            </a:ext>
          </a:extLst>
        </xdr:cNvPr>
        <xdr:cNvSpPr/>
      </xdr:nvSpPr>
      <xdr:spPr>
        <a:xfrm>
          <a:off x="4438650" y="10610849"/>
          <a:ext cx="4952999" cy="1362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295275</xdr:colOff>
      <xdr:row>27</xdr:row>
      <xdr:rowOff>114300</xdr:rowOff>
    </xdr:from>
    <xdr:to>
      <xdr:col>5</xdr:col>
      <xdr:colOff>38100</xdr:colOff>
      <xdr:row>28</xdr:row>
      <xdr:rowOff>152400</xdr:rowOff>
    </xdr:to>
    <xdr:sp macro="" textlink="">
      <xdr:nvSpPr>
        <xdr:cNvPr id="16" name="Rectangle 15">
          <a:extLst>
            <a:ext uri="{FF2B5EF4-FFF2-40B4-BE49-F238E27FC236}">
              <a16:creationId xmlns:a16="http://schemas.microsoft.com/office/drawing/2014/main" id="{005A225F-D7AF-4DDA-B67D-327CC18740D5}"/>
            </a:ext>
          </a:extLst>
        </xdr:cNvPr>
        <xdr:cNvSpPr/>
      </xdr:nvSpPr>
      <xdr:spPr>
        <a:xfrm>
          <a:off x="4667250" y="5257800"/>
          <a:ext cx="352425"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581025</xdr:colOff>
      <xdr:row>55</xdr:row>
      <xdr:rowOff>152400</xdr:rowOff>
    </xdr:from>
    <xdr:ext cx="411908" cy="248851"/>
    <xdr:sp macro="" textlink="">
      <xdr:nvSpPr>
        <xdr:cNvPr id="18" name="TextBox 17">
          <a:extLst>
            <a:ext uri="{FF2B5EF4-FFF2-40B4-BE49-F238E27FC236}">
              <a16:creationId xmlns:a16="http://schemas.microsoft.com/office/drawing/2014/main" id="{40A2DE67-56A1-4119-A1CA-8B47834AB786}"/>
            </a:ext>
          </a:extLst>
        </xdr:cNvPr>
        <xdr:cNvSpPr txBox="1"/>
      </xdr:nvSpPr>
      <xdr:spPr>
        <a:xfrm>
          <a:off x="5562600" y="10629900"/>
          <a:ext cx="41190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Tool</a:t>
          </a:r>
        </a:p>
      </xdr:txBody>
    </xdr:sp>
    <xdr:clientData/>
  </xdr:oneCellAnchor>
  <xdr:oneCellAnchor>
    <xdr:from>
      <xdr:col>6</xdr:col>
      <xdr:colOff>552809</xdr:colOff>
      <xdr:row>55</xdr:row>
      <xdr:rowOff>102717</xdr:rowOff>
    </xdr:from>
    <xdr:ext cx="689035" cy="405367"/>
    <xdr:sp macro="" textlink="">
      <xdr:nvSpPr>
        <xdr:cNvPr id="19" name="TextBox 18">
          <a:extLst>
            <a:ext uri="{FF2B5EF4-FFF2-40B4-BE49-F238E27FC236}">
              <a16:creationId xmlns:a16="http://schemas.microsoft.com/office/drawing/2014/main" id="{7927CC3E-18D7-4847-9463-35900AB191EB}"/>
            </a:ext>
          </a:extLst>
        </xdr:cNvPr>
        <xdr:cNvSpPr txBox="1"/>
      </xdr:nvSpPr>
      <xdr:spPr>
        <a:xfrm>
          <a:off x="6143984" y="10580217"/>
          <a:ext cx="68903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Method/</a:t>
          </a:r>
        </a:p>
        <a:p>
          <a:pPr algn="ctr"/>
          <a:r>
            <a:rPr lang="en-US" sz="1000"/>
            <a:t>Approach</a:t>
          </a:r>
        </a:p>
      </xdr:txBody>
    </xdr:sp>
    <xdr:clientData/>
  </xdr:oneCellAnchor>
  <xdr:oneCellAnchor>
    <xdr:from>
      <xdr:col>7</xdr:col>
      <xdr:colOff>601071</xdr:colOff>
      <xdr:row>55</xdr:row>
      <xdr:rowOff>102717</xdr:rowOff>
    </xdr:from>
    <xdr:ext cx="778290" cy="405367"/>
    <xdr:sp macro="" textlink="">
      <xdr:nvSpPr>
        <xdr:cNvPr id="21" name="TextBox 20">
          <a:extLst>
            <a:ext uri="{FF2B5EF4-FFF2-40B4-BE49-F238E27FC236}">
              <a16:creationId xmlns:a16="http://schemas.microsoft.com/office/drawing/2014/main" id="{7B72BAE6-EF5E-4C2F-8B0A-1E5EA3CE79BE}"/>
            </a:ext>
          </a:extLst>
        </xdr:cNvPr>
        <xdr:cNvSpPr txBox="1"/>
      </xdr:nvSpPr>
      <xdr:spPr>
        <a:xfrm>
          <a:off x="6801846" y="10580217"/>
          <a:ext cx="77829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Model/</a:t>
          </a:r>
        </a:p>
        <a:p>
          <a:pPr algn="ctr"/>
          <a:r>
            <a:rPr lang="en-US" sz="1000"/>
            <a:t>Framework</a:t>
          </a:r>
        </a:p>
      </xdr:txBody>
    </xdr:sp>
    <xdr:clientData/>
  </xdr:oneCellAnchor>
  <xdr:oneCellAnchor>
    <xdr:from>
      <xdr:col>9</xdr:col>
      <xdr:colOff>106136</xdr:colOff>
      <xdr:row>55</xdr:row>
      <xdr:rowOff>102717</xdr:rowOff>
    </xdr:from>
    <xdr:ext cx="703205" cy="405367"/>
    <xdr:sp macro="" textlink="">
      <xdr:nvSpPr>
        <xdr:cNvPr id="22" name="TextBox 21">
          <a:extLst>
            <a:ext uri="{FF2B5EF4-FFF2-40B4-BE49-F238E27FC236}">
              <a16:creationId xmlns:a16="http://schemas.microsoft.com/office/drawing/2014/main" id="{677AB3B3-B3D4-4504-9C37-EDCCFD0EE7A3}"/>
            </a:ext>
          </a:extLst>
        </xdr:cNvPr>
        <xdr:cNvSpPr txBox="1"/>
      </xdr:nvSpPr>
      <xdr:spPr>
        <a:xfrm>
          <a:off x="7526111" y="10580217"/>
          <a:ext cx="70320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Process/</a:t>
          </a:r>
        </a:p>
        <a:p>
          <a:pPr algn="ctr"/>
          <a:r>
            <a:rPr lang="en-US" sz="1000"/>
            <a:t>Algorithm</a:t>
          </a:r>
        </a:p>
      </xdr:txBody>
    </xdr:sp>
    <xdr:clientData/>
  </xdr:oneCellAnchor>
  <xdr:oneCellAnchor>
    <xdr:from>
      <xdr:col>10</xdr:col>
      <xdr:colOff>136117</xdr:colOff>
      <xdr:row>55</xdr:row>
      <xdr:rowOff>112242</xdr:rowOff>
    </xdr:from>
    <xdr:ext cx="825907" cy="405367"/>
    <xdr:sp macro="" textlink="">
      <xdr:nvSpPr>
        <xdr:cNvPr id="23" name="TextBox 22">
          <a:extLst>
            <a:ext uri="{FF2B5EF4-FFF2-40B4-BE49-F238E27FC236}">
              <a16:creationId xmlns:a16="http://schemas.microsoft.com/office/drawing/2014/main" id="{90F7BB9A-2129-4089-A327-94628C54AFAC}"/>
            </a:ext>
          </a:extLst>
        </xdr:cNvPr>
        <xdr:cNvSpPr txBox="1"/>
      </xdr:nvSpPr>
      <xdr:spPr>
        <a:xfrm>
          <a:off x="8165692" y="10589742"/>
          <a:ext cx="82590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Metric/</a:t>
          </a:r>
        </a:p>
        <a:p>
          <a:pPr algn="ctr"/>
          <a:r>
            <a:rPr lang="en-US" sz="1000"/>
            <a:t>Benchmark</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3</xdr:col>
      <xdr:colOff>609599</xdr:colOff>
      <xdr:row>10</xdr:row>
      <xdr:rowOff>142875</xdr:rowOff>
    </xdr:from>
    <xdr:to>
      <xdr:col>12</xdr:col>
      <xdr:colOff>47624</xdr:colOff>
      <xdr:row>25</xdr:row>
      <xdr:rowOff>57150</xdr:rowOff>
    </xdr:to>
    <xdr:graphicFrame macro="">
      <xdr:nvGraphicFramePr>
        <xdr:cNvPr id="4" name="Chart 3">
          <a:extLst>
            <a:ext uri="{FF2B5EF4-FFF2-40B4-BE49-F238E27FC236}">
              <a16:creationId xmlns:a16="http://schemas.microsoft.com/office/drawing/2014/main" id="{9627F8BA-EEA9-4089-925D-B77CB4CD1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123825</xdr:colOff>
      <xdr:row>85</xdr:row>
      <xdr:rowOff>0</xdr:rowOff>
    </xdr:from>
    <xdr:to>
      <xdr:col>13</xdr:col>
      <xdr:colOff>1419225</xdr:colOff>
      <xdr:row>86</xdr:row>
      <xdr:rowOff>133350</xdr:rowOff>
    </xdr:to>
    <xdr:sp macro="" textlink="">
      <xdr:nvSpPr>
        <xdr:cNvPr id="2" name="Rectangle 1">
          <a:extLst>
            <a:ext uri="{FF2B5EF4-FFF2-40B4-BE49-F238E27FC236}">
              <a16:creationId xmlns:a16="http://schemas.microsoft.com/office/drawing/2014/main" id="{3626C467-0BAA-4187-9E22-080C0C6E0039}"/>
            </a:ext>
          </a:extLst>
        </xdr:cNvPr>
        <xdr:cNvSpPr/>
      </xdr:nvSpPr>
      <xdr:spPr>
        <a:xfrm>
          <a:off x="4495800" y="13335000"/>
          <a:ext cx="678180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84</xdr:row>
      <xdr:rowOff>47625</xdr:rowOff>
    </xdr:from>
    <xdr:to>
      <xdr:col>5</xdr:col>
      <xdr:colOff>142875</xdr:colOff>
      <xdr:row>85</xdr:row>
      <xdr:rowOff>76200</xdr:rowOff>
    </xdr:to>
    <xdr:sp macro="" textlink="">
      <xdr:nvSpPr>
        <xdr:cNvPr id="3" name="Rectangle 2">
          <a:extLst>
            <a:ext uri="{FF2B5EF4-FFF2-40B4-BE49-F238E27FC236}">
              <a16:creationId xmlns:a16="http://schemas.microsoft.com/office/drawing/2014/main" id="{8E308633-9376-4F5E-B223-38E6E0230094}"/>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84</xdr:row>
      <xdr:rowOff>0</xdr:rowOff>
    </xdr:from>
    <xdr:to>
      <xdr:col>5</xdr:col>
      <xdr:colOff>104775</xdr:colOff>
      <xdr:row>85</xdr:row>
      <xdr:rowOff>66675</xdr:rowOff>
    </xdr:to>
    <xdr:sp macro="" textlink="">
      <xdr:nvSpPr>
        <xdr:cNvPr id="4" name="Rectangle 3">
          <a:extLst>
            <a:ext uri="{FF2B5EF4-FFF2-40B4-BE49-F238E27FC236}">
              <a16:creationId xmlns:a16="http://schemas.microsoft.com/office/drawing/2014/main" id="{5180CEF5-4B57-4D19-AD36-EF2E39B53245}"/>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84</xdr:row>
      <xdr:rowOff>0</xdr:rowOff>
    </xdr:from>
    <xdr:to>
      <xdr:col>13</xdr:col>
      <xdr:colOff>1343024</xdr:colOff>
      <xdr:row>85</xdr:row>
      <xdr:rowOff>66675</xdr:rowOff>
    </xdr:to>
    <xdr:sp macro="" textlink="">
      <xdr:nvSpPr>
        <xdr:cNvPr id="5" name="Rectangle 4">
          <a:extLst>
            <a:ext uri="{FF2B5EF4-FFF2-40B4-BE49-F238E27FC236}">
              <a16:creationId xmlns:a16="http://schemas.microsoft.com/office/drawing/2014/main" id="{FC461B0C-7682-45CA-BED2-06F9A5F5C7D9}"/>
            </a:ext>
          </a:extLst>
        </xdr:cNvPr>
        <xdr:cNvSpPr/>
      </xdr:nvSpPr>
      <xdr:spPr>
        <a:xfrm>
          <a:off x="10906124" y="1314450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85</xdr:row>
      <xdr:rowOff>28575</xdr:rowOff>
    </xdr:from>
    <xdr:ext cx="1029064" cy="248851"/>
    <xdr:sp macro="" textlink="">
      <xdr:nvSpPr>
        <xdr:cNvPr id="6" name="TextBox 5">
          <a:extLst>
            <a:ext uri="{FF2B5EF4-FFF2-40B4-BE49-F238E27FC236}">
              <a16:creationId xmlns:a16="http://schemas.microsoft.com/office/drawing/2014/main" id="{B271FADE-0710-4D40-885F-5FFD641A3CDF}"/>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14</xdr:col>
      <xdr:colOff>542924</xdr:colOff>
      <xdr:row>47</xdr:row>
      <xdr:rowOff>85725</xdr:rowOff>
    </xdr:from>
    <xdr:to>
      <xdr:col>15</xdr:col>
      <xdr:colOff>228599</xdr:colOff>
      <xdr:row>48</xdr:row>
      <xdr:rowOff>152400</xdr:rowOff>
    </xdr:to>
    <xdr:sp macro="" textlink="">
      <xdr:nvSpPr>
        <xdr:cNvPr id="7" name="Rectangle 6">
          <a:extLst>
            <a:ext uri="{FF2B5EF4-FFF2-40B4-BE49-F238E27FC236}">
              <a16:creationId xmlns:a16="http://schemas.microsoft.com/office/drawing/2014/main" id="{3FAB310B-A205-4535-800A-A4B22FDEB866}"/>
            </a:ext>
          </a:extLst>
        </xdr:cNvPr>
        <xdr:cNvSpPr/>
      </xdr:nvSpPr>
      <xdr:spPr>
        <a:xfrm>
          <a:off x="11858624" y="67532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14</xdr:row>
      <xdr:rowOff>9526</xdr:rowOff>
    </xdr:from>
    <xdr:to>
      <xdr:col>12</xdr:col>
      <xdr:colOff>228600</xdr:colOff>
      <xdr:row>45</xdr:row>
      <xdr:rowOff>171450</xdr:rowOff>
    </xdr:to>
    <xdr:graphicFrame macro="">
      <xdr:nvGraphicFramePr>
        <xdr:cNvPr id="8" name="Chart 7">
          <a:extLst>
            <a:ext uri="{FF2B5EF4-FFF2-40B4-BE49-F238E27FC236}">
              <a16:creationId xmlns:a16="http://schemas.microsoft.com/office/drawing/2014/main" id="{B72F8A73-305F-41D3-BB12-3F56B684A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571499</xdr:colOff>
      <xdr:row>43</xdr:row>
      <xdr:rowOff>19050</xdr:rowOff>
    </xdr:from>
    <xdr:to>
      <xdr:col>5</xdr:col>
      <xdr:colOff>257174</xdr:colOff>
      <xdr:row>44</xdr:row>
      <xdr:rowOff>85725</xdr:rowOff>
    </xdr:to>
    <xdr:sp macro="" textlink="">
      <xdr:nvSpPr>
        <xdr:cNvPr id="9" name="Rectangle 8">
          <a:extLst>
            <a:ext uri="{FF2B5EF4-FFF2-40B4-BE49-F238E27FC236}">
              <a16:creationId xmlns:a16="http://schemas.microsoft.com/office/drawing/2014/main" id="{A68836E2-32A2-4D7C-A4E3-4EB33A057E9D}"/>
            </a:ext>
          </a:extLst>
        </xdr:cNvPr>
        <xdr:cNvSpPr/>
      </xdr:nvSpPr>
      <xdr:spPr>
        <a:xfrm>
          <a:off x="4943474" y="592455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323849</xdr:colOff>
      <xdr:row>42</xdr:row>
      <xdr:rowOff>19050</xdr:rowOff>
    </xdr:from>
    <xdr:to>
      <xdr:col>5</xdr:col>
      <xdr:colOff>9524</xdr:colOff>
      <xdr:row>43</xdr:row>
      <xdr:rowOff>85725</xdr:rowOff>
    </xdr:to>
    <xdr:sp macro="" textlink="">
      <xdr:nvSpPr>
        <xdr:cNvPr id="10" name="Rectangle 9">
          <a:extLst>
            <a:ext uri="{FF2B5EF4-FFF2-40B4-BE49-F238E27FC236}">
              <a16:creationId xmlns:a16="http://schemas.microsoft.com/office/drawing/2014/main" id="{8C0299B1-924F-4322-966C-A0B8F6639C09}"/>
            </a:ext>
          </a:extLst>
        </xdr:cNvPr>
        <xdr:cNvSpPr/>
      </xdr:nvSpPr>
      <xdr:spPr>
        <a:xfrm>
          <a:off x="4695824" y="573405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43</xdr:row>
      <xdr:rowOff>19049</xdr:rowOff>
    </xdr:from>
    <xdr:to>
      <xdr:col>12</xdr:col>
      <xdr:colOff>142874</xdr:colOff>
      <xdr:row>50</xdr:row>
      <xdr:rowOff>47624</xdr:rowOff>
    </xdr:to>
    <xdr:sp macro="" textlink="">
      <xdr:nvSpPr>
        <xdr:cNvPr id="11" name="Rectangle 10">
          <a:extLst>
            <a:ext uri="{FF2B5EF4-FFF2-40B4-BE49-F238E27FC236}">
              <a16:creationId xmlns:a16="http://schemas.microsoft.com/office/drawing/2014/main" id="{E382B56A-442A-4B9C-9714-602FB7551A8B}"/>
            </a:ext>
          </a:extLst>
        </xdr:cNvPr>
        <xdr:cNvSpPr/>
      </xdr:nvSpPr>
      <xdr:spPr>
        <a:xfrm>
          <a:off x="4438650" y="5924549"/>
          <a:ext cx="4952999" cy="1362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295275</xdr:colOff>
      <xdr:row>15</xdr:row>
      <xdr:rowOff>123825</xdr:rowOff>
    </xdr:from>
    <xdr:to>
      <xdr:col>5</xdr:col>
      <xdr:colOff>38100</xdr:colOff>
      <xdr:row>17</xdr:row>
      <xdr:rowOff>0</xdr:rowOff>
    </xdr:to>
    <xdr:sp macro="" textlink="">
      <xdr:nvSpPr>
        <xdr:cNvPr id="12" name="Rectangle 11">
          <a:extLst>
            <a:ext uri="{FF2B5EF4-FFF2-40B4-BE49-F238E27FC236}">
              <a16:creationId xmlns:a16="http://schemas.microsoft.com/office/drawing/2014/main" id="{5AB5ADEB-D348-4021-B6EC-CA9A6A7E9128}"/>
            </a:ext>
          </a:extLst>
        </xdr:cNvPr>
        <xdr:cNvSpPr/>
      </xdr:nvSpPr>
      <xdr:spPr>
        <a:xfrm>
          <a:off x="4667250" y="298132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558943</xdr:colOff>
      <xdr:row>53</xdr:row>
      <xdr:rowOff>66675</xdr:rowOff>
    </xdr:from>
    <xdr:ext cx="1218090" cy="248851"/>
    <xdr:sp macro="" textlink="">
      <xdr:nvSpPr>
        <xdr:cNvPr id="14" name="TextBox 13">
          <a:extLst>
            <a:ext uri="{FF2B5EF4-FFF2-40B4-BE49-F238E27FC236}">
              <a16:creationId xmlns:a16="http://schemas.microsoft.com/office/drawing/2014/main" id="{EEE19E3B-5AAA-41AF-9F2B-0D534C2B2B0B}"/>
            </a:ext>
          </a:extLst>
        </xdr:cNvPr>
        <xdr:cNvSpPr txBox="1"/>
      </xdr:nvSpPr>
      <xdr:spPr>
        <a:xfrm rot="-2700000">
          <a:off x="5540518" y="10163175"/>
          <a:ext cx="121809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Validation Research</a:t>
          </a:r>
        </a:p>
      </xdr:txBody>
    </xdr:sp>
    <xdr:clientData/>
  </xdr:oneCellAnchor>
  <xdr:oneCellAnchor>
    <xdr:from>
      <xdr:col>7</xdr:col>
      <xdr:colOff>94571</xdr:colOff>
      <xdr:row>53</xdr:row>
      <xdr:rowOff>47625</xdr:rowOff>
    </xdr:from>
    <xdr:ext cx="1099083" cy="248851"/>
    <xdr:sp macro="" textlink="">
      <xdr:nvSpPr>
        <xdr:cNvPr id="15" name="TextBox 14">
          <a:extLst>
            <a:ext uri="{FF2B5EF4-FFF2-40B4-BE49-F238E27FC236}">
              <a16:creationId xmlns:a16="http://schemas.microsoft.com/office/drawing/2014/main" id="{E835B2E4-42BD-4321-819E-62CD03DBE784}"/>
            </a:ext>
          </a:extLst>
        </xdr:cNvPr>
        <xdr:cNvSpPr txBox="1"/>
      </xdr:nvSpPr>
      <xdr:spPr>
        <a:xfrm rot="-2700000">
          <a:off x="6295346" y="10144125"/>
          <a:ext cx="109908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Solution Proposal</a:t>
          </a:r>
        </a:p>
      </xdr:txBody>
    </xdr:sp>
    <xdr:clientData/>
  </xdr:oneCellAnchor>
  <xdr:oneCellAnchor>
    <xdr:from>
      <xdr:col>8</xdr:col>
      <xdr:colOff>111626</xdr:colOff>
      <xdr:row>53</xdr:row>
      <xdr:rowOff>123825</xdr:rowOff>
    </xdr:from>
    <xdr:ext cx="1236429" cy="248851"/>
    <xdr:sp macro="" textlink="">
      <xdr:nvSpPr>
        <xdr:cNvPr id="16" name="TextBox 15">
          <a:extLst>
            <a:ext uri="{FF2B5EF4-FFF2-40B4-BE49-F238E27FC236}">
              <a16:creationId xmlns:a16="http://schemas.microsoft.com/office/drawing/2014/main" id="{2A1A50B2-1486-4185-8C2C-F67B3CB4193B}"/>
            </a:ext>
          </a:extLst>
        </xdr:cNvPr>
        <xdr:cNvSpPr txBox="1"/>
      </xdr:nvSpPr>
      <xdr:spPr>
        <a:xfrm rot="-2700000">
          <a:off x="6922001" y="10220325"/>
          <a:ext cx="12364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Evaluation Research</a:t>
          </a:r>
        </a:p>
      </xdr:txBody>
    </xdr:sp>
    <xdr:clientData/>
  </xdr:oneCellAnchor>
  <xdr:oneCellAnchor>
    <xdr:from>
      <xdr:col>9</xdr:col>
      <xdr:colOff>273551</xdr:colOff>
      <xdr:row>43</xdr:row>
      <xdr:rowOff>9525</xdr:rowOff>
    </xdr:from>
    <xdr:ext cx="1236429" cy="248851"/>
    <xdr:sp macro="" textlink="">
      <xdr:nvSpPr>
        <xdr:cNvPr id="18" name="TextBox 17">
          <a:extLst>
            <a:ext uri="{FF2B5EF4-FFF2-40B4-BE49-F238E27FC236}">
              <a16:creationId xmlns:a16="http://schemas.microsoft.com/office/drawing/2014/main" id="{53B70E6E-F427-41C9-A608-E543FC0C7AA2}"/>
            </a:ext>
          </a:extLst>
        </xdr:cNvPr>
        <xdr:cNvSpPr txBox="1"/>
      </xdr:nvSpPr>
      <xdr:spPr>
        <a:xfrm>
          <a:off x="7693526" y="8201025"/>
          <a:ext cx="12364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Evaluation Research</a:t>
          </a:r>
        </a:p>
      </xdr:txBody>
    </xdr:sp>
    <xdr:clientData/>
  </xdr:oneCellAnchor>
  <xdr:oneCellAnchor>
    <xdr:from>
      <xdr:col>7</xdr:col>
      <xdr:colOff>446996</xdr:colOff>
      <xdr:row>43</xdr:row>
      <xdr:rowOff>9525</xdr:rowOff>
    </xdr:from>
    <xdr:ext cx="1099083" cy="248851"/>
    <xdr:sp macro="" textlink="">
      <xdr:nvSpPr>
        <xdr:cNvPr id="19" name="TextBox 18">
          <a:extLst>
            <a:ext uri="{FF2B5EF4-FFF2-40B4-BE49-F238E27FC236}">
              <a16:creationId xmlns:a16="http://schemas.microsoft.com/office/drawing/2014/main" id="{34C3494B-8B5F-455C-B5BD-191EEA0FB0A3}"/>
            </a:ext>
          </a:extLst>
        </xdr:cNvPr>
        <xdr:cNvSpPr txBox="1"/>
      </xdr:nvSpPr>
      <xdr:spPr>
        <a:xfrm>
          <a:off x="6647771" y="8201025"/>
          <a:ext cx="109908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Solution Proposal</a:t>
          </a:r>
        </a:p>
      </xdr:txBody>
    </xdr:sp>
    <xdr:clientData/>
  </xdr:oneCellAnchor>
  <xdr:oneCellAnchor>
    <xdr:from>
      <xdr:col>5</xdr:col>
      <xdr:colOff>496675</xdr:colOff>
      <xdr:row>43</xdr:row>
      <xdr:rowOff>9525</xdr:rowOff>
    </xdr:from>
    <xdr:ext cx="1218090" cy="248851"/>
    <xdr:sp macro="" textlink="">
      <xdr:nvSpPr>
        <xdr:cNvPr id="20" name="TextBox 19">
          <a:extLst>
            <a:ext uri="{FF2B5EF4-FFF2-40B4-BE49-F238E27FC236}">
              <a16:creationId xmlns:a16="http://schemas.microsoft.com/office/drawing/2014/main" id="{F9F6F43B-5F14-4C75-BB47-33F6ED8D99D3}"/>
            </a:ext>
          </a:extLst>
        </xdr:cNvPr>
        <xdr:cNvSpPr txBox="1"/>
      </xdr:nvSpPr>
      <xdr:spPr>
        <a:xfrm>
          <a:off x="5478250" y="8201025"/>
          <a:ext cx="121809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Validation</a:t>
          </a:r>
          <a:r>
            <a:rPr lang="en-US" sz="1000" baseline="0"/>
            <a:t> </a:t>
          </a:r>
          <a:r>
            <a:rPr lang="en-US" sz="1000"/>
            <a:t>Research</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7</xdr:col>
      <xdr:colOff>529070</xdr:colOff>
      <xdr:row>0</xdr:row>
      <xdr:rowOff>190499</xdr:rowOff>
    </xdr:from>
    <xdr:to>
      <xdr:col>15</xdr:col>
      <xdr:colOff>518244</xdr:colOff>
      <xdr:row>10</xdr:row>
      <xdr:rowOff>60614</xdr:rowOff>
    </xdr:to>
    <xdr:sp macro="" textlink="">
      <xdr:nvSpPr>
        <xdr:cNvPr id="2" name="Rechteck 25">
          <a:extLst>
            <a:ext uri="{FF2B5EF4-FFF2-40B4-BE49-F238E27FC236}">
              <a16:creationId xmlns:a16="http://schemas.microsoft.com/office/drawing/2014/main" id="{5F6AB33A-822A-4AC6-8E14-F3B4467CE07B}"/>
            </a:ext>
          </a:extLst>
        </xdr:cNvPr>
        <xdr:cNvSpPr/>
      </xdr:nvSpPr>
      <xdr:spPr>
        <a:xfrm>
          <a:off x="6373956" y="190499"/>
          <a:ext cx="4812288" cy="1775115"/>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336319</xdr:colOff>
      <xdr:row>0</xdr:row>
      <xdr:rowOff>190498</xdr:rowOff>
    </xdr:from>
    <xdr:to>
      <xdr:col>15</xdr:col>
      <xdr:colOff>520412</xdr:colOff>
      <xdr:row>9</xdr:row>
      <xdr:rowOff>34635</xdr:rowOff>
    </xdr:to>
    <xdr:graphicFrame macro="">
      <xdr:nvGraphicFramePr>
        <xdr:cNvPr id="3" name="Diagramm 4">
          <a:extLst>
            <a:ext uri="{FF2B5EF4-FFF2-40B4-BE49-F238E27FC236}">
              <a16:creationId xmlns:a16="http://schemas.microsoft.com/office/drawing/2014/main" id="{26768058-1EC9-4F2D-B1A2-018F648D7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6940</xdr:colOff>
      <xdr:row>1</xdr:row>
      <xdr:rowOff>65942</xdr:rowOff>
    </xdr:from>
    <xdr:ext cx="559362" cy="1284876"/>
    <xdr:sp macro="" textlink="">
      <xdr:nvSpPr>
        <xdr:cNvPr id="4" name="Textfeld 7">
          <a:extLst>
            <a:ext uri="{FF2B5EF4-FFF2-40B4-BE49-F238E27FC236}">
              <a16:creationId xmlns:a16="http://schemas.microsoft.com/office/drawing/2014/main" id="{BEBE9B57-617A-4D14-8A01-1CD03C8D2374}"/>
            </a:ext>
          </a:extLst>
        </xdr:cNvPr>
        <xdr:cNvSpPr txBox="1"/>
      </xdr:nvSpPr>
      <xdr:spPr>
        <a:xfrm rot="16200000">
          <a:off x="6106529" y="619199"/>
          <a:ext cx="128487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Maturity  Level</a:t>
          </a:r>
          <a:r>
            <a:rPr lang="en-US" sz="900" baseline="0"/>
            <a:t>  of</a:t>
          </a:r>
          <a:br>
            <a:rPr lang="en-US" sz="900" baseline="0"/>
          </a:br>
          <a:r>
            <a:rPr lang="en-US" sz="900" baseline="0"/>
            <a:t>Tool  Support</a:t>
          </a:r>
          <a:endParaRPr lang="en-US" sz="900"/>
        </a:p>
      </xdr:txBody>
    </xdr:sp>
    <xdr:clientData/>
  </xdr:oneCellAnchor>
  <xdr:oneCellAnchor>
    <xdr:from>
      <xdr:col>10</xdr:col>
      <xdr:colOff>43296</xdr:colOff>
      <xdr:row>8</xdr:row>
      <xdr:rowOff>132490</xdr:rowOff>
    </xdr:from>
    <xdr:ext cx="3385705" cy="231191"/>
    <xdr:sp macro="" textlink="">
      <xdr:nvSpPr>
        <xdr:cNvPr id="5" name="Textfeld 7">
          <a:extLst>
            <a:ext uri="{FF2B5EF4-FFF2-40B4-BE49-F238E27FC236}">
              <a16:creationId xmlns:a16="http://schemas.microsoft.com/office/drawing/2014/main" id="{B7DF2B1A-179F-4B27-8364-103E30283367}"/>
            </a:ext>
          </a:extLst>
        </xdr:cNvPr>
        <xdr:cNvSpPr txBox="1"/>
      </xdr:nvSpPr>
      <xdr:spPr>
        <a:xfrm>
          <a:off x="7706591" y="1656490"/>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Articles</a:t>
          </a:r>
          <a:endParaRPr lang="en-US" sz="900"/>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7</xdr:col>
      <xdr:colOff>187040</xdr:colOff>
      <xdr:row>4</xdr:row>
      <xdr:rowOff>147205</xdr:rowOff>
    </xdr:from>
    <xdr:to>
      <xdr:col>15</xdr:col>
      <xdr:colOff>268868</xdr:colOff>
      <xdr:row>12</xdr:row>
      <xdr:rowOff>121227</xdr:rowOff>
    </xdr:to>
    <xdr:sp macro="" textlink="">
      <xdr:nvSpPr>
        <xdr:cNvPr id="12" name="Rechteck 25">
          <a:extLst>
            <a:ext uri="{FF2B5EF4-FFF2-40B4-BE49-F238E27FC236}">
              <a16:creationId xmlns:a16="http://schemas.microsoft.com/office/drawing/2014/main" id="{D350DF7F-60B2-437D-8142-A9CE014FD8C8}"/>
            </a:ext>
          </a:extLst>
        </xdr:cNvPr>
        <xdr:cNvSpPr/>
      </xdr:nvSpPr>
      <xdr:spPr>
        <a:xfrm>
          <a:off x="6031926" y="909205"/>
          <a:ext cx="4904942" cy="149802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88796</xdr:colOff>
      <xdr:row>5</xdr:row>
      <xdr:rowOff>25977</xdr:rowOff>
    </xdr:from>
    <xdr:to>
      <xdr:col>14</xdr:col>
      <xdr:colOff>536866</xdr:colOff>
      <xdr:row>11</xdr:row>
      <xdr:rowOff>117762</xdr:rowOff>
    </xdr:to>
    <xdr:graphicFrame macro="">
      <xdr:nvGraphicFramePr>
        <xdr:cNvPr id="13" name="Diagramm 4">
          <a:extLst>
            <a:ext uri="{FF2B5EF4-FFF2-40B4-BE49-F238E27FC236}">
              <a16:creationId xmlns:a16="http://schemas.microsoft.com/office/drawing/2014/main" id="{800CF13C-64A1-4E82-9E20-3F0538EBF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348102</xdr:colOff>
      <xdr:row>4</xdr:row>
      <xdr:rowOff>166654</xdr:rowOff>
    </xdr:from>
    <xdr:ext cx="559362" cy="1181500"/>
    <xdr:sp macro="" textlink="">
      <xdr:nvSpPr>
        <xdr:cNvPr id="14" name="Textfeld 7">
          <a:extLst>
            <a:ext uri="{FF2B5EF4-FFF2-40B4-BE49-F238E27FC236}">
              <a16:creationId xmlns:a16="http://schemas.microsoft.com/office/drawing/2014/main" id="{FB8B99B5-3DFB-49F8-9344-4A39E65983D5}"/>
            </a:ext>
          </a:extLst>
        </xdr:cNvPr>
        <xdr:cNvSpPr txBox="1"/>
      </xdr:nvSpPr>
      <xdr:spPr>
        <a:xfrm rot="16200000">
          <a:off x="5891245" y="1239723"/>
          <a:ext cx="118150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Conflict</a:t>
          </a:r>
          <a:r>
            <a:rPr lang="en-US" sz="900" baseline="0"/>
            <a:t> Type</a:t>
          </a:r>
          <a:endParaRPr lang="en-US" sz="900"/>
        </a:p>
        <a:p>
          <a:pPr algn="ctr"/>
          <a:endParaRPr lang="en-US" sz="900"/>
        </a:p>
      </xdr:txBody>
    </xdr:sp>
    <xdr:clientData/>
  </xdr:oneCellAnchor>
  <xdr:oneCellAnchor>
    <xdr:from>
      <xdr:col>9</xdr:col>
      <xdr:colOff>212481</xdr:colOff>
      <xdr:row>11</xdr:row>
      <xdr:rowOff>34637</xdr:rowOff>
    </xdr:from>
    <xdr:ext cx="3133128" cy="231191"/>
    <xdr:sp macro="" textlink="">
      <xdr:nvSpPr>
        <xdr:cNvPr id="5" name="Textfeld 7">
          <a:extLst>
            <a:ext uri="{FF2B5EF4-FFF2-40B4-BE49-F238E27FC236}">
              <a16:creationId xmlns:a16="http://schemas.microsoft.com/office/drawing/2014/main" id="{548B385D-79CB-489E-B535-42387A8B3B8E}"/>
            </a:ext>
          </a:extLst>
        </xdr:cNvPr>
        <xdr:cNvSpPr txBox="1"/>
      </xdr:nvSpPr>
      <xdr:spPr>
        <a:xfrm>
          <a:off x="7282962" y="2130137"/>
          <a:ext cx="3133128"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17.xml><?xml version="1.0" encoding="utf-8"?>
<xdr:wsDr xmlns:xdr="http://schemas.openxmlformats.org/drawingml/2006/spreadsheetDrawing" xmlns:a="http://schemas.openxmlformats.org/drawingml/2006/main">
  <xdr:twoCellAnchor>
    <xdr:from>
      <xdr:col>7</xdr:col>
      <xdr:colOff>187040</xdr:colOff>
      <xdr:row>4</xdr:row>
      <xdr:rowOff>147204</xdr:rowOff>
    </xdr:from>
    <xdr:to>
      <xdr:col>15</xdr:col>
      <xdr:colOff>268868</xdr:colOff>
      <xdr:row>12</xdr:row>
      <xdr:rowOff>112567</xdr:rowOff>
    </xdr:to>
    <xdr:sp macro="" textlink="">
      <xdr:nvSpPr>
        <xdr:cNvPr id="2" name="Rechteck 25">
          <a:extLst>
            <a:ext uri="{FF2B5EF4-FFF2-40B4-BE49-F238E27FC236}">
              <a16:creationId xmlns:a16="http://schemas.microsoft.com/office/drawing/2014/main" id="{1C0CC69F-C071-4707-82AB-F4D68AD6B095}"/>
            </a:ext>
          </a:extLst>
        </xdr:cNvPr>
        <xdr:cNvSpPr/>
      </xdr:nvSpPr>
      <xdr:spPr>
        <a:xfrm>
          <a:off x="6031926" y="909204"/>
          <a:ext cx="4904942" cy="1489363"/>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88796</xdr:colOff>
      <xdr:row>5</xdr:row>
      <xdr:rowOff>25977</xdr:rowOff>
    </xdr:from>
    <xdr:to>
      <xdr:col>14</xdr:col>
      <xdr:colOff>536866</xdr:colOff>
      <xdr:row>11</xdr:row>
      <xdr:rowOff>117762</xdr:rowOff>
    </xdr:to>
    <xdr:graphicFrame macro="">
      <xdr:nvGraphicFramePr>
        <xdr:cNvPr id="3" name="Diagramm 4">
          <a:extLst>
            <a:ext uri="{FF2B5EF4-FFF2-40B4-BE49-F238E27FC236}">
              <a16:creationId xmlns:a16="http://schemas.microsoft.com/office/drawing/2014/main" id="{C7997875-8006-4D06-95C3-BBD3B68F2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348102</xdr:colOff>
      <xdr:row>4</xdr:row>
      <xdr:rowOff>103761</xdr:rowOff>
    </xdr:from>
    <xdr:ext cx="559362" cy="1300594"/>
    <xdr:sp macro="" textlink="">
      <xdr:nvSpPr>
        <xdr:cNvPr id="4" name="Textfeld 7">
          <a:extLst>
            <a:ext uri="{FF2B5EF4-FFF2-40B4-BE49-F238E27FC236}">
              <a16:creationId xmlns:a16="http://schemas.microsoft.com/office/drawing/2014/main" id="{BDCDAE4D-E5B0-4A4F-8647-E2AEB50DC1A3}"/>
            </a:ext>
          </a:extLst>
        </xdr:cNvPr>
        <xdr:cNvSpPr txBox="1"/>
      </xdr:nvSpPr>
      <xdr:spPr>
        <a:xfrm rot="16200000">
          <a:off x="5843299" y="1236377"/>
          <a:ext cx="1300594"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Conflict</a:t>
          </a:r>
          <a:r>
            <a:rPr lang="en-US" sz="900" baseline="0"/>
            <a:t> Type</a:t>
          </a:r>
          <a:endParaRPr lang="en-US" sz="900"/>
        </a:p>
        <a:p>
          <a:pPr algn="ctr"/>
          <a:endParaRPr lang="en-US" sz="900"/>
        </a:p>
      </xdr:txBody>
    </xdr:sp>
    <xdr:clientData/>
  </xdr:oneCellAnchor>
  <xdr:oneCellAnchor>
    <xdr:from>
      <xdr:col>9</xdr:col>
      <xdr:colOff>264971</xdr:colOff>
      <xdr:row>11</xdr:row>
      <xdr:rowOff>34636</xdr:rowOff>
    </xdr:from>
    <xdr:ext cx="3385705" cy="231191"/>
    <xdr:sp macro="" textlink="">
      <xdr:nvSpPr>
        <xdr:cNvPr id="5" name="Textfeld 7">
          <a:extLst>
            <a:ext uri="{FF2B5EF4-FFF2-40B4-BE49-F238E27FC236}">
              <a16:creationId xmlns:a16="http://schemas.microsoft.com/office/drawing/2014/main" id="{F6EF5EF9-B2DE-4289-9682-AA5046862E10}"/>
            </a:ext>
          </a:extLst>
        </xdr:cNvPr>
        <xdr:cNvSpPr txBox="1"/>
      </xdr:nvSpPr>
      <xdr:spPr>
        <a:xfrm>
          <a:off x="7322130" y="2130136"/>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7</xdr:col>
      <xdr:colOff>416495</xdr:colOff>
      <xdr:row>1</xdr:row>
      <xdr:rowOff>187344</xdr:rowOff>
    </xdr:from>
    <xdr:to>
      <xdr:col>15</xdr:col>
      <xdr:colOff>405669</xdr:colOff>
      <xdr:row>39</xdr:row>
      <xdr:rowOff>25977</xdr:rowOff>
    </xdr:to>
    <xdr:sp macro="" textlink="">
      <xdr:nvSpPr>
        <xdr:cNvPr id="2" name="Rechteck 25">
          <a:extLst>
            <a:ext uri="{FF2B5EF4-FFF2-40B4-BE49-F238E27FC236}">
              <a16:creationId xmlns:a16="http://schemas.microsoft.com/office/drawing/2014/main" id="{11806FF9-4DCD-42E0-AA9F-180DB9EEE8F4}"/>
            </a:ext>
          </a:extLst>
        </xdr:cNvPr>
        <xdr:cNvSpPr/>
      </xdr:nvSpPr>
      <xdr:spPr>
        <a:xfrm>
          <a:off x="6261381" y="377844"/>
          <a:ext cx="4812288" cy="7077633"/>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223744</xdr:colOff>
      <xdr:row>1</xdr:row>
      <xdr:rowOff>95248</xdr:rowOff>
    </xdr:from>
    <xdr:to>
      <xdr:col>15</xdr:col>
      <xdr:colOff>407837</xdr:colOff>
      <xdr:row>37</xdr:row>
      <xdr:rowOff>181841</xdr:rowOff>
    </xdr:to>
    <xdr:graphicFrame macro="">
      <xdr:nvGraphicFramePr>
        <xdr:cNvPr id="3" name="Diagramm 4">
          <a:extLst>
            <a:ext uri="{FF2B5EF4-FFF2-40B4-BE49-F238E27FC236}">
              <a16:creationId xmlns:a16="http://schemas.microsoft.com/office/drawing/2014/main" id="{31D1DF18-891E-4FBC-9293-9368F3F9F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456328</xdr:colOff>
      <xdr:row>3</xdr:row>
      <xdr:rowOff>60613</xdr:rowOff>
    </xdr:from>
    <xdr:ext cx="559362" cy="678180"/>
    <xdr:sp macro="" textlink="">
      <xdr:nvSpPr>
        <xdr:cNvPr id="4" name="Textfeld 7">
          <a:extLst>
            <a:ext uri="{FF2B5EF4-FFF2-40B4-BE49-F238E27FC236}">
              <a16:creationId xmlns:a16="http://schemas.microsoft.com/office/drawing/2014/main" id="{610A0B65-D7AC-4E82-A79C-9A89553EE96A}"/>
            </a:ext>
          </a:extLst>
        </xdr:cNvPr>
        <xdr:cNvSpPr txBox="1"/>
      </xdr:nvSpPr>
      <xdr:spPr>
        <a:xfrm rot="16200000">
          <a:off x="6241805" y="691522"/>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Model Type</a:t>
          </a:r>
        </a:p>
        <a:p>
          <a:pPr algn="ctr"/>
          <a:endParaRPr lang="en-US" sz="900"/>
        </a:p>
      </xdr:txBody>
    </xdr:sp>
    <xdr:clientData/>
  </xdr:oneCellAnchor>
  <xdr:twoCellAnchor>
    <xdr:from>
      <xdr:col>7</xdr:col>
      <xdr:colOff>596182</xdr:colOff>
      <xdr:row>8</xdr:row>
      <xdr:rowOff>162337</xdr:rowOff>
    </xdr:from>
    <xdr:to>
      <xdr:col>15</xdr:col>
      <xdr:colOff>218270</xdr:colOff>
      <xdr:row>8</xdr:row>
      <xdr:rowOff>162337</xdr:rowOff>
    </xdr:to>
    <xdr:cxnSp macro="">
      <xdr:nvCxnSpPr>
        <xdr:cNvPr id="7" name="Gerader Verbinder 19">
          <a:extLst>
            <a:ext uri="{FF2B5EF4-FFF2-40B4-BE49-F238E27FC236}">
              <a16:creationId xmlns:a16="http://schemas.microsoft.com/office/drawing/2014/main" id="{CE6B6D5F-9503-468A-9DB4-E80193AC7844}"/>
            </a:ext>
          </a:extLst>
        </xdr:cNvPr>
        <xdr:cNvCxnSpPr/>
      </xdr:nvCxnSpPr>
      <xdr:spPr>
        <a:xfrm flipV="1">
          <a:off x="6441068" y="1686337"/>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3180</xdr:colOff>
      <xdr:row>12</xdr:row>
      <xdr:rowOff>108355</xdr:rowOff>
    </xdr:from>
    <xdr:to>
      <xdr:col>15</xdr:col>
      <xdr:colOff>231405</xdr:colOff>
      <xdr:row>12</xdr:row>
      <xdr:rowOff>108355</xdr:rowOff>
    </xdr:to>
    <xdr:cxnSp macro="">
      <xdr:nvCxnSpPr>
        <xdr:cNvPr id="8" name="Gerader Verbinder 19">
          <a:extLst>
            <a:ext uri="{FF2B5EF4-FFF2-40B4-BE49-F238E27FC236}">
              <a16:creationId xmlns:a16="http://schemas.microsoft.com/office/drawing/2014/main" id="{599297E2-F070-479E-A56B-51BB339E76E7}"/>
            </a:ext>
          </a:extLst>
        </xdr:cNvPr>
        <xdr:cNvCxnSpPr/>
      </xdr:nvCxnSpPr>
      <xdr:spPr>
        <a:xfrm flipV="1">
          <a:off x="6454203" y="2394355"/>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605855</xdr:colOff>
      <xdr:row>17</xdr:row>
      <xdr:rowOff>86851</xdr:rowOff>
    </xdr:from>
    <xdr:to>
      <xdr:col>15</xdr:col>
      <xdr:colOff>227943</xdr:colOff>
      <xdr:row>17</xdr:row>
      <xdr:rowOff>86851</xdr:rowOff>
    </xdr:to>
    <xdr:cxnSp macro="">
      <xdr:nvCxnSpPr>
        <xdr:cNvPr id="9" name="Gerader Verbinder 19">
          <a:extLst>
            <a:ext uri="{FF2B5EF4-FFF2-40B4-BE49-F238E27FC236}">
              <a16:creationId xmlns:a16="http://schemas.microsoft.com/office/drawing/2014/main" id="{CA96FF1F-FDBE-45CA-9874-2DD46807960F}"/>
            </a:ext>
          </a:extLst>
        </xdr:cNvPr>
        <xdr:cNvCxnSpPr/>
      </xdr:nvCxnSpPr>
      <xdr:spPr>
        <a:xfrm flipV="1">
          <a:off x="6450741" y="3325351"/>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2174</xdr:colOff>
      <xdr:row>22</xdr:row>
      <xdr:rowOff>69101</xdr:rowOff>
    </xdr:from>
    <xdr:to>
      <xdr:col>15</xdr:col>
      <xdr:colOff>230399</xdr:colOff>
      <xdr:row>22</xdr:row>
      <xdr:rowOff>69101</xdr:rowOff>
    </xdr:to>
    <xdr:cxnSp macro="">
      <xdr:nvCxnSpPr>
        <xdr:cNvPr id="10" name="Gerader Verbinder 19">
          <a:extLst>
            <a:ext uri="{FF2B5EF4-FFF2-40B4-BE49-F238E27FC236}">
              <a16:creationId xmlns:a16="http://schemas.microsoft.com/office/drawing/2014/main" id="{7480AFA8-F6CE-4EB5-AA29-F2BA2DF428D2}"/>
            </a:ext>
          </a:extLst>
        </xdr:cNvPr>
        <xdr:cNvCxnSpPr/>
      </xdr:nvCxnSpPr>
      <xdr:spPr>
        <a:xfrm flipV="1">
          <a:off x="6453197" y="4260101"/>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401779</xdr:colOff>
      <xdr:row>33</xdr:row>
      <xdr:rowOff>43289</xdr:rowOff>
    </xdr:from>
    <xdr:ext cx="559362" cy="678180"/>
    <xdr:sp macro="" textlink="">
      <xdr:nvSpPr>
        <xdr:cNvPr id="11" name="Textfeld 7">
          <a:extLst>
            <a:ext uri="{FF2B5EF4-FFF2-40B4-BE49-F238E27FC236}">
              <a16:creationId xmlns:a16="http://schemas.microsoft.com/office/drawing/2014/main" id="{F2FF35E6-0F22-40C3-9287-07AE14317CA9}"/>
            </a:ext>
          </a:extLst>
        </xdr:cNvPr>
        <xdr:cNvSpPr txBox="1"/>
      </xdr:nvSpPr>
      <xdr:spPr>
        <a:xfrm rot="16200000">
          <a:off x="6187256" y="6389198"/>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Ordered</a:t>
          </a:r>
          <a:br>
            <a:rPr lang="en-US" sz="900"/>
          </a:br>
          <a:r>
            <a:rPr lang="en-US" sz="900"/>
            <a:t>Feature</a:t>
          </a:r>
        </a:p>
      </xdr:txBody>
    </xdr:sp>
    <xdr:clientData/>
  </xdr:oneCellAnchor>
  <xdr:oneCellAnchor>
    <xdr:from>
      <xdr:col>7</xdr:col>
      <xdr:colOff>394855</xdr:colOff>
      <xdr:row>8</xdr:row>
      <xdr:rowOff>181834</xdr:rowOff>
    </xdr:from>
    <xdr:ext cx="559362" cy="678180"/>
    <xdr:sp macro="" textlink="">
      <xdr:nvSpPr>
        <xdr:cNvPr id="13" name="Textfeld 7">
          <a:extLst>
            <a:ext uri="{FF2B5EF4-FFF2-40B4-BE49-F238E27FC236}">
              <a16:creationId xmlns:a16="http://schemas.microsoft.com/office/drawing/2014/main" id="{F96B9A13-D493-40C0-9BE3-5007F15B70E7}"/>
            </a:ext>
          </a:extLst>
        </xdr:cNvPr>
        <xdr:cNvSpPr txBox="1"/>
      </xdr:nvSpPr>
      <xdr:spPr>
        <a:xfrm rot="16200000">
          <a:off x="6180332" y="1765243"/>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baseline="0"/>
          </a:br>
          <a:r>
            <a:rPr lang="en-US" sz="900" baseline="0"/>
            <a:t>Repository</a:t>
          </a:r>
          <a:br>
            <a:rPr lang="en-US" sz="900" baseline="0"/>
          </a:br>
          <a:r>
            <a:rPr lang="en-US" sz="900" baseline="0"/>
            <a:t>Architecture</a:t>
          </a:r>
          <a:endParaRPr lang="en-US" sz="900"/>
        </a:p>
      </xdr:txBody>
    </xdr:sp>
    <xdr:clientData/>
  </xdr:oneCellAnchor>
  <xdr:oneCellAnchor>
    <xdr:from>
      <xdr:col>7</xdr:col>
      <xdr:colOff>401197</xdr:colOff>
      <xdr:row>13</xdr:row>
      <xdr:rowOff>53527</xdr:rowOff>
    </xdr:from>
    <xdr:ext cx="559362" cy="678180"/>
    <xdr:sp macro="" textlink="">
      <xdr:nvSpPr>
        <xdr:cNvPr id="14" name="Textfeld 7">
          <a:extLst>
            <a:ext uri="{FF2B5EF4-FFF2-40B4-BE49-F238E27FC236}">
              <a16:creationId xmlns:a16="http://schemas.microsoft.com/office/drawing/2014/main" id="{CC7F91FF-4B34-46F7-8CE2-89A696BE6CE8}"/>
            </a:ext>
          </a:extLst>
        </xdr:cNvPr>
        <xdr:cNvSpPr txBox="1"/>
      </xdr:nvSpPr>
      <xdr:spPr>
        <a:xfrm rot="16200000">
          <a:off x="6186674" y="2589436"/>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baseline="0"/>
          </a:br>
          <a:r>
            <a:rPr lang="en-US" sz="900" baseline="0"/>
            <a:t>Versioning</a:t>
          </a:r>
          <a:endParaRPr lang="en-US" sz="900"/>
        </a:p>
        <a:p>
          <a:pPr algn="ctr"/>
          <a:r>
            <a:rPr lang="en-US" sz="900"/>
            <a:t>Strategy</a:t>
          </a:r>
        </a:p>
      </xdr:txBody>
    </xdr:sp>
    <xdr:clientData/>
  </xdr:oneCellAnchor>
  <xdr:oneCellAnchor>
    <xdr:from>
      <xdr:col>7</xdr:col>
      <xdr:colOff>394136</xdr:colOff>
      <xdr:row>17</xdr:row>
      <xdr:rowOff>187162</xdr:rowOff>
    </xdr:from>
    <xdr:ext cx="559362" cy="678180"/>
    <xdr:sp macro="" textlink="">
      <xdr:nvSpPr>
        <xdr:cNvPr id="15" name="Textfeld 7">
          <a:extLst>
            <a:ext uri="{FF2B5EF4-FFF2-40B4-BE49-F238E27FC236}">
              <a16:creationId xmlns:a16="http://schemas.microsoft.com/office/drawing/2014/main" id="{156224D6-74AE-4378-BBF5-DE40E3D3C9B2}"/>
            </a:ext>
          </a:extLst>
        </xdr:cNvPr>
        <xdr:cNvSpPr txBox="1"/>
      </xdr:nvSpPr>
      <xdr:spPr>
        <a:xfrm rot="16200000">
          <a:off x="6179613" y="3485071"/>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Collaboration</a:t>
          </a:r>
        </a:p>
        <a:p>
          <a:pPr algn="ctr"/>
          <a:r>
            <a:rPr lang="en-US" sz="900"/>
            <a:t>Mechanism</a:t>
          </a:r>
        </a:p>
      </xdr:txBody>
    </xdr:sp>
    <xdr:clientData/>
  </xdr:oneCellAnchor>
  <xdr:oneCellAnchor>
    <xdr:from>
      <xdr:col>7</xdr:col>
      <xdr:colOff>399333</xdr:colOff>
      <xdr:row>23</xdr:row>
      <xdr:rowOff>88442</xdr:rowOff>
    </xdr:from>
    <xdr:ext cx="559362" cy="678180"/>
    <xdr:sp macro="" textlink="">
      <xdr:nvSpPr>
        <xdr:cNvPr id="16" name="Textfeld 7">
          <a:extLst>
            <a:ext uri="{FF2B5EF4-FFF2-40B4-BE49-F238E27FC236}">
              <a16:creationId xmlns:a16="http://schemas.microsoft.com/office/drawing/2014/main" id="{B1D4DFA3-F1E1-4B2D-B434-DBDE97DE2F93}"/>
            </a:ext>
          </a:extLst>
        </xdr:cNvPr>
        <xdr:cNvSpPr txBox="1"/>
      </xdr:nvSpPr>
      <xdr:spPr>
        <a:xfrm rot="16200000">
          <a:off x="6184810" y="4529351"/>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Comparison</a:t>
          </a:r>
          <a:br>
            <a:rPr lang="en-US" sz="900"/>
          </a:br>
          <a:r>
            <a:rPr lang="en-US" sz="900"/>
            <a:t>Technique</a:t>
          </a:r>
        </a:p>
      </xdr:txBody>
    </xdr:sp>
    <xdr:clientData/>
  </xdr:oneCellAnchor>
  <xdr:oneCellAnchor>
    <xdr:from>
      <xdr:col>7</xdr:col>
      <xdr:colOff>396740</xdr:colOff>
      <xdr:row>29</xdr:row>
      <xdr:rowOff>30157</xdr:rowOff>
    </xdr:from>
    <xdr:ext cx="559362" cy="678180"/>
    <xdr:sp macro="" textlink="">
      <xdr:nvSpPr>
        <xdr:cNvPr id="17" name="Textfeld 7">
          <a:extLst>
            <a:ext uri="{FF2B5EF4-FFF2-40B4-BE49-F238E27FC236}">
              <a16:creationId xmlns:a16="http://schemas.microsoft.com/office/drawing/2014/main" id="{8B79E55F-BD9C-4FB2-84C5-F00ECE6D6ED2}"/>
            </a:ext>
          </a:extLst>
        </xdr:cNvPr>
        <xdr:cNvSpPr txBox="1"/>
      </xdr:nvSpPr>
      <xdr:spPr>
        <a:xfrm rot="16200000">
          <a:off x="6182217" y="5614066"/>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Merging</a:t>
          </a:r>
          <a:br>
            <a:rPr lang="en-US" sz="900"/>
          </a:br>
          <a:r>
            <a:rPr lang="en-US" sz="900"/>
            <a:t>Technique</a:t>
          </a:r>
        </a:p>
      </xdr:txBody>
    </xdr:sp>
    <xdr:clientData/>
  </xdr:oneCellAnchor>
  <xdr:twoCellAnchor>
    <xdr:from>
      <xdr:col>8</xdr:col>
      <xdr:colOff>11699</xdr:colOff>
      <xdr:row>33</xdr:row>
      <xdr:rowOff>69101</xdr:rowOff>
    </xdr:from>
    <xdr:to>
      <xdr:col>15</xdr:col>
      <xdr:colOff>239924</xdr:colOff>
      <xdr:row>33</xdr:row>
      <xdr:rowOff>69101</xdr:rowOff>
    </xdr:to>
    <xdr:cxnSp macro="">
      <xdr:nvCxnSpPr>
        <xdr:cNvPr id="19" name="Gerader Verbinder 19">
          <a:extLst>
            <a:ext uri="{FF2B5EF4-FFF2-40B4-BE49-F238E27FC236}">
              <a16:creationId xmlns:a16="http://schemas.microsoft.com/office/drawing/2014/main" id="{715FF3EC-ACC3-4867-B741-EA20F006AA05}"/>
            </a:ext>
          </a:extLst>
        </xdr:cNvPr>
        <xdr:cNvCxnSpPr/>
      </xdr:nvCxnSpPr>
      <xdr:spPr>
        <a:xfrm flipV="1">
          <a:off x="6462722" y="6355601"/>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16896</xdr:colOff>
      <xdr:row>28</xdr:row>
      <xdr:rowOff>91618</xdr:rowOff>
    </xdr:from>
    <xdr:to>
      <xdr:col>15</xdr:col>
      <xdr:colOff>245121</xdr:colOff>
      <xdr:row>28</xdr:row>
      <xdr:rowOff>91618</xdr:rowOff>
    </xdr:to>
    <xdr:cxnSp macro="">
      <xdr:nvCxnSpPr>
        <xdr:cNvPr id="20" name="Gerader Verbinder 19">
          <a:extLst>
            <a:ext uri="{FF2B5EF4-FFF2-40B4-BE49-F238E27FC236}">
              <a16:creationId xmlns:a16="http://schemas.microsoft.com/office/drawing/2014/main" id="{139D4830-03E7-4393-8CCD-88B16D856EDF}"/>
            </a:ext>
          </a:extLst>
        </xdr:cNvPr>
        <xdr:cNvCxnSpPr/>
      </xdr:nvCxnSpPr>
      <xdr:spPr>
        <a:xfrm flipV="1">
          <a:off x="6467919" y="5425618"/>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520403</xdr:colOff>
      <xdr:row>37</xdr:row>
      <xdr:rowOff>92094</xdr:rowOff>
    </xdr:from>
    <xdr:ext cx="3385705" cy="231191"/>
    <xdr:sp macro="" textlink="">
      <xdr:nvSpPr>
        <xdr:cNvPr id="18" name="Textfeld 7">
          <a:extLst>
            <a:ext uri="{FF2B5EF4-FFF2-40B4-BE49-F238E27FC236}">
              <a16:creationId xmlns:a16="http://schemas.microsoft.com/office/drawing/2014/main" id="{E563DF63-EE6E-417B-A709-47E39794EB4C}"/>
            </a:ext>
          </a:extLst>
        </xdr:cNvPr>
        <xdr:cNvSpPr txBox="1"/>
      </xdr:nvSpPr>
      <xdr:spPr>
        <a:xfrm>
          <a:off x="7577562" y="7140594"/>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19.xml><?xml version="1.0" encoding="utf-8"?>
<xdr:wsDr xmlns:xdr="http://schemas.openxmlformats.org/drawingml/2006/spreadsheetDrawing" xmlns:a="http://schemas.openxmlformats.org/drawingml/2006/main">
  <xdr:twoCellAnchor>
    <xdr:from>
      <xdr:col>4</xdr:col>
      <xdr:colOff>123825</xdr:colOff>
      <xdr:row>70</xdr:row>
      <xdr:rowOff>0</xdr:rowOff>
    </xdr:from>
    <xdr:to>
      <xdr:col>13</xdr:col>
      <xdr:colOff>1419225</xdr:colOff>
      <xdr:row>71</xdr:row>
      <xdr:rowOff>133350</xdr:rowOff>
    </xdr:to>
    <xdr:sp macro="" textlink="">
      <xdr:nvSpPr>
        <xdr:cNvPr id="2" name="Rectangle 1">
          <a:extLst>
            <a:ext uri="{FF2B5EF4-FFF2-40B4-BE49-F238E27FC236}">
              <a16:creationId xmlns:a16="http://schemas.microsoft.com/office/drawing/2014/main" id="{83749DF8-E000-495C-A4BB-0F8F6E1E5883}"/>
            </a:ext>
          </a:extLst>
        </xdr:cNvPr>
        <xdr:cNvSpPr/>
      </xdr:nvSpPr>
      <xdr:spPr>
        <a:xfrm>
          <a:off x="4495800" y="13335000"/>
          <a:ext cx="678180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69</xdr:row>
      <xdr:rowOff>47625</xdr:rowOff>
    </xdr:from>
    <xdr:to>
      <xdr:col>5</xdr:col>
      <xdr:colOff>142875</xdr:colOff>
      <xdr:row>70</xdr:row>
      <xdr:rowOff>76200</xdr:rowOff>
    </xdr:to>
    <xdr:sp macro="" textlink="">
      <xdr:nvSpPr>
        <xdr:cNvPr id="3" name="Rectangle 2">
          <a:extLst>
            <a:ext uri="{FF2B5EF4-FFF2-40B4-BE49-F238E27FC236}">
              <a16:creationId xmlns:a16="http://schemas.microsoft.com/office/drawing/2014/main" id="{040513E5-205A-416E-8134-0B6B85F46C16}"/>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69</xdr:row>
      <xdr:rowOff>0</xdr:rowOff>
    </xdr:from>
    <xdr:to>
      <xdr:col>5</xdr:col>
      <xdr:colOff>104775</xdr:colOff>
      <xdr:row>70</xdr:row>
      <xdr:rowOff>66675</xdr:rowOff>
    </xdr:to>
    <xdr:sp macro="" textlink="">
      <xdr:nvSpPr>
        <xdr:cNvPr id="4" name="Rectangle 3">
          <a:extLst>
            <a:ext uri="{FF2B5EF4-FFF2-40B4-BE49-F238E27FC236}">
              <a16:creationId xmlns:a16="http://schemas.microsoft.com/office/drawing/2014/main" id="{72BB9C6D-27D2-40F8-85FD-72044A48D2F7}"/>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69</xdr:row>
      <xdr:rowOff>0</xdr:rowOff>
    </xdr:from>
    <xdr:to>
      <xdr:col>13</xdr:col>
      <xdr:colOff>1343024</xdr:colOff>
      <xdr:row>70</xdr:row>
      <xdr:rowOff>66675</xdr:rowOff>
    </xdr:to>
    <xdr:sp macro="" textlink="">
      <xdr:nvSpPr>
        <xdr:cNvPr id="5" name="Rectangle 4">
          <a:extLst>
            <a:ext uri="{FF2B5EF4-FFF2-40B4-BE49-F238E27FC236}">
              <a16:creationId xmlns:a16="http://schemas.microsoft.com/office/drawing/2014/main" id="{02129DC8-D4F2-4131-9073-AB18D65F0682}"/>
            </a:ext>
          </a:extLst>
        </xdr:cNvPr>
        <xdr:cNvSpPr/>
      </xdr:nvSpPr>
      <xdr:spPr>
        <a:xfrm>
          <a:off x="10906124" y="1314450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70</xdr:row>
      <xdr:rowOff>28575</xdr:rowOff>
    </xdr:from>
    <xdr:ext cx="1029064" cy="248851"/>
    <xdr:sp macro="" textlink="">
      <xdr:nvSpPr>
        <xdr:cNvPr id="6" name="TextBox 5">
          <a:extLst>
            <a:ext uri="{FF2B5EF4-FFF2-40B4-BE49-F238E27FC236}">
              <a16:creationId xmlns:a16="http://schemas.microsoft.com/office/drawing/2014/main" id="{00F93F2C-5E55-4D3E-936C-738E33407CB3}"/>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2</xdr:col>
      <xdr:colOff>952499</xdr:colOff>
      <xdr:row>37</xdr:row>
      <xdr:rowOff>180975</xdr:rowOff>
    </xdr:from>
    <xdr:to>
      <xdr:col>2</xdr:col>
      <xdr:colOff>1247774</xdr:colOff>
      <xdr:row>39</xdr:row>
      <xdr:rowOff>57150</xdr:rowOff>
    </xdr:to>
    <xdr:sp macro="" textlink="">
      <xdr:nvSpPr>
        <xdr:cNvPr id="9" name="Rectangle 8">
          <a:extLst>
            <a:ext uri="{FF2B5EF4-FFF2-40B4-BE49-F238E27FC236}">
              <a16:creationId xmlns:a16="http://schemas.microsoft.com/office/drawing/2014/main" id="{9B33C516-46B8-4194-BDD8-5D94C0F96DBC}"/>
            </a:ext>
          </a:extLst>
        </xdr:cNvPr>
        <xdr:cNvSpPr/>
      </xdr:nvSpPr>
      <xdr:spPr>
        <a:xfrm>
          <a:off x="3448049" y="722947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819149</xdr:colOff>
      <xdr:row>38</xdr:row>
      <xdr:rowOff>85725</xdr:rowOff>
    </xdr:from>
    <xdr:to>
      <xdr:col>2</xdr:col>
      <xdr:colOff>1114424</xdr:colOff>
      <xdr:row>39</xdr:row>
      <xdr:rowOff>152400</xdr:rowOff>
    </xdr:to>
    <xdr:sp macro="" textlink="">
      <xdr:nvSpPr>
        <xdr:cNvPr id="10" name="Rectangle 9">
          <a:extLst>
            <a:ext uri="{FF2B5EF4-FFF2-40B4-BE49-F238E27FC236}">
              <a16:creationId xmlns:a16="http://schemas.microsoft.com/office/drawing/2014/main" id="{5AFA6E8E-D46C-4536-AD9C-49A38DF1AD0B}"/>
            </a:ext>
          </a:extLst>
        </xdr:cNvPr>
        <xdr:cNvSpPr/>
      </xdr:nvSpPr>
      <xdr:spPr>
        <a:xfrm>
          <a:off x="3314699" y="73247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xdr:colOff>
      <xdr:row>37</xdr:row>
      <xdr:rowOff>19049</xdr:rowOff>
    </xdr:from>
    <xdr:to>
      <xdr:col>12</xdr:col>
      <xdr:colOff>104774</xdr:colOff>
      <xdr:row>44</xdr:row>
      <xdr:rowOff>47624</xdr:rowOff>
    </xdr:to>
    <xdr:sp macro="" textlink="">
      <xdr:nvSpPr>
        <xdr:cNvPr id="11" name="Rectangle 10">
          <a:extLst>
            <a:ext uri="{FF2B5EF4-FFF2-40B4-BE49-F238E27FC236}">
              <a16:creationId xmlns:a16="http://schemas.microsoft.com/office/drawing/2014/main" id="{7135BCF6-CCE0-46E8-8410-41A34474D0E6}"/>
            </a:ext>
          </a:extLst>
        </xdr:cNvPr>
        <xdr:cNvSpPr/>
      </xdr:nvSpPr>
      <xdr:spPr>
        <a:xfrm>
          <a:off x="4400550" y="7067549"/>
          <a:ext cx="4952999" cy="1362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1019175</xdr:colOff>
      <xdr:row>0</xdr:row>
      <xdr:rowOff>104775</xdr:rowOff>
    </xdr:from>
    <xdr:to>
      <xdr:col>3</xdr:col>
      <xdr:colOff>104775</xdr:colOff>
      <xdr:row>1</xdr:row>
      <xdr:rowOff>171450</xdr:rowOff>
    </xdr:to>
    <xdr:sp macro="" textlink="">
      <xdr:nvSpPr>
        <xdr:cNvPr id="12" name="Rectangle 11">
          <a:extLst>
            <a:ext uri="{FF2B5EF4-FFF2-40B4-BE49-F238E27FC236}">
              <a16:creationId xmlns:a16="http://schemas.microsoft.com/office/drawing/2014/main" id="{D6755053-7B1A-4048-BD2C-0452FAF3EB08}"/>
            </a:ext>
          </a:extLst>
        </xdr:cNvPr>
        <xdr:cNvSpPr/>
      </xdr:nvSpPr>
      <xdr:spPr>
        <a:xfrm>
          <a:off x="3514725" y="10477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495300</xdr:colOff>
      <xdr:row>37</xdr:row>
      <xdr:rowOff>38100</xdr:rowOff>
    </xdr:from>
    <xdr:ext cx="411908" cy="248851"/>
    <xdr:sp macro="" textlink="">
      <xdr:nvSpPr>
        <xdr:cNvPr id="13" name="TextBox 12">
          <a:extLst>
            <a:ext uri="{FF2B5EF4-FFF2-40B4-BE49-F238E27FC236}">
              <a16:creationId xmlns:a16="http://schemas.microsoft.com/office/drawing/2014/main" id="{1A0B8194-822A-46E3-B976-72B70AD70F83}"/>
            </a:ext>
          </a:extLst>
        </xdr:cNvPr>
        <xdr:cNvSpPr txBox="1"/>
      </xdr:nvSpPr>
      <xdr:spPr>
        <a:xfrm rot="-2700000">
          <a:off x="5476875" y="7086600"/>
          <a:ext cx="41190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Tool</a:t>
          </a:r>
        </a:p>
      </xdr:txBody>
    </xdr:sp>
    <xdr:clientData/>
  </xdr:oneCellAnchor>
  <xdr:oneCellAnchor>
    <xdr:from>
      <xdr:col>5</xdr:col>
      <xdr:colOff>551200</xdr:colOff>
      <xdr:row>38</xdr:row>
      <xdr:rowOff>104775</xdr:rowOff>
    </xdr:from>
    <xdr:ext cx="1157369" cy="248851"/>
    <xdr:sp macro="" textlink="">
      <xdr:nvSpPr>
        <xdr:cNvPr id="14" name="TextBox 13">
          <a:extLst>
            <a:ext uri="{FF2B5EF4-FFF2-40B4-BE49-F238E27FC236}">
              <a16:creationId xmlns:a16="http://schemas.microsoft.com/office/drawing/2014/main" id="{41A40936-4F8C-432C-AE2E-D4EC250650A4}"/>
            </a:ext>
          </a:extLst>
        </xdr:cNvPr>
        <xdr:cNvSpPr txBox="1"/>
      </xdr:nvSpPr>
      <xdr:spPr>
        <a:xfrm rot="-2700000">
          <a:off x="5532775" y="7343775"/>
          <a:ext cx="115736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Method/Approach</a:t>
          </a:r>
        </a:p>
      </xdr:txBody>
    </xdr:sp>
    <xdr:clientData/>
  </xdr:oneCellAnchor>
  <xdr:oneCellAnchor>
    <xdr:from>
      <xdr:col>7</xdr:col>
      <xdr:colOff>23157</xdr:colOff>
      <xdr:row>38</xdr:row>
      <xdr:rowOff>114300</xdr:rowOff>
    </xdr:from>
    <xdr:ext cx="1165704" cy="248851"/>
    <xdr:sp macro="" textlink="">
      <xdr:nvSpPr>
        <xdr:cNvPr id="15" name="TextBox 14">
          <a:extLst>
            <a:ext uri="{FF2B5EF4-FFF2-40B4-BE49-F238E27FC236}">
              <a16:creationId xmlns:a16="http://schemas.microsoft.com/office/drawing/2014/main" id="{A5F6C228-9D28-4434-AB11-BF67555B6C0B}"/>
            </a:ext>
          </a:extLst>
        </xdr:cNvPr>
        <xdr:cNvSpPr txBox="1"/>
      </xdr:nvSpPr>
      <xdr:spPr>
        <a:xfrm rot="-2700000">
          <a:off x="6223932" y="7353300"/>
          <a:ext cx="116570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Model/Framework</a:t>
          </a:r>
        </a:p>
      </xdr:txBody>
    </xdr:sp>
    <xdr:clientData/>
  </xdr:oneCellAnchor>
  <xdr:oneCellAnchor>
    <xdr:from>
      <xdr:col>8</xdr:col>
      <xdr:colOff>116931</xdr:colOff>
      <xdr:row>38</xdr:row>
      <xdr:rowOff>104775</xdr:rowOff>
    </xdr:from>
    <xdr:ext cx="1149610" cy="248851"/>
    <xdr:sp macro="" textlink="">
      <xdr:nvSpPr>
        <xdr:cNvPr id="16" name="TextBox 15">
          <a:extLst>
            <a:ext uri="{FF2B5EF4-FFF2-40B4-BE49-F238E27FC236}">
              <a16:creationId xmlns:a16="http://schemas.microsoft.com/office/drawing/2014/main" id="{A0DC6251-CC41-4E74-910E-78EB1FCC5CCC}"/>
            </a:ext>
          </a:extLst>
        </xdr:cNvPr>
        <xdr:cNvSpPr txBox="1"/>
      </xdr:nvSpPr>
      <xdr:spPr>
        <a:xfrm rot="-2700000">
          <a:off x="6927306" y="7343775"/>
          <a:ext cx="114961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Process/Algorithm</a:t>
          </a:r>
        </a:p>
      </xdr:txBody>
    </xdr:sp>
    <xdr:clientData/>
  </xdr:oneCellAnchor>
  <xdr:oneCellAnchor>
    <xdr:from>
      <xdr:col>9</xdr:col>
      <xdr:colOff>193267</xdr:colOff>
      <xdr:row>38</xdr:row>
      <xdr:rowOff>114300</xdr:rowOff>
    </xdr:from>
    <xdr:ext cx="1168397" cy="248851"/>
    <xdr:sp macro="" textlink="">
      <xdr:nvSpPr>
        <xdr:cNvPr id="17" name="TextBox 16">
          <a:extLst>
            <a:ext uri="{FF2B5EF4-FFF2-40B4-BE49-F238E27FC236}">
              <a16:creationId xmlns:a16="http://schemas.microsoft.com/office/drawing/2014/main" id="{6A18441D-2CFE-4435-82A5-DEF8F6180996}"/>
            </a:ext>
          </a:extLst>
        </xdr:cNvPr>
        <xdr:cNvSpPr txBox="1"/>
      </xdr:nvSpPr>
      <xdr:spPr>
        <a:xfrm rot="-2700000">
          <a:off x="7613242" y="7353300"/>
          <a:ext cx="116839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Metric/Benchmark</a:t>
          </a:r>
        </a:p>
      </xdr:txBody>
    </xdr:sp>
    <xdr:clientData/>
  </xdr:oneCellAnchor>
  <xdr:twoCellAnchor>
    <xdr:from>
      <xdr:col>1</xdr:col>
      <xdr:colOff>685801</xdr:colOff>
      <xdr:row>4</xdr:row>
      <xdr:rowOff>90486</xdr:rowOff>
    </xdr:from>
    <xdr:to>
      <xdr:col>13</xdr:col>
      <xdr:colOff>2982057</xdr:colOff>
      <xdr:row>28</xdr:row>
      <xdr:rowOff>57149</xdr:rowOff>
    </xdr:to>
    <xdr:graphicFrame macro="">
      <xdr:nvGraphicFramePr>
        <xdr:cNvPr id="19" name="Chart 18">
          <a:extLst>
            <a:ext uri="{FF2B5EF4-FFF2-40B4-BE49-F238E27FC236}">
              <a16:creationId xmlns:a16="http://schemas.microsoft.com/office/drawing/2014/main" id="{40D36D08-9857-4FB4-9DE2-97016C486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592020</xdr:colOff>
      <xdr:row>4</xdr:row>
      <xdr:rowOff>66675</xdr:rowOff>
    </xdr:from>
    <xdr:to>
      <xdr:col>2</xdr:col>
      <xdr:colOff>659427</xdr:colOff>
      <xdr:row>29</xdr:row>
      <xdr:rowOff>9524</xdr:rowOff>
    </xdr:to>
    <xdr:sp macro="" textlink="">
      <xdr:nvSpPr>
        <xdr:cNvPr id="20" name="Rectangle 19">
          <a:extLst>
            <a:ext uri="{FF2B5EF4-FFF2-40B4-BE49-F238E27FC236}">
              <a16:creationId xmlns:a16="http://schemas.microsoft.com/office/drawing/2014/main" id="{76B3D9C1-87EF-4506-B4B6-66ACC2FF9E06}"/>
            </a:ext>
          </a:extLst>
        </xdr:cNvPr>
        <xdr:cNvSpPr/>
      </xdr:nvSpPr>
      <xdr:spPr>
        <a:xfrm>
          <a:off x="1786308" y="828675"/>
          <a:ext cx="1371600" cy="4705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574436</xdr:colOff>
      <xdr:row>20</xdr:row>
      <xdr:rowOff>146538</xdr:rowOff>
    </xdr:from>
    <xdr:to>
      <xdr:col>13</xdr:col>
      <xdr:colOff>2984262</xdr:colOff>
      <xdr:row>29</xdr:row>
      <xdr:rowOff>108438</xdr:rowOff>
    </xdr:to>
    <xdr:sp macro="" textlink="">
      <xdr:nvSpPr>
        <xdr:cNvPr id="21" name="Rectangle 20">
          <a:extLst>
            <a:ext uri="{FF2B5EF4-FFF2-40B4-BE49-F238E27FC236}">
              <a16:creationId xmlns:a16="http://schemas.microsoft.com/office/drawing/2014/main" id="{8F0C5919-FB09-4633-80E4-1F595154A94D}"/>
            </a:ext>
          </a:extLst>
        </xdr:cNvPr>
        <xdr:cNvSpPr/>
      </xdr:nvSpPr>
      <xdr:spPr>
        <a:xfrm>
          <a:off x="574436" y="3956538"/>
          <a:ext cx="12257211" cy="1676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810260</xdr:colOff>
      <xdr:row>20</xdr:row>
      <xdr:rowOff>171450</xdr:rowOff>
    </xdr:from>
    <xdr:ext cx="384272" cy="248851"/>
    <xdr:sp macro="" textlink="">
      <xdr:nvSpPr>
        <xdr:cNvPr id="22" name="TextBox 21">
          <a:extLst>
            <a:ext uri="{FF2B5EF4-FFF2-40B4-BE49-F238E27FC236}">
              <a16:creationId xmlns:a16="http://schemas.microsoft.com/office/drawing/2014/main" id="{CC6192DD-C366-440D-A433-632C332F38EA}"/>
            </a:ext>
          </a:extLst>
        </xdr:cNvPr>
        <xdr:cNvSpPr txBox="1"/>
      </xdr:nvSpPr>
      <xdr:spPr>
        <a:xfrm rot="-2700000">
          <a:off x="3308741" y="3981450"/>
          <a:ext cx="38427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Any</a:t>
          </a:r>
        </a:p>
      </xdr:txBody>
    </xdr:sp>
    <xdr:clientData/>
  </xdr:oneCellAnchor>
  <xdr:oneCellAnchor>
    <xdr:from>
      <xdr:col>2</xdr:col>
      <xdr:colOff>800563</xdr:colOff>
      <xdr:row>21</xdr:row>
      <xdr:rowOff>142874</xdr:rowOff>
    </xdr:from>
    <xdr:ext cx="840358" cy="248851"/>
    <xdr:sp macro="" textlink="">
      <xdr:nvSpPr>
        <xdr:cNvPr id="23" name="TextBox 22">
          <a:extLst>
            <a:ext uri="{FF2B5EF4-FFF2-40B4-BE49-F238E27FC236}">
              <a16:creationId xmlns:a16="http://schemas.microsoft.com/office/drawing/2014/main" id="{FE10D2D2-8259-4C13-9A98-4C34087B9D03}"/>
            </a:ext>
          </a:extLst>
        </xdr:cNvPr>
        <xdr:cNvSpPr txBox="1"/>
      </xdr:nvSpPr>
      <xdr:spPr>
        <a:xfrm rot="-2700000">
          <a:off x="3299044" y="4143374"/>
          <a:ext cx="84035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UML models</a:t>
          </a:r>
        </a:p>
      </xdr:txBody>
    </xdr:sp>
    <xdr:clientData/>
  </xdr:oneCellAnchor>
  <xdr:oneCellAnchor>
    <xdr:from>
      <xdr:col>3</xdr:col>
      <xdr:colOff>7966</xdr:colOff>
      <xdr:row>21</xdr:row>
      <xdr:rowOff>104773</xdr:rowOff>
    </xdr:from>
    <xdr:ext cx="765274" cy="248851"/>
    <xdr:sp macro="" textlink="">
      <xdr:nvSpPr>
        <xdr:cNvPr id="24" name="TextBox 23">
          <a:extLst>
            <a:ext uri="{FF2B5EF4-FFF2-40B4-BE49-F238E27FC236}">
              <a16:creationId xmlns:a16="http://schemas.microsoft.com/office/drawing/2014/main" id="{4362551E-0E3E-477B-BB73-0A7EAE6F0065}"/>
            </a:ext>
          </a:extLst>
        </xdr:cNvPr>
        <xdr:cNvSpPr txBox="1"/>
      </xdr:nvSpPr>
      <xdr:spPr>
        <a:xfrm rot="-2700000">
          <a:off x="3774004" y="4105273"/>
          <a:ext cx="76527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EMF-based</a:t>
          </a:r>
        </a:p>
      </xdr:txBody>
    </xdr:sp>
    <xdr:clientData/>
  </xdr:oneCellAnchor>
  <xdr:oneCellAnchor>
    <xdr:from>
      <xdr:col>3</xdr:col>
      <xdr:colOff>110112</xdr:colOff>
      <xdr:row>22</xdr:row>
      <xdr:rowOff>28575</xdr:rowOff>
    </xdr:from>
    <xdr:ext cx="1107099" cy="248851"/>
    <xdr:sp macro="" textlink="">
      <xdr:nvSpPr>
        <xdr:cNvPr id="25" name="TextBox 24">
          <a:extLst>
            <a:ext uri="{FF2B5EF4-FFF2-40B4-BE49-F238E27FC236}">
              <a16:creationId xmlns:a16="http://schemas.microsoft.com/office/drawing/2014/main" id="{D0817033-D509-4D5D-B844-24CCA497089B}"/>
            </a:ext>
          </a:extLst>
        </xdr:cNvPr>
        <xdr:cNvSpPr txBox="1"/>
      </xdr:nvSpPr>
      <xdr:spPr>
        <a:xfrm rot="-2700000">
          <a:off x="3876150" y="4219575"/>
          <a:ext cx="110709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Workflow models</a:t>
          </a:r>
        </a:p>
      </xdr:txBody>
    </xdr:sp>
    <xdr:clientData/>
  </xdr:oneCellAnchor>
  <xdr:oneCellAnchor>
    <xdr:from>
      <xdr:col>4</xdr:col>
      <xdr:colOff>379893</xdr:colOff>
      <xdr:row>21</xdr:row>
      <xdr:rowOff>19050</xdr:rowOff>
    </xdr:from>
    <xdr:ext cx="488403" cy="248851"/>
    <xdr:sp macro="" textlink="">
      <xdr:nvSpPr>
        <xdr:cNvPr id="26" name="TextBox 25">
          <a:extLst>
            <a:ext uri="{FF2B5EF4-FFF2-40B4-BE49-F238E27FC236}">
              <a16:creationId xmlns:a16="http://schemas.microsoft.com/office/drawing/2014/main" id="{D7048F0E-5A42-4ABB-99B1-FE0117553FB3}"/>
            </a:ext>
          </a:extLst>
        </xdr:cNvPr>
        <xdr:cNvSpPr txBox="1"/>
      </xdr:nvSpPr>
      <xdr:spPr>
        <a:xfrm rot="-2700000">
          <a:off x="4754066" y="4019550"/>
          <a:ext cx="48840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Other</a:t>
          </a:r>
        </a:p>
      </xdr:txBody>
    </xdr:sp>
    <xdr:clientData/>
  </xdr:oneCellAnchor>
  <xdr:twoCellAnchor>
    <xdr:from>
      <xdr:col>2</xdr:col>
      <xdr:colOff>849483</xdr:colOff>
      <xdr:row>24</xdr:row>
      <xdr:rowOff>154305</xdr:rowOff>
    </xdr:from>
    <xdr:to>
      <xdr:col>5</xdr:col>
      <xdr:colOff>103016</xdr:colOff>
      <xdr:row>25</xdr:row>
      <xdr:rowOff>55245</xdr:rowOff>
    </xdr:to>
    <xdr:sp macro="" textlink="">
      <xdr:nvSpPr>
        <xdr:cNvPr id="27" name="Left Bracket 26">
          <a:extLst>
            <a:ext uri="{FF2B5EF4-FFF2-40B4-BE49-F238E27FC236}">
              <a16:creationId xmlns:a16="http://schemas.microsoft.com/office/drawing/2014/main" id="{5860245C-72B5-4959-A4BA-522F09F1F237}"/>
            </a:ext>
          </a:extLst>
        </xdr:cNvPr>
        <xdr:cNvSpPr/>
      </xdr:nvSpPr>
      <xdr:spPr>
        <a:xfrm rot="16200000">
          <a:off x="4170924" y="3903345"/>
          <a:ext cx="91440" cy="173736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3</xdr:col>
      <xdr:colOff>36503</xdr:colOff>
      <xdr:row>25</xdr:row>
      <xdr:rowOff>76200</xdr:rowOff>
    </xdr:from>
    <xdr:ext cx="803297" cy="248851"/>
    <xdr:sp macro="" textlink="">
      <xdr:nvSpPr>
        <xdr:cNvPr id="28" name="TextBox 27">
          <a:extLst>
            <a:ext uri="{FF2B5EF4-FFF2-40B4-BE49-F238E27FC236}">
              <a16:creationId xmlns:a16="http://schemas.microsoft.com/office/drawing/2014/main" id="{8704171A-2E2F-4D59-A31B-67EE288C0EFA}"/>
            </a:ext>
          </a:extLst>
        </xdr:cNvPr>
        <xdr:cNvSpPr txBox="1"/>
      </xdr:nvSpPr>
      <xdr:spPr>
        <a:xfrm>
          <a:off x="3802541" y="4838700"/>
          <a:ext cx="80329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Model Type</a:t>
          </a:r>
        </a:p>
      </xdr:txBody>
    </xdr:sp>
    <xdr:clientData/>
  </xdr:oneCellAnchor>
  <xdr:oneCellAnchor>
    <xdr:from>
      <xdr:col>5</xdr:col>
      <xdr:colOff>268103</xdr:colOff>
      <xdr:row>21</xdr:row>
      <xdr:rowOff>106974</xdr:rowOff>
    </xdr:from>
    <xdr:ext cx="773994" cy="248851"/>
    <xdr:sp macro="" textlink="">
      <xdr:nvSpPr>
        <xdr:cNvPr id="29" name="TextBox 28">
          <a:extLst>
            <a:ext uri="{FF2B5EF4-FFF2-40B4-BE49-F238E27FC236}">
              <a16:creationId xmlns:a16="http://schemas.microsoft.com/office/drawing/2014/main" id="{42299BE2-DC0F-4E7D-8659-E11E7B14E157}"/>
            </a:ext>
          </a:extLst>
        </xdr:cNvPr>
        <xdr:cNvSpPr txBox="1"/>
      </xdr:nvSpPr>
      <xdr:spPr>
        <a:xfrm rot="-2700000">
          <a:off x="5250411" y="4107474"/>
          <a:ext cx="77399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Centralized</a:t>
          </a:r>
        </a:p>
      </xdr:txBody>
    </xdr:sp>
    <xdr:clientData/>
  </xdr:oneCellAnchor>
  <xdr:oneCellAnchor>
    <xdr:from>
      <xdr:col>6</xdr:col>
      <xdr:colOff>51470</xdr:colOff>
      <xdr:row>21</xdr:row>
      <xdr:rowOff>97448</xdr:rowOff>
    </xdr:from>
    <xdr:ext cx="769121" cy="248851"/>
    <xdr:sp macro="" textlink="">
      <xdr:nvSpPr>
        <xdr:cNvPr id="30" name="TextBox 29">
          <a:extLst>
            <a:ext uri="{FF2B5EF4-FFF2-40B4-BE49-F238E27FC236}">
              <a16:creationId xmlns:a16="http://schemas.microsoft.com/office/drawing/2014/main" id="{B1D5437F-718C-499D-B87E-E9171A1E5FDE}"/>
            </a:ext>
          </a:extLst>
        </xdr:cNvPr>
        <xdr:cNvSpPr txBox="1"/>
      </xdr:nvSpPr>
      <xdr:spPr>
        <a:xfrm rot="-2700000">
          <a:off x="5641912" y="4097948"/>
          <a:ext cx="76912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Distributed</a:t>
          </a:r>
        </a:p>
      </xdr:txBody>
    </xdr:sp>
    <xdr:clientData/>
  </xdr:oneCellAnchor>
  <xdr:oneCellAnchor>
    <xdr:from>
      <xdr:col>7</xdr:col>
      <xdr:colOff>243109</xdr:colOff>
      <xdr:row>21</xdr:row>
      <xdr:rowOff>78398</xdr:rowOff>
    </xdr:from>
    <xdr:ext cx="718018" cy="248851"/>
    <xdr:sp macro="" textlink="">
      <xdr:nvSpPr>
        <xdr:cNvPr id="32" name="TextBox 31">
          <a:extLst>
            <a:ext uri="{FF2B5EF4-FFF2-40B4-BE49-F238E27FC236}">
              <a16:creationId xmlns:a16="http://schemas.microsoft.com/office/drawing/2014/main" id="{FE06951F-A061-4C1A-8566-D6B5FD018E8A}"/>
            </a:ext>
          </a:extLst>
        </xdr:cNvPr>
        <xdr:cNvSpPr txBox="1"/>
      </xdr:nvSpPr>
      <xdr:spPr>
        <a:xfrm rot="-2700000">
          <a:off x="6441686" y="4078898"/>
          <a:ext cx="71801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Optimistic</a:t>
          </a:r>
        </a:p>
      </xdr:txBody>
    </xdr:sp>
    <xdr:clientData/>
  </xdr:oneCellAnchor>
  <xdr:oneCellAnchor>
    <xdr:from>
      <xdr:col>7</xdr:col>
      <xdr:colOff>606571</xdr:colOff>
      <xdr:row>21</xdr:row>
      <xdr:rowOff>87923</xdr:rowOff>
    </xdr:from>
    <xdr:ext cx="753091" cy="248851"/>
    <xdr:sp macro="" textlink="">
      <xdr:nvSpPr>
        <xdr:cNvPr id="33" name="TextBox 32">
          <a:extLst>
            <a:ext uri="{FF2B5EF4-FFF2-40B4-BE49-F238E27FC236}">
              <a16:creationId xmlns:a16="http://schemas.microsoft.com/office/drawing/2014/main" id="{B3FC37C1-3FAF-4A4F-9F07-821C7A42293A}"/>
            </a:ext>
          </a:extLst>
        </xdr:cNvPr>
        <xdr:cNvSpPr txBox="1"/>
      </xdr:nvSpPr>
      <xdr:spPr>
        <a:xfrm rot="-2700000">
          <a:off x="6805148" y="4088423"/>
          <a:ext cx="75309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Pessimistic</a:t>
          </a:r>
        </a:p>
      </xdr:txBody>
    </xdr:sp>
    <xdr:clientData/>
  </xdr:oneCellAnchor>
  <xdr:twoCellAnchor>
    <xdr:from>
      <xdr:col>5</xdr:col>
      <xdr:colOff>347588</xdr:colOff>
      <xdr:row>24</xdr:row>
      <xdr:rowOff>146978</xdr:rowOff>
    </xdr:from>
    <xdr:to>
      <xdr:col>7</xdr:col>
      <xdr:colOff>45719</xdr:colOff>
      <xdr:row>25</xdr:row>
      <xdr:rowOff>47918</xdr:rowOff>
    </xdr:to>
    <xdr:sp macro="" textlink="">
      <xdr:nvSpPr>
        <xdr:cNvPr id="34" name="Left Bracket 33">
          <a:extLst>
            <a:ext uri="{FF2B5EF4-FFF2-40B4-BE49-F238E27FC236}">
              <a16:creationId xmlns:a16="http://schemas.microsoft.com/office/drawing/2014/main" id="{AD277E1D-28E8-4F54-B748-B6B12229E33D}"/>
            </a:ext>
          </a:extLst>
        </xdr:cNvPr>
        <xdr:cNvSpPr/>
      </xdr:nvSpPr>
      <xdr:spPr>
        <a:xfrm rot="16200000">
          <a:off x="5741376" y="4307498"/>
          <a:ext cx="91440" cy="91440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5</xdr:col>
      <xdr:colOff>32643</xdr:colOff>
      <xdr:row>25</xdr:row>
      <xdr:rowOff>68874</xdr:rowOff>
    </xdr:from>
    <xdr:ext cx="1424814" cy="248851"/>
    <xdr:sp macro="" textlink="">
      <xdr:nvSpPr>
        <xdr:cNvPr id="35" name="TextBox 34">
          <a:extLst>
            <a:ext uri="{FF2B5EF4-FFF2-40B4-BE49-F238E27FC236}">
              <a16:creationId xmlns:a16="http://schemas.microsoft.com/office/drawing/2014/main" id="{92BFB536-9DE7-4DDC-A0B0-5B9304EA6144}"/>
            </a:ext>
          </a:extLst>
        </xdr:cNvPr>
        <xdr:cNvSpPr txBox="1"/>
      </xdr:nvSpPr>
      <xdr:spPr>
        <a:xfrm>
          <a:off x="5014951" y="4831374"/>
          <a:ext cx="142481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Repository Architecture</a:t>
          </a:r>
        </a:p>
      </xdr:txBody>
    </xdr:sp>
    <xdr:clientData/>
  </xdr:oneCellAnchor>
  <xdr:oneCellAnchor>
    <xdr:from>
      <xdr:col>9</xdr:col>
      <xdr:colOff>318331</xdr:colOff>
      <xdr:row>21</xdr:row>
      <xdr:rowOff>26377</xdr:rowOff>
    </xdr:from>
    <xdr:ext cx="527004" cy="248851"/>
    <xdr:sp macro="" textlink="">
      <xdr:nvSpPr>
        <xdr:cNvPr id="36" name="TextBox 35">
          <a:extLst>
            <a:ext uri="{FF2B5EF4-FFF2-40B4-BE49-F238E27FC236}">
              <a16:creationId xmlns:a16="http://schemas.microsoft.com/office/drawing/2014/main" id="{25DC22DB-D95B-44BB-9EA4-A140C6D3FBEB}"/>
            </a:ext>
          </a:extLst>
        </xdr:cNvPr>
        <xdr:cNvSpPr txBox="1"/>
      </xdr:nvSpPr>
      <xdr:spPr>
        <a:xfrm rot="-2700000">
          <a:off x="7733177" y="4026877"/>
          <a:ext cx="52700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Online</a:t>
          </a:r>
        </a:p>
      </xdr:txBody>
    </xdr:sp>
    <xdr:clientData/>
  </xdr:oneCellAnchor>
  <xdr:oneCellAnchor>
    <xdr:from>
      <xdr:col>10</xdr:col>
      <xdr:colOff>104831</xdr:colOff>
      <xdr:row>21</xdr:row>
      <xdr:rowOff>35901</xdr:rowOff>
    </xdr:from>
    <xdr:ext cx="537841" cy="248851"/>
    <xdr:sp macro="" textlink="">
      <xdr:nvSpPr>
        <xdr:cNvPr id="37" name="TextBox 36">
          <a:extLst>
            <a:ext uri="{FF2B5EF4-FFF2-40B4-BE49-F238E27FC236}">
              <a16:creationId xmlns:a16="http://schemas.microsoft.com/office/drawing/2014/main" id="{0DF7EA3E-6FBE-4A81-A259-3486C042F746}"/>
            </a:ext>
          </a:extLst>
        </xdr:cNvPr>
        <xdr:cNvSpPr txBox="1"/>
      </xdr:nvSpPr>
      <xdr:spPr>
        <a:xfrm rot="-2700000">
          <a:off x="8127812" y="4036401"/>
          <a:ext cx="53784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Offline</a:t>
          </a:r>
        </a:p>
      </xdr:txBody>
    </xdr:sp>
    <xdr:clientData/>
  </xdr:oneCellAnchor>
  <xdr:oneCellAnchor>
    <xdr:from>
      <xdr:col>11</xdr:col>
      <xdr:colOff>55948</xdr:colOff>
      <xdr:row>21</xdr:row>
      <xdr:rowOff>131150</xdr:rowOff>
    </xdr:from>
    <xdr:ext cx="804131" cy="248851"/>
    <xdr:sp macro="" textlink="">
      <xdr:nvSpPr>
        <xdr:cNvPr id="38" name="TextBox 37">
          <a:extLst>
            <a:ext uri="{FF2B5EF4-FFF2-40B4-BE49-F238E27FC236}">
              <a16:creationId xmlns:a16="http://schemas.microsoft.com/office/drawing/2014/main" id="{44772275-A46C-4178-B024-8A4B878DBF16}"/>
            </a:ext>
          </a:extLst>
        </xdr:cNvPr>
        <xdr:cNvSpPr txBox="1"/>
      </xdr:nvSpPr>
      <xdr:spPr>
        <a:xfrm rot="-2700000">
          <a:off x="8687063" y="4131650"/>
          <a:ext cx="80413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State-based</a:t>
          </a:r>
        </a:p>
      </xdr:txBody>
    </xdr:sp>
    <xdr:clientData/>
  </xdr:oneCellAnchor>
  <xdr:oneCellAnchor>
    <xdr:from>
      <xdr:col>11</xdr:col>
      <xdr:colOff>187505</xdr:colOff>
      <xdr:row>22</xdr:row>
      <xdr:rowOff>26377</xdr:rowOff>
    </xdr:from>
    <xdr:ext cx="1063689" cy="248851"/>
    <xdr:sp macro="" textlink="">
      <xdr:nvSpPr>
        <xdr:cNvPr id="39" name="TextBox 38">
          <a:extLst>
            <a:ext uri="{FF2B5EF4-FFF2-40B4-BE49-F238E27FC236}">
              <a16:creationId xmlns:a16="http://schemas.microsoft.com/office/drawing/2014/main" id="{207B8AF7-09C5-40AD-B620-719454E9E427}"/>
            </a:ext>
          </a:extLst>
        </xdr:cNvPr>
        <xdr:cNvSpPr txBox="1"/>
      </xdr:nvSpPr>
      <xdr:spPr>
        <a:xfrm rot="-2700000">
          <a:off x="8818620" y="4217377"/>
          <a:ext cx="106368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Operation-based</a:t>
          </a:r>
        </a:p>
      </xdr:txBody>
    </xdr:sp>
    <xdr:clientData/>
  </xdr:oneCellAnchor>
  <xdr:oneCellAnchor>
    <xdr:from>
      <xdr:col>12</xdr:col>
      <xdr:colOff>381795</xdr:colOff>
      <xdr:row>21</xdr:row>
      <xdr:rowOff>35902</xdr:rowOff>
    </xdr:from>
    <xdr:ext cx="531492" cy="248851"/>
    <xdr:sp macro="" textlink="">
      <xdr:nvSpPr>
        <xdr:cNvPr id="40" name="TextBox 39">
          <a:extLst>
            <a:ext uri="{FF2B5EF4-FFF2-40B4-BE49-F238E27FC236}">
              <a16:creationId xmlns:a16="http://schemas.microsoft.com/office/drawing/2014/main" id="{971F11B7-80CA-4D28-A5D3-DB344CC15DF7}"/>
            </a:ext>
          </a:extLst>
        </xdr:cNvPr>
        <xdr:cNvSpPr txBox="1"/>
      </xdr:nvSpPr>
      <xdr:spPr>
        <a:xfrm rot="-2700000">
          <a:off x="9621045" y="4036402"/>
          <a:ext cx="53149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Hybrid</a:t>
          </a:r>
        </a:p>
      </xdr:txBody>
    </xdr:sp>
    <xdr:clientData/>
  </xdr:oneCellAnchor>
  <xdr:twoCellAnchor>
    <xdr:from>
      <xdr:col>9</xdr:col>
      <xdr:colOff>425988</xdr:colOff>
      <xdr:row>24</xdr:row>
      <xdr:rowOff>161632</xdr:rowOff>
    </xdr:from>
    <xdr:to>
      <xdr:col>10</xdr:col>
      <xdr:colOff>547907</xdr:colOff>
      <xdr:row>25</xdr:row>
      <xdr:rowOff>62572</xdr:rowOff>
    </xdr:to>
    <xdr:sp macro="" textlink="">
      <xdr:nvSpPr>
        <xdr:cNvPr id="41" name="Left Bracket 40">
          <a:extLst>
            <a:ext uri="{FF2B5EF4-FFF2-40B4-BE49-F238E27FC236}">
              <a16:creationId xmlns:a16="http://schemas.microsoft.com/office/drawing/2014/main" id="{503F5022-5A32-4F61-8CA1-77E1FDA6CC50}"/>
            </a:ext>
          </a:extLst>
        </xdr:cNvPr>
        <xdr:cNvSpPr/>
      </xdr:nvSpPr>
      <xdr:spPr>
        <a:xfrm rot="16200000">
          <a:off x="8160141" y="4414325"/>
          <a:ext cx="91440" cy="730054"/>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9204</xdr:colOff>
      <xdr:row>25</xdr:row>
      <xdr:rowOff>83527</xdr:rowOff>
    </xdr:from>
    <xdr:ext cx="1524456" cy="248851"/>
    <xdr:sp macro="" textlink="">
      <xdr:nvSpPr>
        <xdr:cNvPr id="42" name="TextBox 41">
          <a:extLst>
            <a:ext uri="{FF2B5EF4-FFF2-40B4-BE49-F238E27FC236}">
              <a16:creationId xmlns:a16="http://schemas.microsoft.com/office/drawing/2014/main" id="{7F62E550-A388-4022-A0E1-B0C17614FB4B}"/>
            </a:ext>
          </a:extLst>
        </xdr:cNvPr>
        <xdr:cNvSpPr txBox="1"/>
      </xdr:nvSpPr>
      <xdr:spPr>
        <a:xfrm>
          <a:off x="7424050" y="4846027"/>
          <a:ext cx="152445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Collaboration Mechanism</a:t>
          </a:r>
        </a:p>
      </xdr:txBody>
    </xdr:sp>
    <xdr:clientData/>
  </xdr:oneCellAnchor>
  <xdr:oneCellAnchor>
    <xdr:from>
      <xdr:col>13</xdr:col>
      <xdr:colOff>336978</xdr:colOff>
      <xdr:row>21</xdr:row>
      <xdr:rowOff>164856</xdr:rowOff>
    </xdr:from>
    <xdr:ext cx="864852" cy="248851"/>
    <xdr:sp macro="" textlink="">
      <xdr:nvSpPr>
        <xdr:cNvPr id="43" name="TextBox 42">
          <a:extLst>
            <a:ext uri="{FF2B5EF4-FFF2-40B4-BE49-F238E27FC236}">
              <a16:creationId xmlns:a16="http://schemas.microsoft.com/office/drawing/2014/main" id="{C4230C9A-75FE-4E42-8A71-29B9AEF771AC}"/>
            </a:ext>
          </a:extLst>
        </xdr:cNvPr>
        <xdr:cNvSpPr txBox="1"/>
      </xdr:nvSpPr>
      <xdr:spPr>
        <a:xfrm rot="-2700000">
          <a:off x="10184363" y="4165356"/>
          <a:ext cx="86485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Raw merging</a:t>
          </a:r>
        </a:p>
      </xdr:txBody>
    </xdr:sp>
    <xdr:clientData/>
  </xdr:oneCellAnchor>
  <xdr:oneCellAnchor>
    <xdr:from>
      <xdr:col>13</xdr:col>
      <xdr:colOff>499450</xdr:colOff>
      <xdr:row>22</xdr:row>
      <xdr:rowOff>60080</xdr:rowOff>
    </xdr:from>
    <xdr:ext cx="1114344" cy="248851"/>
    <xdr:sp macro="" textlink="">
      <xdr:nvSpPr>
        <xdr:cNvPr id="44" name="TextBox 43">
          <a:extLst>
            <a:ext uri="{FF2B5EF4-FFF2-40B4-BE49-F238E27FC236}">
              <a16:creationId xmlns:a16="http://schemas.microsoft.com/office/drawing/2014/main" id="{F6745856-CF33-4802-9EFA-A0D2CF6A8CB9}"/>
            </a:ext>
          </a:extLst>
        </xdr:cNvPr>
        <xdr:cNvSpPr txBox="1"/>
      </xdr:nvSpPr>
      <xdr:spPr>
        <a:xfrm rot="-2700000">
          <a:off x="10346835" y="4251080"/>
          <a:ext cx="111434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Two-way</a:t>
          </a:r>
          <a:r>
            <a:rPr lang="en-US" sz="1000" baseline="0"/>
            <a:t> merging</a:t>
          </a:r>
          <a:endParaRPr lang="en-US" sz="1000"/>
        </a:p>
      </xdr:txBody>
    </xdr:sp>
    <xdr:clientData/>
  </xdr:oneCellAnchor>
  <xdr:oneCellAnchor>
    <xdr:from>
      <xdr:col>13</xdr:col>
      <xdr:colOff>780202</xdr:colOff>
      <xdr:row>22</xdr:row>
      <xdr:rowOff>88654</xdr:rowOff>
    </xdr:from>
    <xdr:ext cx="1194686" cy="248851"/>
    <xdr:sp macro="" textlink="">
      <xdr:nvSpPr>
        <xdr:cNvPr id="45" name="TextBox 44">
          <a:extLst>
            <a:ext uri="{FF2B5EF4-FFF2-40B4-BE49-F238E27FC236}">
              <a16:creationId xmlns:a16="http://schemas.microsoft.com/office/drawing/2014/main" id="{D338C3F1-2650-4859-BCB8-3545D9257388}"/>
            </a:ext>
          </a:extLst>
        </xdr:cNvPr>
        <xdr:cNvSpPr txBox="1"/>
      </xdr:nvSpPr>
      <xdr:spPr>
        <a:xfrm rot="-2700000">
          <a:off x="10627587" y="4279654"/>
          <a:ext cx="119468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Three-way</a:t>
          </a:r>
          <a:r>
            <a:rPr lang="en-US" sz="1000" baseline="0"/>
            <a:t> merging</a:t>
          </a:r>
          <a:endParaRPr lang="en-US" sz="1000"/>
        </a:p>
      </xdr:txBody>
    </xdr:sp>
    <xdr:clientData/>
  </xdr:oneCellAnchor>
  <xdr:oneCellAnchor>
    <xdr:from>
      <xdr:col>13</xdr:col>
      <xdr:colOff>1898468</xdr:colOff>
      <xdr:row>21</xdr:row>
      <xdr:rowOff>117231</xdr:rowOff>
    </xdr:from>
    <xdr:ext cx="732252" cy="248851"/>
    <xdr:sp macro="" textlink="">
      <xdr:nvSpPr>
        <xdr:cNvPr id="47" name="TextBox 46">
          <a:extLst>
            <a:ext uri="{FF2B5EF4-FFF2-40B4-BE49-F238E27FC236}">
              <a16:creationId xmlns:a16="http://schemas.microsoft.com/office/drawing/2014/main" id="{7177873D-6F23-4FD5-B5C0-9DB1021CCFFE}"/>
            </a:ext>
          </a:extLst>
        </xdr:cNvPr>
        <xdr:cNvSpPr txBox="1"/>
      </xdr:nvSpPr>
      <xdr:spPr>
        <a:xfrm rot="-2700000">
          <a:off x="11745853" y="4117731"/>
          <a:ext cx="73225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Supported</a:t>
          </a:r>
        </a:p>
      </xdr:txBody>
    </xdr:sp>
    <xdr:clientData/>
  </xdr:oneCellAnchor>
  <xdr:twoCellAnchor>
    <xdr:from>
      <xdr:col>13</xdr:col>
      <xdr:colOff>513181</xdr:colOff>
      <xdr:row>24</xdr:row>
      <xdr:rowOff>166760</xdr:rowOff>
    </xdr:from>
    <xdr:to>
      <xdr:col>13</xdr:col>
      <xdr:colOff>1793341</xdr:colOff>
      <xdr:row>25</xdr:row>
      <xdr:rowOff>67700</xdr:rowOff>
    </xdr:to>
    <xdr:sp macro="" textlink="">
      <xdr:nvSpPr>
        <xdr:cNvPr id="48" name="Left Bracket 47">
          <a:extLst>
            <a:ext uri="{FF2B5EF4-FFF2-40B4-BE49-F238E27FC236}">
              <a16:creationId xmlns:a16="http://schemas.microsoft.com/office/drawing/2014/main" id="{9B4029E9-E7EF-4A67-950A-2007F15C6AD2}"/>
            </a:ext>
          </a:extLst>
        </xdr:cNvPr>
        <xdr:cNvSpPr/>
      </xdr:nvSpPr>
      <xdr:spPr>
        <a:xfrm rot="16200000">
          <a:off x="10954926" y="4144400"/>
          <a:ext cx="91440" cy="128016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1779421</xdr:colOff>
      <xdr:row>25</xdr:row>
      <xdr:rowOff>88656</xdr:rowOff>
    </xdr:from>
    <xdr:ext cx="1053302" cy="248851"/>
    <xdr:sp macro="" textlink="">
      <xdr:nvSpPr>
        <xdr:cNvPr id="49" name="TextBox 48">
          <a:extLst>
            <a:ext uri="{FF2B5EF4-FFF2-40B4-BE49-F238E27FC236}">
              <a16:creationId xmlns:a16="http://schemas.microsoft.com/office/drawing/2014/main" id="{721616B2-F7CD-4A89-A7E7-797DE7FCD4E8}"/>
            </a:ext>
          </a:extLst>
        </xdr:cNvPr>
        <xdr:cNvSpPr txBox="1"/>
      </xdr:nvSpPr>
      <xdr:spPr>
        <a:xfrm>
          <a:off x="11626806" y="4851156"/>
          <a:ext cx="105330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Ordered Feature</a:t>
          </a:r>
        </a:p>
      </xdr:txBody>
    </xdr:sp>
    <xdr:clientData/>
  </xdr:oneCellAnchor>
  <xdr:twoCellAnchor>
    <xdr:from>
      <xdr:col>7</xdr:col>
      <xdr:colOff>346858</xdr:colOff>
      <xdr:row>24</xdr:row>
      <xdr:rowOff>146977</xdr:rowOff>
    </xdr:from>
    <xdr:to>
      <xdr:col>8</xdr:col>
      <xdr:colOff>561683</xdr:colOff>
      <xdr:row>25</xdr:row>
      <xdr:rowOff>47917</xdr:rowOff>
    </xdr:to>
    <xdr:sp macro="" textlink="">
      <xdr:nvSpPr>
        <xdr:cNvPr id="50" name="Left Bracket 49">
          <a:extLst>
            <a:ext uri="{FF2B5EF4-FFF2-40B4-BE49-F238E27FC236}">
              <a16:creationId xmlns:a16="http://schemas.microsoft.com/office/drawing/2014/main" id="{3E487DA4-6407-4817-AE55-1DC847E564B6}"/>
            </a:ext>
          </a:extLst>
        </xdr:cNvPr>
        <xdr:cNvSpPr/>
      </xdr:nvSpPr>
      <xdr:spPr>
        <a:xfrm rot="16200000">
          <a:off x="6911195" y="4353217"/>
          <a:ext cx="91440" cy="82296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193433</xdr:colOff>
      <xdr:row>24</xdr:row>
      <xdr:rowOff>159726</xdr:rowOff>
    </xdr:from>
    <xdr:to>
      <xdr:col>13</xdr:col>
      <xdr:colOff>348763</xdr:colOff>
      <xdr:row>25</xdr:row>
      <xdr:rowOff>60666</xdr:rowOff>
    </xdr:to>
    <xdr:sp macro="" textlink="">
      <xdr:nvSpPr>
        <xdr:cNvPr id="51" name="Left Bracket 50">
          <a:extLst>
            <a:ext uri="{FF2B5EF4-FFF2-40B4-BE49-F238E27FC236}">
              <a16:creationId xmlns:a16="http://schemas.microsoft.com/office/drawing/2014/main" id="{01AC40E0-574E-48F9-92BF-A43A1D284AE8}"/>
            </a:ext>
          </a:extLst>
        </xdr:cNvPr>
        <xdr:cNvSpPr/>
      </xdr:nvSpPr>
      <xdr:spPr>
        <a:xfrm rot="16200000">
          <a:off x="9464628" y="4091646"/>
          <a:ext cx="91440" cy="137160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2030290</xdr:colOff>
      <xdr:row>24</xdr:row>
      <xdr:rowOff>164856</xdr:rowOff>
    </xdr:from>
    <xdr:to>
      <xdr:col>13</xdr:col>
      <xdr:colOff>2578930</xdr:colOff>
      <xdr:row>25</xdr:row>
      <xdr:rowOff>65796</xdr:rowOff>
    </xdr:to>
    <xdr:sp macro="" textlink="">
      <xdr:nvSpPr>
        <xdr:cNvPr id="52" name="Left Bracket 51">
          <a:extLst>
            <a:ext uri="{FF2B5EF4-FFF2-40B4-BE49-F238E27FC236}">
              <a16:creationId xmlns:a16="http://schemas.microsoft.com/office/drawing/2014/main" id="{48AA08FE-8142-4C1B-A8B0-B665DCF09F4E}"/>
            </a:ext>
          </a:extLst>
        </xdr:cNvPr>
        <xdr:cNvSpPr/>
      </xdr:nvSpPr>
      <xdr:spPr>
        <a:xfrm rot="16200000">
          <a:off x="12106275" y="4508256"/>
          <a:ext cx="91440" cy="54864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7</xdr:col>
      <xdr:colOff>149205</xdr:colOff>
      <xdr:row>25</xdr:row>
      <xdr:rowOff>68873</xdr:rowOff>
    </xdr:from>
    <xdr:ext cx="1199817" cy="248851"/>
    <xdr:sp macro="" textlink="">
      <xdr:nvSpPr>
        <xdr:cNvPr id="53" name="TextBox 52">
          <a:extLst>
            <a:ext uri="{FF2B5EF4-FFF2-40B4-BE49-F238E27FC236}">
              <a16:creationId xmlns:a16="http://schemas.microsoft.com/office/drawing/2014/main" id="{7A401AF7-F06F-473D-AC95-DEAA17EC91D2}"/>
            </a:ext>
          </a:extLst>
        </xdr:cNvPr>
        <xdr:cNvSpPr txBox="1"/>
      </xdr:nvSpPr>
      <xdr:spPr>
        <a:xfrm>
          <a:off x="6347782" y="4831373"/>
          <a:ext cx="119981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Versioning Strategy</a:t>
          </a:r>
        </a:p>
      </xdr:txBody>
    </xdr:sp>
    <xdr:clientData/>
  </xdr:oneCellAnchor>
  <xdr:oneCellAnchor>
    <xdr:from>
      <xdr:col>11</xdr:col>
      <xdr:colOff>191108</xdr:colOff>
      <xdr:row>25</xdr:row>
      <xdr:rowOff>83527</xdr:rowOff>
    </xdr:from>
    <xdr:ext cx="1383584" cy="248851"/>
    <xdr:sp macro="" textlink="">
      <xdr:nvSpPr>
        <xdr:cNvPr id="54" name="TextBox 53">
          <a:extLst>
            <a:ext uri="{FF2B5EF4-FFF2-40B4-BE49-F238E27FC236}">
              <a16:creationId xmlns:a16="http://schemas.microsoft.com/office/drawing/2014/main" id="{C23ED016-1A1B-453D-BD54-5FB3B7E83114}"/>
            </a:ext>
          </a:extLst>
        </xdr:cNvPr>
        <xdr:cNvSpPr txBox="1"/>
      </xdr:nvSpPr>
      <xdr:spPr>
        <a:xfrm>
          <a:off x="8822223" y="4846027"/>
          <a:ext cx="138358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Comparison Technique</a:t>
          </a:r>
        </a:p>
      </xdr:txBody>
    </xdr:sp>
    <xdr:clientData/>
  </xdr:oneCellAnchor>
  <xdr:oneCellAnchor>
    <xdr:from>
      <xdr:col>13</xdr:col>
      <xdr:colOff>560101</xdr:colOff>
      <xdr:row>25</xdr:row>
      <xdr:rowOff>88656</xdr:rowOff>
    </xdr:from>
    <xdr:ext cx="1192635" cy="248851"/>
    <xdr:sp macro="" textlink="">
      <xdr:nvSpPr>
        <xdr:cNvPr id="55" name="TextBox 54">
          <a:extLst>
            <a:ext uri="{FF2B5EF4-FFF2-40B4-BE49-F238E27FC236}">
              <a16:creationId xmlns:a16="http://schemas.microsoft.com/office/drawing/2014/main" id="{2433282E-502A-46BA-8D4B-984CE1F0F94A}"/>
            </a:ext>
          </a:extLst>
        </xdr:cNvPr>
        <xdr:cNvSpPr txBox="1"/>
      </xdr:nvSpPr>
      <xdr:spPr>
        <a:xfrm>
          <a:off x="10407486" y="4851156"/>
          <a:ext cx="119263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Merging Technique</a:t>
          </a:r>
        </a:p>
      </xdr:txBody>
    </xdr:sp>
    <xdr:clientData/>
  </xdr:oneCellAnchor>
  <xdr:oneCellAnchor>
    <xdr:from>
      <xdr:col>1</xdr:col>
      <xdr:colOff>1225063</xdr:colOff>
      <xdr:row>17</xdr:row>
      <xdr:rowOff>66813</xdr:rowOff>
    </xdr:from>
    <xdr:ext cx="859583" cy="405367"/>
    <xdr:sp macro="" textlink="">
      <xdr:nvSpPr>
        <xdr:cNvPr id="56" name="TextBox 55">
          <a:extLst>
            <a:ext uri="{FF2B5EF4-FFF2-40B4-BE49-F238E27FC236}">
              <a16:creationId xmlns:a16="http://schemas.microsoft.com/office/drawing/2014/main" id="{05902D45-299A-4316-A905-06AA8A04F7C5}"/>
            </a:ext>
          </a:extLst>
        </xdr:cNvPr>
        <xdr:cNvSpPr txBox="1"/>
      </xdr:nvSpPr>
      <xdr:spPr>
        <a:xfrm>
          <a:off x="2419351" y="330531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Specification</a:t>
          </a:r>
        </a:p>
      </xdr:txBody>
    </xdr:sp>
    <xdr:clientData/>
  </xdr:oneCellAnchor>
  <xdr:oneCellAnchor>
    <xdr:from>
      <xdr:col>1</xdr:col>
      <xdr:colOff>1232393</xdr:colOff>
      <xdr:row>15</xdr:row>
      <xdr:rowOff>16988</xdr:rowOff>
    </xdr:from>
    <xdr:ext cx="859583" cy="405367"/>
    <xdr:sp macro="" textlink="">
      <xdr:nvSpPr>
        <xdr:cNvPr id="57" name="TextBox 56">
          <a:extLst>
            <a:ext uri="{FF2B5EF4-FFF2-40B4-BE49-F238E27FC236}">
              <a16:creationId xmlns:a16="http://schemas.microsoft.com/office/drawing/2014/main" id="{B037383A-6D1B-4CFC-8DD4-B3717723F3C2}"/>
            </a:ext>
          </a:extLst>
        </xdr:cNvPr>
        <xdr:cNvSpPr txBox="1"/>
      </xdr:nvSpPr>
      <xdr:spPr>
        <a:xfrm>
          <a:off x="2426681" y="2874488"/>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Prevention</a:t>
          </a:r>
        </a:p>
      </xdr:txBody>
    </xdr:sp>
    <xdr:clientData/>
  </xdr:oneCellAnchor>
  <xdr:oneCellAnchor>
    <xdr:from>
      <xdr:col>1</xdr:col>
      <xdr:colOff>1232393</xdr:colOff>
      <xdr:row>12</xdr:row>
      <xdr:rowOff>135686</xdr:rowOff>
    </xdr:from>
    <xdr:ext cx="859583" cy="405367"/>
    <xdr:sp macro="" textlink="">
      <xdr:nvSpPr>
        <xdr:cNvPr id="58" name="TextBox 57">
          <a:extLst>
            <a:ext uri="{FF2B5EF4-FFF2-40B4-BE49-F238E27FC236}">
              <a16:creationId xmlns:a16="http://schemas.microsoft.com/office/drawing/2014/main" id="{D28AC1F1-A060-4914-8163-47F4799BB443}"/>
            </a:ext>
          </a:extLst>
        </xdr:cNvPr>
        <xdr:cNvSpPr txBox="1"/>
      </xdr:nvSpPr>
      <xdr:spPr>
        <a:xfrm>
          <a:off x="2426681" y="2421686"/>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Detection</a:t>
          </a:r>
        </a:p>
      </xdr:txBody>
    </xdr:sp>
    <xdr:clientData/>
  </xdr:oneCellAnchor>
  <xdr:oneCellAnchor>
    <xdr:from>
      <xdr:col>1</xdr:col>
      <xdr:colOff>1247045</xdr:colOff>
      <xdr:row>10</xdr:row>
      <xdr:rowOff>83663</xdr:rowOff>
    </xdr:from>
    <xdr:ext cx="859583" cy="405367"/>
    <xdr:sp macro="" textlink="">
      <xdr:nvSpPr>
        <xdr:cNvPr id="59" name="TextBox 58">
          <a:extLst>
            <a:ext uri="{FF2B5EF4-FFF2-40B4-BE49-F238E27FC236}">
              <a16:creationId xmlns:a16="http://schemas.microsoft.com/office/drawing/2014/main" id="{FC3FA779-62AE-4368-AA83-F1DEC37549B6}"/>
            </a:ext>
          </a:extLst>
        </xdr:cNvPr>
        <xdr:cNvSpPr txBox="1"/>
      </xdr:nvSpPr>
      <xdr:spPr>
        <a:xfrm>
          <a:off x="2441333" y="198866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Resolution</a:t>
          </a:r>
        </a:p>
      </xdr:txBody>
    </xdr:sp>
    <xdr:clientData/>
  </xdr:oneCellAnchor>
  <xdr:oneCellAnchor>
    <xdr:from>
      <xdr:col>1</xdr:col>
      <xdr:colOff>1157656</xdr:colOff>
      <xdr:row>8</xdr:row>
      <xdr:rowOff>33842</xdr:rowOff>
    </xdr:from>
    <xdr:ext cx="992933" cy="405367"/>
    <xdr:sp macro="" textlink="">
      <xdr:nvSpPr>
        <xdr:cNvPr id="60" name="TextBox 59">
          <a:extLst>
            <a:ext uri="{FF2B5EF4-FFF2-40B4-BE49-F238E27FC236}">
              <a16:creationId xmlns:a16="http://schemas.microsoft.com/office/drawing/2014/main" id="{45108DF9-87AB-4126-A2F8-D5A60A753F59}"/>
            </a:ext>
          </a:extLst>
        </xdr:cNvPr>
        <xdr:cNvSpPr txBox="1"/>
      </xdr:nvSpPr>
      <xdr:spPr>
        <a:xfrm>
          <a:off x="2351944" y="1557842"/>
          <a:ext cx="99293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Awareness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923925</xdr:colOff>
      <xdr:row>35</xdr:row>
      <xdr:rowOff>19050</xdr:rowOff>
    </xdr:from>
    <xdr:to>
      <xdr:col>4</xdr:col>
      <xdr:colOff>2733676</xdr:colOff>
      <xdr:row>59</xdr:row>
      <xdr:rowOff>171451</xdr:rowOff>
    </xdr:to>
    <xdr:graphicFrame macro="">
      <xdr:nvGraphicFramePr>
        <xdr:cNvPr id="5" name="Chart 4">
          <a:extLst>
            <a:ext uri="{FF2B5EF4-FFF2-40B4-BE49-F238E27FC236}">
              <a16:creationId xmlns:a16="http://schemas.microsoft.com/office/drawing/2014/main" id="{2E0BC975-8E5F-4D4A-B91D-2DD41551D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70761</xdr:colOff>
      <xdr:row>0</xdr:row>
      <xdr:rowOff>190497</xdr:rowOff>
    </xdr:from>
    <xdr:to>
      <xdr:col>15</xdr:col>
      <xdr:colOff>61791</xdr:colOff>
      <xdr:row>10</xdr:row>
      <xdr:rowOff>74838</xdr:rowOff>
    </xdr:to>
    <xdr:sp macro="" textlink="">
      <xdr:nvSpPr>
        <xdr:cNvPr id="2" name="Rechteck 25">
          <a:extLst>
            <a:ext uri="{FF2B5EF4-FFF2-40B4-BE49-F238E27FC236}">
              <a16:creationId xmlns:a16="http://schemas.microsoft.com/office/drawing/2014/main" id="{E11BAF0A-5CB9-4A1E-92AC-5B02D39CAC70}"/>
            </a:ext>
          </a:extLst>
        </xdr:cNvPr>
        <xdr:cNvSpPr/>
      </xdr:nvSpPr>
      <xdr:spPr>
        <a:xfrm>
          <a:off x="5935440" y="190497"/>
          <a:ext cx="4855583" cy="1598841"/>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484147</xdr:colOff>
      <xdr:row>0</xdr:row>
      <xdr:rowOff>190498</xdr:rowOff>
    </xdr:from>
    <xdr:to>
      <xdr:col>15</xdr:col>
      <xdr:colOff>62104</xdr:colOff>
      <xdr:row>9</xdr:row>
      <xdr:rowOff>95249</xdr:rowOff>
    </xdr:to>
    <xdr:graphicFrame macro="">
      <xdr:nvGraphicFramePr>
        <xdr:cNvPr id="3" name="Diagramm 4">
          <a:extLst>
            <a:ext uri="{FF2B5EF4-FFF2-40B4-BE49-F238E27FC236}">
              <a16:creationId xmlns:a16="http://schemas.microsoft.com/office/drawing/2014/main" id="{7D8B41A8-87E0-4179-B706-85FDBCCA9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191744</xdr:colOff>
      <xdr:row>1</xdr:row>
      <xdr:rowOff>60378</xdr:rowOff>
    </xdr:from>
    <xdr:ext cx="559362" cy="1108366"/>
    <xdr:sp macro="" textlink="">
      <xdr:nvSpPr>
        <xdr:cNvPr id="5" name="Textfeld 7">
          <a:extLst>
            <a:ext uri="{FF2B5EF4-FFF2-40B4-BE49-F238E27FC236}">
              <a16:creationId xmlns:a16="http://schemas.microsoft.com/office/drawing/2014/main" id="{F848A7AB-C4FE-4357-A924-EDB439FFE962}"/>
            </a:ext>
          </a:extLst>
        </xdr:cNvPr>
        <xdr:cNvSpPr txBox="1"/>
      </xdr:nvSpPr>
      <xdr:spPr>
        <a:xfrm rot="16200000">
          <a:off x="5771454" y="525380"/>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Specification</a:t>
          </a:r>
          <a:br>
            <a:rPr lang="en-US" sz="900"/>
          </a:br>
          <a:r>
            <a:rPr lang="en-US" sz="900">
              <a:solidFill>
                <a:schemeClr val="tx1"/>
              </a:solidFill>
              <a:effectLst/>
              <a:latin typeface="+mn-lt"/>
              <a:ea typeface="+mn-ea"/>
              <a:cs typeface="+mn-cs"/>
            </a:rPr>
            <a:t>Techniques</a:t>
          </a:r>
          <a:br>
            <a:rPr lang="en-US" sz="900"/>
          </a:br>
          <a:endParaRPr lang="en-US" sz="900"/>
        </a:p>
      </xdr:txBody>
    </xdr:sp>
    <xdr:clientData/>
  </xdr:oneCellAnchor>
  <xdr:oneCellAnchor>
    <xdr:from>
      <xdr:col>9</xdr:col>
      <xdr:colOff>138799</xdr:colOff>
      <xdr:row>8</xdr:row>
      <xdr:rowOff>183693</xdr:rowOff>
    </xdr:from>
    <xdr:ext cx="3385705" cy="231191"/>
    <xdr:sp macro="" textlink="">
      <xdr:nvSpPr>
        <xdr:cNvPr id="6" name="Textfeld 7">
          <a:extLst>
            <a:ext uri="{FF2B5EF4-FFF2-40B4-BE49-F238E27FC236}">
              <a16:creationId xmlns:a16="http://schemas.microsoft.com/office/drawing/2014/main" id="{F57C8596-97DE-402B-9345-0A42174D3C2A}"/>
            </a:ext>
          </a:extLst>
        </xdr:cNvPr>
        <xdr:cNvSpPr txBox="1"/>
      </xdr:nvSpPr>
      <xdr:spPr>
        <a:xfrm>
          <a:off x="7228120" y="1517193"/>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twoCellAnchor>
    <xdr:from>
      <xdr:col>7</xdr:col>
      <xdr:colOff>556846</xdr:colOff>
      <xdr:row>6</xdr:row>
      <xdr:rowOff>124557</xdr:rowOff>
    </xdr:from>
    <xdr:to>
      <xdr:col>14</xdr:col>
      <xdr:colOff>570810</xdr:colOff>
      <xdr:row>6</xdr:row>
      <xdr:rowOff>124557</xdr:rowOff>
    </xdr:to>
    <xdr:cxnSp macro="">
      <xdr:nvCxnSpPr>
        <xdr:cNvPr id="7" name="Gerader Verbinder 19">
          <a:extLst>
            <a:ext uri="{FF2B5EF4-FFF2-40B4-BE49-F238E27FC236}">
              <a16:creationId xmlns:a16="http://schemas.microsoft.com/office/drawing/2014/main" id="{80FD35C9-A566-4012-8445-B360ABE5A2BC}"/>
            </a:ext>
          </a:extLst>
        </xdr:cNvPr>
        <xdr:cNvCxnSpPr/>
      </xdr:nvCxnSpPr>
      <xdr:spPr>
        <a:xfrm flipV="1">
          <a:off x="6411058" y="1077057"/>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66574</xdr:colOff>
      <xdr:row>12</xdr:row>
      <xdr:rowOff>153863</xdr:rowOff>
    </xdr:from>
    <xdr:to>
      <xdr:col>15</xdr:col>
      <xdr:colOff>57604</xdr:colOff>
      <xdr:row>22</xdr:row>
      <xdr:rowOff>38204</xdr:rowOff>
    </xdr:to>
    <xdr:sp macro="" textlink="">
      <xdr:nvSpPr>
        <xdr:cNvPr id="8" name="Rechteck 25">
          <a:extLst>
            <a:ext uri="{FF2B5EF4-FFF2-40B4-BE49-F238E27FC236}">
              <a16:creationId xmlns:a16="http://schemas.microsoft.com/office/drawing/2014/main" id="{3B6CD1F2-811F-4BA9-8A51-16EB4DF29EF1}"/>
            </a:ext>
          </a:extLst>
        </xdr:cNvPr>
        <xdr:cNvSpPr/>
      </xdr:nvSpPr>
      <xdr:spPr>
        <a:xfrm>
          <a:off x="5920786" y="2439863"/>
          <a:ext cx="4826799" cy="1789341"/>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479960</xdr:colOff>
      <xdr:row>12</xdr:row>
      <xdr:rowOff>153864</xdr:rowOff>
    </xdr:from>
    <xdr:to>
      <xdr:col>15</xdr:col>
      <xdr:colOff>57917</xdr:colOff>
      <xdr:row>20</xdr:row>
      <xdr:rowOff>153865</xdr:rowOff>
    </xdr:to>
    <xdr:graphicFrame macro="">
      <xdr:nvGraphicFramePr>
        <xdr:cNvPr id="9" name="Diagramm 4">
          <a:extLst>
            <a:ext uri="{FF2B5EF4-FFF2-40B4-BE49-F238E27FC236}">
              <a16:creationId xmlns:a16="http://schemas.microsoft.com/office/drawing/2014/main" id="{C803CA52-A020-4420-9568-F1F4AABB3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187557</xdr:colOff>
      <xdr:row>13</xdr:row>
      <xdr:rowOff>111668</xdr:rowOff>
    </xdr:from>
    <xdr:ext cx="559362" cy="1108366"/>
    <xdr:sp macro="" textlink="">
      <xdr:nvSpPr>
        <xdr:cNvPr id="10" name="Textfeld 7">
          <a:extLst>
            <a:ext uri="{FF2B5EF4-FFF2-40B4-BE49-F238E27FC236}">
              <a16:creationId xmlns:a16="http://schemas.microsoft.com/office/drawing/2014/main" id="{F44DB975-3843-4923-9FF8-CBE210B90FE5}"/>
            </a:ext>
          </a:extLst>
        </xdr:cNvPr>
        <xdr:cNvSpPr txBox="1"/>
      </xdr:nvSpPr>
      <xdr:spPr>
        <a:xfrm rot="16200000">
          <a:off x="5767267" y="2862670"/>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Specification</a:t>
          </a:r>
          <a:br>
            <a:rPr lang="en-US" sz="900"/>
          </a:br>
          <a:r>
            <a:rPr lang="en-US" sz="900">
              <a:solidFill>
                <a:schemeClr val="tx1"/>
              </a:solidFill>
              <a:effectLst/>
              <a:latin typeface="+mn-lt"/>
              <a:ea typeface="+mn-ea"/>
              <a:cs typeface="+mn-cs"/>
            </a:rPr>
            <a:t>Techniques</a:t>
          </a:r>
          <a:br>
            <a:rPr lang="en-US" sz="900"/>
          </a:br>
          <a:endParaRPr lang="en-US" sz="900"/>
        </a:p>
      </xdr:txBody>
    </xdr:sp>
    <xdr:clientData/>
  </xdr:oneCellAnchor>
  <xdr:oneCellAnchor>
    <xdr:from>
      <xdr:col>9</xdr:col>
      <xdr:colOff>241788</xdr:colOff>
      <xdr:row>20</xdr:row>
      <xdr:rowOff>73789</xdr:rowOff>
    </xdr:from>
    <xdr:ext cx="3278529" cy="231191"/>
    <xdr:sp macro="" textlink="">
      <xdr:nvSpPr>
        <xdr:cNvPr id="11" name="Textfeld 7">
          <a:extLst>
            <a:ext uri="{FF2B5EF4-FFF2-40B4-BE49-F238E27FC236}">
              <a16:creationId xmlns:a16="http://schemas.microsoft.com/office/drawing/2014/main" id="{E9FEF561-C9F6-411A-B015-3FB0E50CA388}"/>
            </a:ext>
          </a:extLst>
        </xdr:cNvPr>
        <xdr:cNvSpPr txBox="1"/>
      </xdr:nvSpPr>
      <xdr:spPr>
        <a:xfrm>
          <a:off x="7312269" y="3883789"/>
          <a:ext cx="3278529"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1.xml><?xml version="1.0" encoding="utf-8"?>
<xdr:wsDr xmlns:xdr="http://schemas.openxmlformats.org/drawingml/2006/spreadsheetDrawing" xmlns:a="http://schemas.openxmlformats.org/drawingml/2006/main">
  <xdr:twoCellAnchor>
    <xdr:from>
      <xdr:col>7</xdr:col>
      <xdr:colOff>265974</xdr:colOff>
      <xdr:row>1</xdr:row>
      <xdr:rowOff>7326</xdr:rowOff>
    </xdr:from>
    <xdr:to>
      <xdr:col>15</xdr:col>
      <xdr:colOff>256480</xdr:colOff>
      <xdr:row>11</xdr:row>
      <xdr:rowOff>43961</xdr:rowOff>
    </xdr:to>
    <xdr:sp macro="" textlink="">
      <xdr:nvSpPr>
        <xdr:cNvPr id="2" name="Rechteck 25">
          <a:extLst>
            <a:ext uri="{FF2B5EF4-FFF2-40B4-BE49-F238E27FC236}">
              <a16:creationId xmlns:a16="http://schemas.microsoft.com/office/drawing/2014/main" id="{A3C84B8D-1671-46F4-9F82-97357C9DB338}"/>
            </a:ext>
          </a:extLst>
        </xdr:cNvPr>
        <xdr:cNvSpPr/>
      </xdr:nvSpPr>
      <xdr:spPr>
        <a:xfrm>
          <a:off x="6120186" y="197826"/>
          <a:ext cx="4826275" cy="1941635"/>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41918</xdr:colOff>
      <xdr:row>1</xdr:row>
      <xdr:rowOff>0</xdr:rowOff>
    </xdr:from>
    <xdr:to>
      <xdr:col>15</xdr:col>
      <xdr:colOff>228008</xdr:colOff>
      <xdr:row>10</xdr:row>
      <xdr:rowOff>77932</xdr:rowOff>
    </xdr:to>
    <xdr:graphicFrame macro="">
      <xdr:nvGraphicFramePr>
        <xdr:cNvPr id="3" name="Diagramm 4">
          <a:extLst>
            <a:ext uri="{FF2B5EF4-FFF2-40B4-BE49-F238E27FC236}">
              <a16:creationId xmlns:a16="http://schemas.microsoft.com/office/drawing/2014/main" id="{6E4A3E77-C54B-4DDE-ABD0-1793DD4CE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373558</xdr:colOff>
      <xdr:row>1</xdr:row>
      <xdr:rowOff>143874</xdr:rowOff>
    </xdr:from>
    <xdr:ext cx="559362" cy="1108366"/>
    <xdr:sp macro="" textlink="">
      <xdr:nvSpPr>
        <xdr:cNvPr id="5" name="Textfeld 7">
          <a:extLst>
            <a:ext uri="{FF2B5EF4-FFF2-40B4-BE49-F238E27FC236}">
              <a16:creationId xmlns:a16="http://schemas.microsoft.com/office/drawing/2014/main" id="{508BD01A-707D-435B-96C3-B23F30D77BFF}"/>
            </a:ext>
          </a:extLst>
        </xdr:cNvPr>
        <xdr:cNvSpPr txBox="1"/>
      </xdr:nvSpPr>
      <xdr:spPr>
        <a:xfrm rot="16200000">
          <a:off x="5953268" y="608876"/>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Prevention</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439616</xdr:colOff>
      <xdr:row>9</xdr:row>
      <xdr:rowOff>168520</xdr:rowOff>
    </xdr:from>
    <xdr:ext cx="3385705" cy="231191"/>
    <xdr:sp macro="" textlink="">
      <xdr:nvSpPr>
        <xdr:cNvPr id="6" name="Textfeld 7">
          <a:extLst>
            <a:ext uri="{FF2B5EF4-FFF2-40B4-BE49-F238E27FC236}">
              <a16:creationId xmlns:a16="http://schemas.microsoft.com/office/drawing/2014/main" id="{1EBB1AE6-D0DE-44C8-8FBE-F01EBBC363B9}"/>
            </a:ext>
          </a:extLst>
        </xdr:cNvPr>
        <xdr:cNvSpPr txBox="1"/>
      </xdr:nvSpPr>
      <xdr:spPr>
        <a:xfrm>
          <a:off x="7510097" y="1883020"/>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twoCellAnchor>
    <xdr:from>
      <xdr:col>8</xdr:col>
      <xdr:colOff>161192</xdr:colOff>
      <xdr:row>7</xdr:row>
      <xdr:rowOff>131885</xdr:rowOff>
    </xdr:from>
    <xdr:to>
      <xdr:col>15</xdr:col>
      <xdr:colOff>175155</xdr:colOff>
      <xdr:row>7</xdr:row>
      <xdr:rowOff>131885</xdr:rowOff>
    </xdr:to>
    <xdr:cxnSp macro="">
      <xdr:nvCxnSpPr>
        <xdr:cNvPr id="7" name="Gerader Verbinder 19">
          <a:extLst>
            <a:ext uri="{FF2B5EF4-FFF2-40B4-BE49-F238E27FC236}">
              <a16:creationId xmlns:a16="http://schemas.microsoft.com/office/drawing/2014/main" id="{5F17E997-94F6-4AAB-A072-CCAF2C588DEB}"/>
            </a:ext>
          </a:extLst>
        </xdr:cNvPr>
        <xdr:cNvCxnSpPr/>
      </xdr:nvCxnSpPr>
      <xdr:spPr>
        <a:xfrm flipV="1">
          <a:off x="6623538" y="1465385"/>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257180</xdr:colOff>
      <xdr:row>13</xdr:row>
      <xdr:rowOff>71801</xdr:rowOff>
    </xdr:from>
    <xdr:to>
      <xdr:col>15</xdr:col>
      <xdr:colOff>247686</xdr:colOff>
      <xdr:row>23</xdr:row>
      <xdr:rowOff>108436</xdr:rowOff>
    </xdr:to>
    <xdr:sp macro="" textlink="">
      <xdr:nvSpPr>
        <xdr:cNvPr id="8" name="Rechteck 25">
          <a:extLst>
            <a:ext uri="{FF2B5EF4-FFF2-40B4-BE49-F238E27FC236}">
              <a16:creationId xmlns:a16="http://schemas.microsoft.com/office/drawing/2014/main" id="{80F51D6B-4F70-42EF-B40A-3E4BFE486B27}"/>
            </a:ext>
          </a:extLst>
        </xdr:cNvPr>
        <xdr:cNvSpPr/>
      </xdr:nvSpPr>
      <xdr:spPr>
        <a:xfrm>
          <a:off x="6111392" y="2548301"/>
          <a:ext cx="4826275" cy="1941635"/>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33124</xdr:colOff>
      <xdr:row>13</xdr:row>
      <xdr:rowOff>64475</xdr:rowOff>
    </xdr:from>
    <xdr:to>
      <xdr:col>15</xdr:col>
      <xdr:colOff>219214</xdr:colOff>
      <xdr:row>22</xdr:row>
      <xdr:rowOff>29308</xdr:rowOff>
    </xdr:to>
    <xdr:graphicFrame macro="">
      <xdr:nvGraphicFramePr>
        <xdr:cNvPr id="9" name="Diagramm 4">
          <a:extLst>
            <a:ext uri="{FF2B5EF4-FFF2-40B4-BE49-F238E27FC236}">
              <a16:creationId xmlns:a16="http://schemas.microsoft.com/office/drawing/2014/main" id="{E4083F07-4F61-44F8-AC67-7690E69C0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364764</xdr:colOff>
      <xdr:row>14</xdr:row>
      <xdr:rowOff>76465</xdr:rowOff>
    </xdr:from>
    <xdr:ext cx="559362" cy="1108366"/>
    <xdr:sp macro="" textlink="">
      <xdr:nvSpPr>
        <xdr:cNvPr id="10" name="Textfeld 7">
          <a:extLst>
            <a:ext uri="{FF2B5EF4-FFF2-40B4-BE49-F238E27FC236}">
              <a16:creationId xmlns:a16="http://schemas.microsoft.com/office/drawing/2014/main" id="{9068D17F-6EA4-4DF5-BA41-7E21C06FA5C2}"/>
            </a:ext>
          </a:extLst>
        </xdr:cNvPr>
        <xdr:cNvSpPr txBox="1"/>
      </xdr:nvSpPr>
      <xdr:spPr>
        <a:xfrm rot="16200000">
          <a:off x="5944474" y="3017967"/>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Prevention</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586154</xdr:colOff>
      <xdr:row>21</xdr:row>
      <xdr:rowOff>130417</xdr:rowOff>
    </xdr:from>
    <xdr:ext cx="3230373" cy="231191"/>
    <xdr:sp macro="" textlink="">
      <xdr:nvSpPr>
        <xdr:cNvPr id="11" name="Textfeld 7">
          <a:extLst>
            <a:ext uri="{FF2B5EF4-FFF2-40B4-BE49-F238E27FC236}">
              <a16:creationId xmlns:a16="http://schemas.microsoft.com/office/drawing/2014/main" id="{F5B61567-1A12-4B11-9D6F-66E1D5747DA1}"/>
            </a:ext>
          </a:extLst>
        </xdr:cNvPr>
        <xdr:cNvSpPr txBox="1"/>
      </xdr:nvSpPr>
      <xdr:spPr>
        <a:xfrm>
          <a:off x="7656635" y="4130917"/>
          <a:ext cx="3230373"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2.xml><?xml version="1.0" encoding="utf-8"?>
<xdr:wsDr xmlns:xdr="http://schemas.openxmlformats.org/drawingml/2006/spreadsheetDrawing" xmlns:a="http://schemas.openxmlformats.org/drawingml/2006/main">
  <xdr:twoCellAnchor>
    <xdr:from>
      <xdr:col>7</xdr:col>
      <xdr:colOff>346563</xdr:colOff>
      <xdr:row>0</xdr:row>
      <xdr:rowOff>190499</xdr:rowOff>
    </xdr:from>
    <xdr:to>
      <xdr:col>15</xdr:col>
      <xdr:colOff>337069</xdr:colOff>
      <xdr:row>10</xdr:row>
      <xdr:rowOff>117231</xdr:rowOff>
    </xdr:to>
    <xdr:sp macro="" textlink="">
      <xdr:nvSpPr>
        <xdr:cNvPr id="2" name="Rechteck 25">
          <a:extLst>
            <a:ext uri="{FF2B5EF4-FFF2-40B4-BE49-F238E27FC236}">
              <a16:creationId xmlns:a16="http://schemas.microsoft.com/office/drawing/2014/main" id="{7D65DAB8-BE37-4303-9068-056C664D4B1D}"/>
            </a:ext>
          </a:extLst>
        </xdr:cNvPr>
        <xdr:cNvSpPr/>
      </xdr:nvSpPr>
      <xdr:spPr>
        <a:xfrm>
          <a:off x="6200775" y="190499"/>
          <a:ext cx="4826275" cy="183173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151815</xdr:colOff>
      <xdr:row>0</xdr:row>
      <xdr:rowOff>190499</xdr:rowOff>
    </xdr:from>
    <xdr:to>
      <xdr:col>15</xdr:col>
      <xdr:colOff>337905</xdr:colOff>
      <xdr:row>9</xdr:row>
      <xdr:rowOff>138545</xdr:rowOff>
    </xdr:to>
    <xdr:graphicFrame macro="">
      <xdr:nvGraphicFramePr>
        <xdr:cNvPr id="3" name="Diagramm 4">
          <a:extLst>
            <a:ext uri="{FF2B5EF4-FFF2-40B4-BE49-F238E27FC236}">
              <a16:creationId xmlns:a16="http://schemas.microsoft.com/office/drawing/2014/main" id="{FDDB3C91-ED66-446E-A3C6-78A58AA90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477327</xdr:colOff>
      <xdr:row>1</xdr:row>
      <xdr:rowOff>37297</xdr:rowOff>
    </xdr:from>
    <xdr:ext cx="559362" cy="1246909"/>
    <xdr:sp macro="" textlink="">
      <xdr:nvSpPr>
        <xdr:cNvPr id="4" name="Textfeld 7">
          <a:extLst>
            <a:ext uri="{FF2B5EF4-FFF2-40B4-BE49-F238E27FC236}">
              <a16:creationId xmlns:a16="http://schemas.microsoft.com/office/drawing/2014/main" id="{B78B8E93-207F-4BFF-9CFB-35E094C321D7}"/>
            </a:ext>
          </a:extLst>
        </xdr:cNvPr>
        <xdr:cNvSpPr txBox="1"/>
      </xdr:nvSpPr>
      <xdr:spPr>
        <a:xfrm rot="16200000">
          <a:off x="5987765" y="571571"/>
          <a:ext cx="1246909"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Detection</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476251</xdr:colOff>
      <xdr:row>9</xdr:row>
      <xdr:rowOff>51288</xdr:rowOff>
    </xdr:from>
    <xdr:ext cx="3385705" cy="231191"/>
    <xdr:sp macro="" textlink="">
      <xdr:nvSpPr>
        <xdr:cNvPr id="5" name="Textfeld 7">
          <a:extLst>
            <a:ext uri="{FF2B5EF4-FFF2-40B4-BE49-F238E27FC236}">
              <a16:creationId xmlns:a16="http://schemas.microsoft.com/office/drawing/2014/main" id="{5F786723-79D5-4A83-A362-49F85BD2993E}"/>
            </a:ext>
          </a:extLst>
        </xdr:cNvPr>
        <xdr:cNvSpPr txBox="1"/>
      </xdr:nvSpPr>
      <xdr:spPr>
        <a:xfrm>
          <a:off x="7546732" y="1765788"/>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twoCellAnchor>
    <xdr:from>
      <xdr:col>8</xdr:col>
      <xdr:colOff>227135</xdr:colOff>
      <xdr:row>6</xdr:row>
      <xdr:rowOff>175846</xdr:rowOff>
    </xdr:from>
    <xdr:to>
      <xdr:col>15</xdr:col>
      <xdr:colOff>241098</xdr:colOff>
      <xdr:row>6</xdr:row>
      <xdr:rowOff>175846</xdr:rowOff>
    </xdr:to>
    <xdr:cxnSp macro="">
      <xdr:nvCxnSpPr>
        <xdr:cNvPr id="6" name="Gerader Verbinder 19">
          <a:extLst>
            <a:ext uri="{FF2B5EF4-FFF2-40B4-BE49-F238E27FC236}">
              <a16:creationId xmlns:a16="http://schemas.microsoft.com/office/drawing/2014/main" id="{C092A11F-0581-482C-97F8-4A2D29B841F4}"/>
            </a:ext>
          </a:extLst>
        </xdr:cNvPr>
        <xdr:cNvCxnSpPr/>
      </xdr:nvCxnSpPr>
      <xdr:spPr>
        <a:xfrm flipV="1">
          <a:off x="6689481" y="1318846"/>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352423</xdr:colOff>
      <xdr:row>13</xdr:row>
      <xdr:rowOff>115766</xdr:rowOff>
    </xdr:from>
    <xdr:to>
      <xdr:col>15</xdr:col>
      <xdr:colOff>342929</xdr:colOff>
      <xdr:row>23</xdr:row>
      <xdr:rowOff>42498</xdr:rowOff>
    </xdr:to>
    <xdr:sp macro="" textlink="">
      <xdr:nvSpPr>
        <xdr:cNvPr id="7" name="Rechteck 25">
          <a:extLst>
            <a:ext uri="{FF2B5EF4-FFF2-40B4-BE49-F238E27FC236}">
              <a16:creationId xmlns:a16="http://schemas.microsoft.com/office/drawing/2014/main" id="{8296F1BD-2AAE-4260-AAF6-A8CA5F03002E}"/>
            </a:ext>
          </a:extLst>
        </xdr:cNvPr>
        <xdr:cNvSpPr/>
      </xdr:nvSpPr>
      <xdr:spPr>
        <a:xfrm>
          <a:off x="6206635" y="2592266"/>
          <a:ext cx="4826275" cy="183173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157675</xdr:colOff>
      <xdr:row>13</xdr:row>
      <xdr:rowOff>115766</xdr:rowOff>
    </xdr:from>
    <xdr:to>
      <xdr:col>15</xdr:col>
      <xdr:colOff>343765</xdr:colOff>
      <xdr:row>21</xdr:row>
      <xdr:rowOff>168519</xdr:rowOff>
    </xdr:to>
    <xdr:graphicFrame macro="">
      <xdr:nvGraphicFramePr>
        <xdr:cNvPr id="8" name="Diagramm 4">
          <a:extLst>
            <a:ext uri="{FF2B5EF4-FFF2-40B4-BE49-F238E27FC236}">
              <a16:creationId xmlns:a16="http://schemas.microsoft.com/office/drawing/2014/main" id="{DDA6E63D-9A58-4490-BFDE-FAFF18A12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483187</xdr:colOff>
      <xdr:row>14</xdr:row>
      <xdr:rowOff>13853</xdr:rowOff>
    </xdr:from>
    <xdr:ext cx="559362" cy="1246909"/>
    <xdr:sp macro="" textlink="">
      <xdr:nvSpPr>
        <xdr:cNvPr id="9" name="Textfeld 7">
          <a:extLst>
            <a:ext uri="{FF2B5EF4-FFF2-40B4-BE49-F238E27FC236}">
              <a16:creationId xmlns:a16="http://schemas.microsoft.com/office/drawing/2014/main" id="{4C3C2C15-22C8-4161-A569-10FA6EC566E2}"/>
            </a:ext>
          </a:extLst>
        </xdr:cNvPr>
        <xdr:cNvSpPr txBox="1"/>
      </xdr:nvSpPr>
      <xdr:spPr>
        <a:xfrm rot="16200000">
          <a:off x="5993625" y="3024627"/>
          <a:ext cx="1246909"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Detection</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593482</xdr:colOff>
      <xdr:row>21</xdr:row>
      <xdr:rowOff>79131</xdr:rowOff>
    </xdr:from>
    <xdr:ext cx="3274334" cy="231191"/>
    <xdr:sp macro="" textlink="">
      <xdr:nvSpPr>
        <xdr:cNvPr id="10" name="Textfeld 7">
          <a:extLst>
            <a:ext uri="{FF2B5EF4-FFF2-40B4-BE49-F238E27FC236}">
              <a16:creationId xmlns:a16="http://schemas.microsoft.com/office/drawing/2014/main" id="{4385D700-0044-46D3-95C4-AECE1B66D381}"/>
            </a:ext>
          </a:extLst>
        </xdr:cNvPr>
        <xdr:cNvSpPr txBox="1"/>
      </xdr:nvSpPr>
      <xdr:spPr>
        <a:xfrm>
          <a:off x="7663963" y="4079631"/>
          <a:ext cx="3274334"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3.xml><?xml version="1.0" encoding="utf-8"?>
<xdr:wsDr xmlns:xdr="http://schemas.openxmlformats.org/drawingml/2006/spreadsheetDrawing" xmlns:a="http://schemas.openxmlformats.org/drawingml/2006/main">
  <xdr:twoCellAnchor>
    <xdr:from>
      <xdr:col>4</xdr:col>
      <xdr:colOff>123825</xdr:colOff>
      <xdr:row>70</xdr:row>
      <xdr:rowOff>0</xdr:rowOff>
    </xdr:from>
    <xdr:to>
      <xdr:col>13</xdr:col>
      <xdr:colOff>1419225</xdr:colOff>
      <xdr:row>71</xdr:row>
      <xdr:rowOff>133350</xdr:rowOff>
    </xdr:to>
    <xdr:sp macro="" textlink="">
      <xdr:nvSpPr>
        <xdr:cNvPr id="2" name="Rectangle 1">
          <a:extLst>
            <a:ext uri="{FF2B5EF4-FFF2-40B4-BE49-F238E27FC236}">
              <a16:creationId xmlns:a16="http://schemas.microsoft.com/office/drawing/2014/main" id="{ECDA71B3-38DD-4D9E-880E-7FEF3C938664}"/>
            </a:ext>
          </a:extLst>
        </xdr:cNvPr>
        <xdr:cNvSpPr/>
      </xdr:nvSpPr>
      <xdr:spPr>
        <a:xfrm>
          <a:off x="4495800" y="13335000"/>
          <a:ext cx="588645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69</xdr:row>
      <xdr:rowOff>47625</xdr:rowOff>
    </xdr:from>
    <xdr:to>
      <xdr:col>5</xdr:col>
      <xdr:colOff>142875</xdr:colOff>
      <xdr:row>70</xdr:row>
      <xdr:rowOff>76200</xdr:rowOff>
    </xdr:to>
    <xdr:sp macro="" textlink="">
      <xdr:nvSpPr>
        <xdr:cNvPr id="3" name="Rectangle 2">
          <a:extLst>
            <a:ext uri="{FF2B5EF4-FFF2-40B4-BE49-F238E27FC236}">
              <a16:creationId xmlns:a16="http://schemas.microsoft.com/office/drawing/2014/main" id="{2FB9AF81-2E1C-4683-8B27-617C30C03D4C}"/>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69</xdr:row>
      <xdr:rowOff>0</xdr:rowOff>
    </xdr:from>
    <xdr:to>
      <xdr:col>5</xdr:col>
      <xdr:colOff>104775</xdr:colOff>
      <xdr:row>70</xdr:row>
      <xdr:rowOff>66675</xdr:rowOff>
    </xdr:to>
    <xdr:sp macro="" textlink="">
      <xdr:nvSpPr>
        <xdr:cNvPr id="4" name="Rectangle 3">
          <a:extLst>
            <a:ext uri="{FF2B5EF4-FFF2-40B4-BE49-F238E27FC236}">
              <a16:creationId xmlns:a16="http://schemas.microsoft.com/office/drawing/2014/main" id="{4EF186C0-BC5B-483D-BA63-4FFF9C2374FA}"/>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69</xdr:row>
      <xdr:rowOff>0</xdr:rowOff>
    </xdr:from>
    <xdr:to>
      <xdr:col>13</xdr:col>
      <xdr:colOff>1343024</xdr:colOff>
      <xdr:row>70</xdr:row>
      <xdr:rowOff>66675</xdr:rowOff>
    </xdr:to>
    <xdr:sp macro="" textlink="">
      <xdr:nvSpPr>
        <xdr:cNvPr id="5" name="Rectangle 4">
          <a:extLst>
            <a:ext uri="{FF2B5EF4-FFF2-40B4-BE49-F238E27FC236}">
              <a16:creationId xmlns:a16="http://schemas.microsoft.com/office/drawing/2014/main" id="{620DABC5-60C5-48EB-A0D0-55270B9CE491}"/>
            </a:ext>
          </a:extLst>
        </xdr:cNvPr>
        <xdr:cNvSpPr/>
      </xdr:nvSpPr>
      <xdr:spPr>
        <a:xfrm>
          <a:off x="10382249" y="13144500"/>
          <a:ext cx="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70</xdr:row>
      <xdr:rowOff>28575</xdr:rowOff>
    </xdr:from>
    <xdr:ext cx="1029064" cy="248851"/>
    <xdr:sp macro="" textlink="">
      <xdr:nvSpPr>
        <xdr:cNvPr id="6" name="TextBox 5">
          <a:extLst>
            <a:ext uri="{FF2B5EF4-FFF2-40B4-BE49-F238E27FC236}">
              <a16:creationId xmlns:a16="http://schemas.microsoft.com/office/drawing/2014/main" id="{46A2AAB4-61DF-468C-A7D0-5C937A5A7DA2}"/>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2</xdr:col>
      <xdr:colOff>952499</xdr:colOff>
      <xdr:row>37</xdr:row>
      <xdr:rowOff>180975</xdr:rowOff>
    </xdr:from>
    <xdr:to>
      <xdr:col>2</xdr:col>
      <xdr:colOff>1247774</xdr:colOff>
      <xdr:row>39</xdr:row>
      <xdr:rowOff>57150</xdr:rowOff>
    </xdr:to>
    <xdr:sp macro="" textlink="">
      <xdr:nvSpPr>
        <xdr:cNvPr id="7" name="Rectangle 6">
          <a:extLst>
            <a:ext uri="{FF2B5EF4-FFF2-40B4-BE49-F238E27FC236}">
              <a16:creationId xmlns:a16="http://schemas.microsoft.com/office/drawing/2014/main" id="{20EE67F6-126F-4ECA-8D9B-CB6B4E00C7EC}"/>
            </a:ext>
          </a:extLst>
        </xdr:cNvPr>
        <xdr:cNvSpPr/>
      </xdr:nvSpPr>
      <xdr:spPr>
        <a:xfrm>
          <a:off x="3448049" y="722947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819149</xdr:colOff>
      <xdr:row>38</xdr:row>
      <xdr:rowOff>85725</xdr:rowOff>
    </xdr:from>
    <xdr:to>
      <xdr:col>2</xdr:col>
      <xdr:colOff>1114424</xdr:colOff>
      <xdr:row>39</xdr:row>
      <xdr:rowOff>152400</xdr:rowOff>
    </xdr:to>
    <xdr:sp macro="" textlink="">
      <xdr:nvSpPr>
        <xdr:cNvPr id="8" name="Rectangle 7">
          <a:extLst>
            <a:ext uri="{FF2B5EF4-FFF2-40B4-BE49-F238E27FC236}">
              <a16:creationId xmlns:a16="http://schemas.microsoft.com/office/drawing/2014/main" id="{9582D621-BA5F-4F54-81AF-DA8044071639}"/>
            </a:ext>
          </a:extLst>
        </xdr:cNvPr>
        <xdr:cNvSpPr/>
      </xdr:nvSpPr>
      <xdr:spPr>
        <a:xfrm>
          <a:off x="3314699" y="73247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1019175</xdr:colOff>
      <xdr:row>0</xdr:row>
      <xdr:rowOff>104775</xdr:rowOff>
    </xdr:from>
    <xdr:to>
      <xdr:col>3</xdr:col>
      <xdr:colOff>104775</xdr:colOff>
      <xdr:row>1</xdr:row>
      <xdr:rowOff>171450</xdr:rowOff>
    </xdr:to>
    <xdr:sp macro="" textlink="">
      <xdr:nvSpPr>
        <xdr:cNvPr id="10" name="Rectangle 9">
          <a:extLst>
            <a:ext uri="{FF2B5EF4-FFF2-40B4-BE49-F238E27FC236}">
              <a16:creationId xmlns:a16="http://schemas.microsoft.com/office/drawing/2014/main" id="{242B2A09-56BC-471F-8465-D43193E12DAD}"/>
            </a:ext>
          </a:extLst>
        </xdr:cNvPr>
        <xdr:cNvSpPr/>
      </xdr:nvSpPr>
      <xdr:spPr>
        <a:xfrm>
          <a:off x="3514725" y="10477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685799</xdr:colOff>
      <xdr:row>8</xdr:row>
      <xdr:rowOff>86591</xdr:rowOff>
    </xdr:from>
    <xdr:to>
      <xdr:col>7</xdr:col>
      <xdr:colOff>483577</xdr:colOff>
      <xdr:row>28</xdr:row>
      <xdr:rowOff>57149</xdr:rowOff>
    </xdr:to>
    <xdr:graphicFrame macro="">
      <xdr:nvGraphicFramePr>
        <xdr:cNvPr id="16" name="Chart 15">
          <a:extLst>
            <a:ext uri="{FF2B5EF4-FFF2-40B4-BE49-F238E27FC236}">
              <a16:creationId xmlns:a16="http://schemas.microsoft.com/office/drawing/2014/main" id="{0FE4BCF7-B547-45C5-97DE-E26959FE6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1112228</xdr:colOff>
      <xdr:row>4</xdr:row>
      <xdr:rowOff>66675</xdr:rowOff>
    </xdr:from>
    <xdr:to>
      <xdr:col>2</xdr:col>
      <xdr:colOff>636710</xdr:colOff>
      <xdr:row>29</xdr:row>
      <xdr:rowOff>9524</xdr:rowOff>
    </xdr:to>
    <xdr:sp macro="" textlink="">
      <xdr:nvSpPr>
        <xdr:cNvPr id="17" name="Rectangle 16">
          <a:extLst>
            <a:ext uri="{FF2B5EF4-FFF2-40B4-BE49-F238E27FC236}">
              <a16:creationId xmlns:a16="http://schemas.microsoft.com/office/drawing/2014/main" id="{19C75DA4-C184-4523-8FE0-158017B33768}"/>
            </a:ext>
          </a:extLst>
        </xdr:cNvPr>
        <xdr:cNvSpPr/>
      </xdr:nvSpPr>
      <xdr:spPr>
        <a:xfrm>
          <a:off x="1112228" y="828675"/>
          <a:ext cx="2022963" cy="4705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26</xdr:row>
      <xdr:rowOff>165855</xdr:rowOff>
    </xdr:from>
    <xdr:to>
      <xdr:col>13</xdr:col>
      <xdr:colOff>523876</xdr:colOff>
      <xdr:row>35</xdr:row>
      <xdr:rowOff>127755</xdr:rowOff>
    </xdr:to>
    <xdr:sp macro="" textlink="">
      <xdr:nvSpPr>
        <xdr:cNvPr id="18" name="Rectangle 17">
          <a:extLst>
            <a:ext uri="{FF2B5EF4-FFF2-40B4-BE49-F238E27FC236}">
              <a16:creationId xmlns:a16="http://schemas.microsoft.com/office/drawing/2014/main" id="{BE8F818C-EDB6-430F-B630-3172D88EFC11}"/>
            </a:ext>
          </a:extLst>
        </xdr:cNvPr>
        <xdr:cNvSpPr/>
      </xdr:nvSpPr>
      <xdr:spPr>
        <a:xfrm>
          <a:off x="76200" y="5118855"/>
          <a:ext cx="10295061" cy="1676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1211665</xdr:colOff>
      <xdr:row>26</xdr:row>
      <xdr:rowOff>166121</xdr:rowOff>
    </xdr:from>
    <xdr:ext cx="1081835" cy="248851"/>
    <xdr:sp macro="" textlink="">
      <xdr:nvSpPr>
        <xdr:cNvPr id="19" name="TextBox 18">
          <a:extLst>
            <a:ext uri="{FF2B5EF4-FFF2-40B4-BE49-F238E27FC236}">
              <a16:creationId xmlns:a16="http://schemas.microsoft.com/office/drawing/2014/main" id="{74E42C5C-A78C-4F2E-A1CE-D577919A099C}"/>
            </a:ext>
          </a:extLst>
        </xdr:cNvPr>
        <xdr:cNvSpPr txBox="1"/>
      </xdr:nvSpPr>
      <xdr:spPr>
        <a:xfrm>
          <a:off x="3710146" y="5119121"/>
          <a:ext cx="108183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Syntactic</a:t>
          </a:r>
          <a:r>
            <a:rPr lang="en-US" sz="1000" baseline="0"/>
            <a:t> Conflict</a:t>
          </a:r>
          <a:endParaRPr lang="en-US" sz="1000"/>
        </a:p>
      </xdr:txBody>
    </xdr:sp>
    <xdr:clientData/>
  </xdr:oneCellAnchor>
  <xdr:oneCellAnchor>
    <xdr:from>
      <xdr:col>4</xdr:col>
      <xdr:colOff>509166</xdr:colOff>
      <xdr:row>26</xdr:row>
      <xdr:rowOff>165521</xdr:rowOff>
    </xdr:from>
    <xdr:ext cx="1092863" cy="248851"/>
    <xdr:sp macro="" textlink="">
      <xdr:nvSpPr>
        <xdr:cNvPr id="20" name="TextBox 19">
          <a:extLst>
            <a:ext uri="{FF2B5EF4-FFF2-40B4-BE49-F238E27FC236}">
              <a16:creationId xmlns:a16="http://schemas.microsoft.com/office/drawing/2014/main" id="{9B30AA47-0675-423C-827B-7A42C1A87578}"/>
            </a:ext>
          </a:extLst>
        </xdr:cNvPr>
        <xdr:cNvSpPr txBox="1"/>
      </xdr:nvSpPr>
      <xdr:spPr>
        <a:xfrm>
          <a:off x="4883339" y="5118521"/>
          <a:ext cx="109286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Semantic Conflict</a:t>
          </a:r>
        </a:p>
      </xdr:txBody>
    </xdr:sp>
    <xdr:clientData/>
  </xdr:oneCellAnchor>
  <xdr:oneCellAnchor>
    <xdr:from>
      <xdr:col>1</xdr:col>
      <xdr:colOff>1151797</xdr:colOff>
      <xdr:row>12</xdr:row>
      <xdr:rowOff>186709</xdr:rowOff>
    </xdr:from>
    <xdr:ext cx="859583" cy="405367"/>
    <xdr:sp macro="" textlink="">
      <xdr:nvSpPr>
        <xdr:cNvPr id="23" name="TextBox 22">
          <a:extLst>
            <a:ext uri="{FF2B5EF4-FFF2-40B4-BE49-F238E27FC236}">
              <a16:creationId xmlns:a16="http://schemas.microsoft.com/office/drawing/2014/main" id="{0E34315A-4228-4F3D-95CB-811F3D88809F}"/>
            </a:ext>
          </a:extLst>
        </xdr:cNvPr>
        <xdr:cNvSpPr txBox="1"/>
      </xdr:nvSpPr>
      <xdr:spPr>
        <a:xfrm>
          <a:off x="2346085" y="2472709"/>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Constraint Violation</a:t>
          </a:r>
        </a:p>
      </xdr:txBody>
    </xdr:sp>
    <xdr:clientData/>
  </xdr:oneCellAnchor>
  <xdr:oneCellAnchor>
    <xdr:from>
      <xdr:col>1</xdr:col>
      <xdr:colOff>1157792</xdr:colOff>
      <xdr:row>16</xdr:row>
      <xdr:rowOff>25655</xdr:rowOff>
    </xdr:from>
    <xdr:ext cx="859583" cy="405367"/>
    <xdr:sp macro="" textlink="">
      <xdr:nvSpPr>
        <xdr:cNvPr id="24" name="TextBox 23">
          <a:extLst>
            <a:ext uri="{FF2B5EF4-FFF2-40B4-BE49-F238E27FC236}">
              <a16:creationId xmlns:a16="http://schemas.microsoft.com/office/drawing/2014/main" id="{E5B58867-FA32-4A38-959D-278BA2283279}"/>
            </a:ext>
          </a:extLst>
        </xdr:cNvPr>
        <xdr:cNvSpPr txBox="1"/>
      </xdr:nvSpPr>
      <xdr:spPr>
        <a:xfrm>
          <a:off x="2352080" y="3073655"/>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Change Overlapping</a:t>
          </a:r>
        </a:p>
      </xdr:txBody>
    </xdr:sp>
    <xdr:clientData/>
  </xdr:oneCellAnchor>
  <xdr:oneCellAnchor>
    <xdr:from>
      <xdr:col>1</xdr:col>
      <xdr:colOff>1170447</xdr:colOff>
      <xdr:row>19</xdr:row>
      <xdr:rowOff>63753</xdr:rowOff>
    </xdr:from>
    <xdr:ext cx="859583" cy="405367"/>
    <xdr:sp macro="" textlink="">
      <xdr:nvSpPr>
        <xdr:cNvPr id="25" name="TextBox 24">
          <a:extLst>
            <a:ext uri="{FF2B5EF4-FFF2-40B4-BE49-F238E27FC236}">
              <a16:creationId xmlns:a16="http://schemas.microsoft.com/office/drawing/2014/main" id="{19EF8BB5-2C38-498B-8D83-6C91F81207AE}"/>
            </a:ext>
          </a:extLst>
        </xdr:cNvPr>
        <xdr:cNvSpPr txBox="1"/>
      </xdr:nvSpPr>
      <xdr:spPr>
        <a:xfrm>
          <a:off x="2364735" y="368325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Pattern Matching</a:t>
          </a:r>
        </a:p>
      </xdr:txBody>
    </xdr:sp>
    <xdr:clientData/>
  </xdr:oneCellAnchor>
  <xdr:oneCellAnchor>
    <xdr:from>
      <xdr:col>1</xdr:col>
      <xdr:colOff>1170447</xdr:colOff>
      <xdr:row>22</xdr:row>
      <xdr:rowOff>89666</xdr:rowOff>
    </xdr:from>
    <xdr:ext cx="859583" cy="405367"/>
    <xdr:sp macro="" textlink="">
      <xdr:nvSpPr>
        <xdr:cNvPr id="26" name="TextBox 25">
          <a:extLst>
            <a:ext uri="{FF2B5EF4-FFF2-40B4-BE49-F238E27FC236}">
              <a16:creationId xmlns:a16="http://schemas.microsoft.com/office/drawing/2014/main" id="{A225A9D3-47A1-45FF-AB12-308CD19489AD}"/>
            </a:ext>
          </a:extLst>
        </xdr:cNvPr>
        <xdr:cNvSpPr txBox="1"/>
      </xdr:nvSpPr>
      <xdr:spPr>
        <a:xfrm>
          <a:off x="2364735" y="4280666"/>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Formal Methods</a:t>
          </a:r>
        </a:p>
      </xdr:txBody>
    </xdr:sp>
    <xdr:clientData/>
  </xdr:oneCellAnchor>
  <xdr:twoCellAnchor>
    <xdr:from>
      <xdr:col>2</xdr:col>
      <xdr:colOff>366346</xdr:colOff>
      <xdr:row>10</xdr:row>
      <xdr:rowOff>29307</xdr:rowOff>
    </xdr:from>
    <xdr:to>
      <xdr:col>2</xdr:col>
      <xdr:colOff>661621</xdr:colOff>
      <xdr:row>11</xdr:row>
      <xdr:rowOff>95982</xdr:rowOff>
    </xdr:to>
    <xdr:sp macro="" textlink="">
      <xdr:nvSpPr>
        <xdr:cNvPr id="29" name="Rectangle 28">
          <a:extLst>
            <a:ext uri="{FF2B5EF4-FFF2-40B4-BE49-F238E27FC236}">
              <a16:creationId xmlns:a16="http://schemas.microsoft.com/office/drawing/2014/main" id="{7938125C-EDE8-4BE6-ADDB-09202DEB0C7B}"/>
            </a:ext>
          </a:extLst>
        </xdr:cNvPr>
        <xdr:cNvSpPr/>
      </xdr:nvSpPr>
      <xdr:spPr>
        <a:xfrm>
          <a:off x="2864827" y="1934307"/>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366346</xdr:colOff>
      <xdr:row>25</xdr:row>
      <xdr:rowOff>175846</xdr:rowOff>
    </xdr:from>
    <xdr:to>
      <xdr:col>2</xdr:col>
      <xdr:colOff>661621</xdr:colOff>
      <xdr:row>27</xdr:row>
      <xdr:rowOff>52021</xdr:rowOff>
    </xdr:to>
    <xdr:sp macro="" textlink="">
      <xdr:nvSpPr>
        <xdr:cNvPr id="30" name="Rectangle 29">
          <a:extLst>
            <a:ext uri="{FF2B5EF4-FFF2-40B4-BE49-F238E27FC236}">
              <a16:creationId xmlns:a16="http://schemas.microsoft.com/office/drawing/2014/main" id="{F6BB6945-3DE7-4350-B5C6-C046EBFF7E0E}"/>
            </a:ext>
          </a:extLst>
        </xdr:cNvPr>
        <xdr:cNvSpPr/>
      </xdr:nvSpPr>
      <xdr:spPr>
        <a:xfrm>
          <a:off x="2864827" y="4938346"/>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4</xdr:col>
      <xdr:colOff>123825</xdr:colOff>
      <xdr:row>70</xdr:row>
      <xdr:rowOff>0</xdr:rowOff>
    </xdr:from>
    <xdr:to>
      <xdr:col>13</xdr:col>
      <xdr:colOff>1419225</xdr:colOff>
      <xdr:row>71</xdr:row>
      <xdr:rowOff>133350</xdr:rowOff>
    </xdr:to>
    <xdr:sp macro="" textlink="">
      <xdr:nvSpPr>
        <xdr:cNvPr id="2" name="Rectangle 1">
          <a:extLst>
            <a:ext uri="{FF2B5EF4-FFF2-40B4-BE49-F238E27FC236}">
              <a16:creationId xmlns:a16="http://schemas.microsoft.com/office/drawing/2014/main" id="{FEDAA6C3-7429-4665-9A19-FC03EA449213}"/>
            </a:ext>
          </a:extLst>
        </xdr:cNvPr>
        <xdr:cNvSpPr/>
      </xdr:nvSpPr>
      <xdr:spPr>
        <a:xfrm>
          <a:off x="4495800" y="13335000"/>
          <a:ext cx="588645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69</xdr:row>
      <xdr:rowOff>47625</xdr:rowOff>
    </xdr:from>
    <xdr:to>
      <xdr:col>5</xdr:col>
      <xdr:colOff>142875</xdr:colOff>
      <xdr:row>70</xdr:row>
      <xdr:rowOff>76200</xdr:rowOff>
    </xdr:to>
    <xdr:sp macro="" textlink="">
      <xdr:nvSpPr>
        <xdr:cNvPr id="3" name="Rectangle 2">
          <a:extLst>
            <a:ext uri="{FF2B5EF4-FFF2-40B4-BE49-F238E27FC236}">
              <a16:creationId xmlns:a16="http://schemas.microsoft.com/office/drawing/2014/main" id="{2C34B2BE-DD4E-4345-A813-B49098DC62EA}"/>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69</xdr:row>
      <xdr:rowOff>0</xdr:rowOff>
    </xdr:from>
    <xdr:to>
      <xdr:col>5</xdr:col>
      <xdr:colOff>104775</xdr:colOff>
      <xdr:row>70</xdr:row>
      <xdr:rowOff>66675</xdr:rowOff>
    </xdr:to>
    <xdr:sp macro="" textlink="">
      <xdr:nvSpPr>
        <xdr:cNvPr id="4" name="Rectangle 3">
          <a:extLst>
            <a:ext uri="{FF2B5EF4-FFF2-40B4-BE49-F238E27FC236}">
              <a16:creationId xmlns:a16="http://schemas.microsoft.com/office/drawing/2014/main" id="{2AF417FB-3EC6-4579-9326-F7393C6BA42E}"/>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69</xdr:row>
      <xdr:rowOff>0</xdr:rowOff>
    </xdr:from>
    <xdr:to>
      <xdr:col>13</xdr:col>
      <xdr:colOff>1343024</xdr:colOff>
      <xdr:row>70</xdr:row>
      <xdr:rowOff>66675</xdr:rowOff>
    </xdr:to>
    <xdr:sp macro="" textlink="">
      <xdr:nvSpPr>
        <xdr:cNvPr id="5" name="Rectangle 4">
          <a:extLst>
            <a:ext uri="{FF2B5EF4-FFF2-40B4-BE49-F238E27FC236}">
              <a16:creationId xmlns:a16="http://schemas.microsoft.com/office/drawing/2014/main" id="{4F69BCF8-4931-41EF-A11D-66818C350A99}"/>
            </a:ext>
          </a:extLst>
        </xdr:cNvPr>
        <xdr:cNvSpPr/>
      </xdr:nvSpPr>
      <xdr:spPr>
        <a:xfrm>
          <a:off x="10382249" y="13144500"/>
          <a:ext cx="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70</xdr:row>
      <xdr:rowOff>28575</xdr:rowOff>
    </xdr:from>
    <xdr:ext cx="1029064" cy="248851"/>
    <xdr:sp macro="" textlink="">
      <xdr:nvSpPr>
        <xdr:cNvPr id="6" name="TextBox 5">
          <a:extLst>
            <a:ext uri="{FF2B5EF4-FFF2-40B4-BE49-F238E27FC236}">
              <a16:creationId xmlns:a16="http://schemas.microsoft.com/office/drawing/2014/main" id="{03B9DCA1-59D4-45B8-B001-E046F74260B8}"/>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2</xdr:col>
      <xdr:colOff>952499</xdr:colOff>
      <xdr:row>37</xdr:row>
      <xdr:rowOff>180975</xdr:rowOff>
    </xdr:from>
    <xdr:to>
      <xdr:col>2</xdr:col>
      <xdr:colOff>1247774</xdr:colOff>
      <xdr:row>39</xdr:row>
      <xdr:rowOff>57150</xdr:rowOff>
    </xdr:to>
    <xdr:sp macro="" textlink="">
      <xdr:nvSpPr>
        <xdr:cNvPr id="7" name="Rectangle 6">
          <a:extLst>
            <a:ext uri="{FF2B5EF4-FFF2-40B4-BE49-F238E27FC236}">
              <a16:creationId xmlns:a16="http://schemas.microsoft.com/office/drawing/2014/main" id="{38DC4343-55B6-44DD-991A-D77D69CDCAFB}"/>
            </a:ext>
          </a:extLst>
        </xdr:cNvPr>
        <xdr:cNvSpPr/>
      </xdr:nvSpPr>
      <xdr:spPr>
        <a:xfrm>
          <a:off x="3448049" y="722947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819149</xdr:colOff>
      <xdr:row>38</xdr:row>
      <xdr:rowOff>85725</xdr:rowOff>
    </xdr:from>
    <xdr:to>
      <xdr:col>2</xdr:col>
      <xdr:colOff>1114424</xdr:colOff>
      <xdr:row>39</xdr:row>
      <xdr:rowOff>152400</xdr:rowOff>
    </xdr:to>
    <xdr:sp macro="" textlink="">
      <xdr:nvSpPr>
        <xdr:cNvPr id="8" name="Rectangle 7">
          <a:extLst>
            <a:ext uri="{FF2B5EF4-FFF2-40B4-BE49-F238E27FC236}">
              <a16:creationId xmlns:a16="http://schemas.microsoft.com/office/drawing/2014/main" id="{2649B6A0-CA37-40EE-9F62-2E499F39DCDB}"/>
            </a:ext>
          </a:extLst>
        </xdr:cNvPr>
        <xdr:cNvSpPr/>
      </xdr:nvSpPr>
      <xdr:spPr>
        <a:xfrm>
          <a:off x="3314699" y="73247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1019175</xdr:colOff>
      <xdr:row>0</xdr:row>
      <xdr:rowOff>104775</xdr:rowOff>
    </xdr:from>
    <xdr:to>
      <xdr:col>3</xdr:col>
      <xdr:colOff>104775</xdr:colOff>
      <xdr:row>1</xdr:row>
      <xdr:rowOff>171450</xdr:rowOff>
    </xdr:to>
    <xdr:sp macro="" textlink="">
      <xdr:nvSpPr>
        <xdr:cNvPr id="9" name="Rectangle 8">
          <a:extLst>
            <a:ext uri="{FF2B5EF4-FFF2-40B4-BE49-F238E27FC236}">
              <a16:creationId xmlns:a16="http://schemas.microsoft.com/office/drawing/2014/main" id="{1CF9BAE0-DF38-4902-B16A-4513B7893C21}"/>
            </a:ext>
          </a:extLst>
        </xdr:cNvPr>
        <xdr:cNvSpPr/>
      </xdr:nvSpPr>
      <xdr:spPr>
        <a:xfrm>
          <a:off x="3514725" y="10477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685798</xdr:colOff>
      <xdr:row>8</xdr:row>
      <xdr:rowOff>86591</xdr:rowOff>
    </xdr:from>
    <xdr:to>
      <xdr:col>8</xdr:col>
      <xdr:colOff>285454</xdr:colOff>
      <xdr:row>28</xdr:row>
      <xdr:rowOff>57149</xdr:rowOff>
    </xdr:to>
    <xdr:graphicFrame macro="">
      <xdr:nvGraphicFramePr>
        <xdr:cNvPr id="10" name="Chart 9">
          <a:extLst>
            <a:ext uri="{FF2B5EF4-FFF2-40B4-BE49-F238E27FC236}">
              <a16:creationId xmlns:a16="http://schemas.microsoft.com/office/drawing/2014/main" id="{BC53F981-B136-4FB1-8F86-3D9A61EBE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826475</xdr:colOff>
      <xdr:row>4</xdr:row>
      <xdr:rowOff>66675</xdr:rowOff>
    </xdr:from>
    <xdr:to>
      <xdr:col>2</xdr:col>
      <xdr:colOff>350957</xdr:colOff>
      <xdr:row>29</xdr:row>
      <xdr:rowOff>9524</xdr:rowOff>
    </xdr:to>
    <xdr:sp macro="" textlink="">
      <xdr:nvSpPr>
        <xdr:cNvPr id="11" name="Rectangle 10">
          <a:extLst>
            <a:ext uri="{FF2B5EF4-FFF2-40B4-BE49-F238E27FC236}">
              <a16:creationId xmlns:a16="http://schemas.microsoft.com/office/drawing/2014/main" id="{2FF4EE7D-E364-4E00-9310-25F86DBF77EE}"/>
            </a:ext>
          </a:extLst>
        </xdr:cNvPr>
        <xdr:cNvSpPr/>
      </xdr:nvSpPr>
      <xdr:spPr>
        <a:xfrm>
          <a:off x="826475" y="828675"/>
          <a:ext cx="2022963" cy="4705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26</xdr:row>
      <xdr:rowOff>165855</xdr:rowOff>
    </xdr:from>
    <xdr:to>
      <xdr:col>13</xdr:col>
      <xdr:colOff>523876</xdr:colOff>
      <xdr:row>35</xdr:row>
      <xdr:rowOff>127755</xdr:rowOff>
    </xdr:to>
    <xdr:sp macro="" textlink="">
      <xdr:nvSpPr>
        <xdr:cNvPr id="12" name="Rectangle 11">
          <a:extLst>
            <a:ext uri="{FF2B5EF4-FFF2-40B4-BE49-F238E27FC236}">
              <a16:creationId xmlns:a16="http://schemas.microsoft.com/office/drawing/2014/main" id="{623A7BAA-5649-4E61-9AF5-02C2AE59D614}"/>
            </a:ext>
          </a:extLst>
        </xdr:cNvPr>
        <xdr:cNvSpPr/>
      </xdr:nvSpPr>
      <xdr:spPr>
        <a:xfrm>
          <a:off x="76200" y="5118855"/>
          <a:ext cx="10306051" cy="1676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830662</xdr:colOff>
      <xdr:row>26</xdr:row>
      <xdr:rowOff>180775</xdr:rowOff>
    </xdr:from>
    <xdr:ext cx="722647" cy="248851"/>
    <xdr:sp macro="" textlink="">
      <xdr:nvSpPr>
        <xdr:cNvPr id="13" name="TextBox 12">
          <a:extLst>
            <a:ext uri="{FF2B5EF4-FFF2-40B4-BE49-F238E27FC236}">
              <a16:creationId xmlns:a16="http://schemas.microsoft.com/office/drawing/2014/main" id="{BE0CA0CC-F67D-491F-81CC-6CF350DD8789}"/>
            </a:ext>
          </a:extLst>
        </xdr:cNvPr>
        <xdr:cNvSpPr txBox="1"/>
      </xdr:nvSpPr>
      <xdr:spPr>
        <a:xfrm>
          <a:off x="3329143" y="5133775"/>
          <a:ext cx="72264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Syntactic</a:t>
          </a:r>
        </a:p>
      </xdr:txBody>
    </xdr:sp>
    <xdr:clientData/>
  </xdr:oneCellAnchor>
  <xdr:oneCellAnchor>
    <xdr:from>
      <xdr:col>1</xdr:col>
      <xdr:colOff>888025</xdr:colOff>
      <xdr:row>12</xdr:row>
      <xdr:rowOff>186709</xdr:rowOff>
    </xdr:from>
    <xdr:ext cx="859583" cy="405367"/>
    <xdr:sp macro="" textlink="">
      <xdr:nvSpPr>
        <xdr:cNvPr id="15" name="TextBox 14">
          <a:extLst>
            <a:ext uri="{FF2B5EF4-FFF2-40B4-BE49-F238E27FC236}">
              <a16:creationId xmlns:a16="http://schemas.microsoft.com/office/drawing/2014/main" id="{F3F7275C-B21A-4B45-859A-99A77E6F7481}"/>
            </a:ext>
          </a:extLst>
        </xdr:cNvPr>
        <xdr:cNvSpPr txBox="1"/>
      </xdr:nvSpPr>
      <xdr:spPr>
        <a:xfrm>
          <a:off x="2082313" y="2472709"/>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Constraint Violation</a:t>
          </a:r>
        </a:p>
      </xdr:txBody>
    </xdr:sp>
    <xdr:clientData/>
  </xdr:oneCellAnchor>
  <xdr:oneCellAnchor>
    <xdr:from>
      <xdr:col>1</xdr:col>
      <xdr:colOff>894020</xdr:colOff>
      <xdr:row>16</xdr:row>
      <xdr:rowOff>25655</xdr:rowOff>
    </xdr:from>
    <xdr:ext cx="859583" cy="405367"/>
    <xdr:sp macro="" textlink="">
      <xdr:nvSpPr>
        <xdr:cNvPr id="16" name="TextBox 15">
          <a:extLst>
            <a:ext uri="{FF2B5EF4-FFF2-40B4-BE49-F238E27FC236}">
              <a16:creationId xmlns:a16="http://schemas.microsoft.com/office/drawing/2014/main" id="{74C1A537-415C-47C2-BDD0-375BF37DC807}"/>
            </a:ext>
          </a:extLst>
        </xdr:cNvPr>
        <xdr:cNvSpPr txBox="1"/>
      </xdr:nvSpPr>
      <xdr:spPr>
        <a:xfrm>
          <a:off x="2088308" y="3073655"/>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Change Overlapping</a:t>
          </a:r>
        </a:p>
      </xdr:txBody>
    </xdr:sp>
    <xdr:clientData/>
  </xdr:oneCellAnchor>
  <xdr:oneCellAnchor>
    <xdr:from>
      <xdr:col>1</xdr:col>
      <xdr:colOff>906675</xdr:colOff>
      <xdr:row>19</xdr:row>
      <xdr:rowOff>63753</xdr:rowOff>
    </xdr:from>
    <xdr:ext cx="859583" cy="405367"/>
    <xdr:sp macro="" textlink="">
      <xdr:nvSpPr>
        <xdr:cNvPr id="17" name="TextBox 16">
          <a:extLst>
            <a:ext uri="{FF2B5EF4-FFF2-40B4-BE49-F238E27FC236}">
              <a16:creationId xmlns:a16="http://schemas.microsoft.com/office/drawing/2014/main" id="{7C500879-65B6-4B5C-AE32-F2BB3E32C543}"/>
            </a:ext>
          </a:extLst>
        </xdr:cNvPr>
        <xdr:cNvSpPr txBox="1"/>
      </xdr:nvSpPr>
      <xdr:spPr>
        <a:xfrm>
          <a:off x="2100963" y="368325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Pattern Matching</a:t>
          </a:r>
        </a:p>
      </xdr:txBody>
    </xdr:sp>
    <xdr:clientData/>
  </xdr:oneCellAnchor>
  <xdr:oneCellAnchor>
    <xdr:from>
      <xdr:col>1</xdr:col>
      <xdr:colOff>906675</xdr:colOff>
      <xdr:row>22</xdr:row>
      <xdr:rowOff>89666</xdr:rowOff>
    </xdr:from>
    <xdr:ext cx="859583" cy="405367"/>
    <xdr:sp macro="" textlink="">
      <xdr:nvSpPr>
        <xdr:cNvPr id="18" name="TextBox 17">
          <a:extLst>
            <a:ext uri="{FF2B5EF4-FFF2-40B4-BE49-F238E27FC236}">
              <a16:creationId xmlns:a16="http://schemas.microsoft.com/office/drawing/2014/main" id="{6D753106-CDAE-4395-8C9C-F8B6FB70DE2C}"/>
            </a:ext>
          </a:extLst>
        </xdr:cNvPr>
        <xdr:cNvSpPr txBox="1"/>
      </xdr:nvSpPr>
      <xdr:spPr>
        <a:xfrm>
          <a:off x="2100963" y="4280666"/>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Formal Methods</a:t>
          </a:r>
        </a:p>
      </xdr:txBody>
    </xdr:sp>
    <xdr:clientData/>
  </xdr:oneCellAnchor>
  <xdr:twoCellAnchor>
    <xdr:from>
      <xdr:col>2</xdr:col>
      <xdr:colOff>65939</xdr:colOff>
      <xdr:row>10</xdr:row>
      <xdr:rowOff>29307</xdr:rowOff>
    </xdr:from>
    <xdr:to>
      <xdr:col>2</xdr:col>
      <xdr:colOff>361214</xdr:colOff>
      <xdr:row>11</xdr:row>
      <xdr:rowOff>95982</xdr:rowOff>
    </xdr:to>
    <xdr:sp macro="" textlink="">
      <xdr:nvSpPr>
        <xdr:cNvPr id="19" name="Rectangle 18">
          <a:extLst>
            <a:ext uri="{FF2B5EF4-FFF2-40B4-BE49-F238E27FC236}">
              <a16:creationId xmlns:a16="http://schemas.microsoft.com/office/drawing/2014/main" id="{464C2B6A-0262-4A93-8E4E-5AD8E32D992A}"/>
            </a:ext>
          </a:extLst>
        </xdr:cNvPr>
        <xdr:cNvSpPr/>
      </xdr:nvSpPr>
      <xdr:spPr>
        <a:xfrm>
          <a:off x="2564420" y="1934307"/>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65939</xdr:colOff>
      <xdr:row>25</xdr:row>
      <xdr:rowOff>175846</xdr:rowOff>
    </xdr:from>
    <xdr:to>
      <xdr:col>2</xdr:col>
      <xdr:colOff>361214</xdr:colOff>
      <xdr:row>27</xdr:row>
      <xdr:rowOff>52021</xdr:rowOff>
    </xdr:to>
    <xdr:sp macro="" textlink="">
      <xdr:nvSpPr>
        <xdr:cNvPr id="20" name="Rectangle 19">
          <a:extLst>
            <a:ext uri="{FF2B5EF4-FFF2-40B4-BE49-F238E27FC236}">
              <a16:creationId xmlns:a16="http://schemas.microsoft.com/office/drawing/2014/main" id="{7C9CDD3F-801F-43A0-A440-5587560B95A9}"/>
            </a:ext>
          </a:extLst>
        </xdr:cNvPr>
        <xdr:cNvSpPr/>
      </xdr:nvSpPr>
      <xdr:spPr>
        <a:xfrm>
          <a:off x="2564420" y="4938346"/>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367601</xdr:colOff>
      <xdr:row>26</xdr:row>
      <xdr:rowOff>101052</xdr:rowOff>
    </xdr:from>
    <xdr:ext cx="722647" cy="405367"/>
    <xdr:sp macro="" textlink="">
      <xdr:nvSpPr>
        <xdr:cNvPr id="21" name="TextBox 20">
          <a:extLst>
            <a:ext uri="{FF2B5EF4-FFF2-40B4-BE49-F238E27FC236}">
              <a16:creationId xmlns:a16="http://schemas.microsoft.com/office/drawing/2014/main" id="{E67C8426-D438-4181-84EB-5E5D93367135}"/>
            </a:ext>
          </a:extLst>
        </xdr:cNvPr>
        <xdr:cNvSpPr txBox="1"/>
      </xdr:nvSpPr>
      <xdr:spPr>
        <a:xfrm>
          <a:off x="4133639" y="5054052"/>
          <a:ext cx="72264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Static</a:t>
          </a:r>
          <a:r>
            <a:rPr lang="en-US" sz="1000" baseline="0"/>
            <a:t> Semantics</a:t>
          </a:r>
          <a:endParaRPr lang="en-US" sz="1000"/>
        </a:p>
      </xdr:txBody>
    </xdr:sp>
    <xdr:clientData/>
  </xdr:oneCellAnchor>
  <xdr:oneCellAnchor>
    <xdr:from>
      <xdr:col>4</xdr:col>
      <xdr:colOff>541984</xdr:colOff>
      <xdr:row>26</xdr:row>
      <xdr:rowOff>99587</xdr:rowOff>
    </xdr:from>
    <xdr:ext cx="791516" cy="405367"/>
    <xdr:sp macro="" textlink="">
      <xdr:nvSpPr>
        <xdr:cNvPr id="22" name="TextBox 21">
          <a:extLst>
            <a:ext uri="{FF2B5EF4-FFF2-40B4-BE49-F238E27FC236}">
              <a16:creationId xmlns:a16="http://schemas.microsoft.com/office/drawing/2014/main" id="{87EF878C-4C9F-4787-9282-F8EFADA60F08}"/>
            </a:ext>
          </a:extLst>
        </xdr:cNvPr>
        <xdr:cNvSpPr txBox="1"/>
      </xdr:nvSpPr>
      <xdr:spPr>
        <a:xfrm>
          <a:off x="4916157" y="5052587"/>
          <a:ext cx="791516"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Behavioral</a:t>
          </a:r>
          <a:r>
            <a:rPr lang="en-US" sz="1000" baseline="0"/>
            <a:t> Semantics</a:t>
          </a:r>
          <a:endParaRPr lang="en-US" sz="1000"/>
        </a:p>
      </xdr:txBody>
    </xdr:sp>
    <xdr:clientData/>
  </xdr:oneCellAnchor>
  <xdr:oneCellAnchor>
    <xdr:from>
      <xdr:col>6</xdr:col>
      <xdr:colOff>108234</xdr:colOff>
      <xdr:row>26</xdr:row>
      <xdr:rowOff>98122</xdr:rowOff>
    </xdr:from>
    <xdr:ext cx="836939" cy="405367"/>
    <xdr:sp macro="" textlink="">
      <xdr:nvSpPr>
        <xdr:cNvPr id="23" name="TextBox 22">
          <a:extLst>
            <a:ext uri="{FF2B5EF4-FFF2-40B4-BE49-F238E27FC236}">
              <a16:creationId xmlns:a16="http://schemas.microsoft.com/office/drawing/2014/main" id="{04FB1E17-0F0B-46A7-9730-F24297CCBF49}"/>
            </a:ext>
          </a:extLst>
        </xdr:cNvPr>
        <xdr:cNvSpPr txBox="1"/>
      </xdr:nvSpPr>
      <xdr:spPr>
        <a:xfrm>
          <a:off x="5698676" y="5051122"/>
          <a:ext cx="836939"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Semantic Equivalence</a:t>
          </a:r>
        </a:p>
      </xdr:txBody>
    </xdr:sp>
    <xdr:clientData/>
  </xdr:oneCellAnchor>
</xdr:wsDr>
</file>

<file path=xl/drawings/drawing25.xml><?xml version="1.0" encoding="utf-8"?>
<xdr:wsDr xmlns:xdr="http://schemas.openxmlformats.org/drawingml/2006/spreadsheetDrawing" xmlns:a="http://schemas.openxmlformats.org/drawingml/2006/main">
  <xdr:twoCellAnchor>
    <xdr:from>
      <xdr:col>7</xdr:col>
      <xdr:colOff>398474</xdr:colOff>
      <xdr:row>0</xdr:row>
      <xdr:rowOff>190499</xdr:rowOff>
    </xdr:from>
    <xdr:to>
      <xdr:col>15</xdr:col>
      <xdr:colOff>388370</xdr:colOff>
      <xdr:row>12</xdr:row>
      <xdr:rowOff>181840</xdr:rowOff>
    </xdr:to>
    <xdr:sp macro="" textlink="">
      <xdr:nvSpPr>
        <xdr:cNvPr id="2" name="Rechteck 25">
          <a:extLst>
            <a:ext uri="{FF2B5EF4-FFF2-40B4-BE49-F238E27FC236}">
              <a16:creationId xmlns:a16="http://schemas.microsoft.com/office/drawing/2014/main" id="{9B13A5CF-78F3-4CD1-B173-D3317CD0B872}"/>
            </a:ext>
          </a:extLst>
        </xdr:cNvPr>
        <xdr:cNvSpPr/>
      </xdr:nvSpPr>
      <xdr:spPr>
        <a:xfrm>
          <a:off x="6264287" y="190499"/>
          <a:ext cx="4847646" cy="2277341"/>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200673</xdr:colOff>
      <xdr:row>0</xdr:row>
      <xdr:rowOff>190499</xdr:rowOff>
    </xdr:from>
    <xdr:to>
      <xdr:col>15</xdr:col>
      <xdr:colOff>389816</xdr:colOff>
      <xdr:row>12</xdr:row>
      <xdr:rowOff>181840</xdr:rowOff>
    </xdr:to>
    <xdr:graphicFrame macro="">
      <xdr:nvGraphicFramePr>
        <xdr:cNvPr id="3" name="Diagramm 4">
          <a:extLst>
            <a:ext uri="{FF2B5EF4-FFF2-40B4-BE49-F238E27FC236}">
              <a16:creationId xmlns:a16="http://schemas.microsoft.com/office/drawing/2014/main" id="{E40E6CFF-5EC4-482B-86AF-8609A08A4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439186</xdr:colOff>
      <xdr:row>1</xdr:row>
      <xdr:rowOff>0</xdr:rowOff>
    </xdr:from>
    <xdr:ext cx="559362" cy="1108366"/>
    <xdr:sp macro="" textlink="">
      <xdr:nvSpPr>
        <xdr:cNvPr id="7" name="Textfeld 7">
          <a:extLst>
            <a:ext uri="{FF2B5EF4-FFF2-40B4-BE49-F238E27FC236}">
              <a16:creationId xmlns:a16="http://schemas.microsoft.com/office/drawing/2014/main" id="{22CDE1CF-7655-4163-BE8D-27B1527A078C}"/>
            </a:ext>
          </a:extLst>
        </xdr:cNvPr>
        <xdr:cNvSpPr txBox="1"/>
      </xdr:nvSpPr>
      <xdr:spPr>
        <a:xfrm rot="16200000">
          <a:off x="6030497" y="465002"/>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Type</a:t>
          </a:r>
          <a:r>
            <a:rPr lang="en-US" sz="900" baseline="0"/>
            <a:t> of Support for</a:t>
          </a:r>
          <a:br>
            <a:rPr lang="en-US" sz="900" baseline="0"/>
          </a:br>
          <a:r>
            <a:rPr lang="en-US" sz="900" baseline="0"/>
            <a:t>Conflict  Resolution</a:t>
          </a:r>
          <a:endParaRPr lang="en-US" sz="900"/>
        </a:p>
      </xdr:txBody>
    </xdr:sp>
    <xdr:clientData/>
  </xdr:oneCellAnchor>
  <xdr:oneCellAnchor>
    <xdr:from>
      <xdr:col>7</xdr:col>
      <xdr:colOff>444383</xdr:colOff>
      <xdr:row>7</xdr:row>
      <xdr:rowOff>60614</xdr:rowOff>
    </xdr:from>
    <xdr:ext cx="559362" cy="871102"/>
    <xdr:sp macro="" textlink="">
      <xdr:nvSpPr>
        <xdr:cNvPr id="8" name="Textfeld 7">
          <a:extLst>
            <a:ext uri="{FF2B5EF4-FFF2-40B4-BE49-F238E27FC236}">
              <a16:creationId xmlns:a16="http://schemas.microsoft.com/office/drawing/2014/main" id="{DD57D0D1-A808-4E1C-9F3D-4ECC02FCE037}"/>
            </a:ext>
          </a:extLst>
        </xdr:cNvPr>
        <xdr:cNvSpPr txBox="1"/>
      </xdr:nvSpPr>
      <xdr:spPr>
        <a:xfrm rot="16200000">
          <a:off x="6154326" y="1549984"/>
          <a:ext cx="871102"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Time of</a:t>
          </a:r>
          <a:br>
            <a:rPr lang="en-US" sz="900"/>
          </a:br>
          <a:r>
            <a:rPr lang="en-US" sz="900"/>
            <a:t>Resolution</a:t>
          </a:r>
        </a:p>
      </xdr:txBody>
    </xdr:sp>
    <xdr:clientData/>
  </xdr:oneCellAnchor>
  <xdr:twoCellAnchor>
    <xdr:from>
      <xdr:col>7</xdr:col>
      <xdr:colOff>501518</xdr:colOff>
      <xdr:row>7</xdr:row>
      <xdr:rowOff>34636</xdr:rowOff>
    </xdr:from>
    <xdr:to>
      <xdr:col>15</xdr:col>
      <xdr:colOff>295185</xdr:colOff>
      <xdr:row>7</xdr:row>
      <xdr:rowOff>34636</xdr:rowOff>
    </xdr:to>
    <xdr:cxnSp macro="">
      <xdr:nvCxnSpPr>
        <xdr:cNvPr id="10" name="Gerader Verbinder 19">
          <a:extLst>
            <a:ext uri="{FF2B5EF4-FFF2-40B4-BE49-F238E27FC236}">
              <a16:creationId xmlns:a16="http://schemas.microsoft.com/office/drawing/2014/main" id="{49300E27-3103-4906-930F-6800F16D829D}"/>
            </a:ext>
          </a:extLst>
        </xdr:cNvPr>
        <xdr:cNvCxnSpPr/>
      </xdr:nvCxnSpPr>
      <xdr:spPr>
        <a:xfrm flipV="1">
          <a:off x="6367331" y="1368136"/>
          <a:ext cx="4651417"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388949</xdr:colOff>
      <xdr:row>16</xdr:row>
      <xdr:rowOff>0</xdr:rowOff>
    </xdr:from>
    <xdr:to>
      <xdr:col>15</xdr:col>
      <xdr:colOff>378845</xdr:colOff>
      <xdr:row>24</xdr:row>
      <xdr:rowOff>119063</xdr:rowOff>
    </xdr:to>
    <xdr:sp macro="" textlink="">
      <xdr:nvSpPr>
        <xdr:cNvPr id="9" name="Rechteck 25">
          <a:extLst>
            <a:ext uri="{FF2B5EF4-FFF2-40B4-BE49-F238E27FC236}">
              <a16:creationId xmlns:a16="http://schemas.microsoft.com/office/drawing/2014/main" id="{A0581646-450A-47E8-980B-DF95D4ED617B}"/>
            </a:ext>
          </a:extLst>
        </xdr:cNvPr>
        <xdr:cNvSpPr/>
      </xdr:nvSpPr>
      <xdr:spPr>
        <a:xfrm>
          <a:off x="6254762" y="3048000"/>
          <a:ext cx="4847646" cy="1643063"/>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191148</xdr:colOff>
      <xdr:row>16</xdr:row>
      <xdr:rowOff>0</xdr:rowOff>
    </xdr:from>
    <xdr:to>
      <xdr:col>15</xdr:col>
      <xdr:colOff>381013</xdr:colOff>
      <xdr:row>23</xdr:row>
      <xdr:rowOff>129885</xdr:rowOff>
    </xdr:to>
    <xdr:graphicFrame macro="">
      <xdr:nvGraphicFramePr>
        <xdr:cNvPr id="11" name="Diagramm 4">
          <a:extLst>
            <a:ext uri="{FF2B5EF4-FFF2-40B4-BE49-F238E27FC236}">
              <a16:creationId xmlns:a16="http://schemas.microsoft.com/office/drawing/2014/main" id="{A199FB6F-F3EE-48B8-804F-EAED788B5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446979</xdr:colOff>
      <xdr:row>16</xdr:row>
      <xdr:rowOff>69273</xdr:rowOff>
    </xdr:from>
    <xdr:ext cx="559362" cy="1108366"/>
    <xdr:sp macro="" textlink="">
      <xdr:nvSpPr>
        <xdr:cNvPr id="12" name="Textfeld 7">
          <a:extLst>
            <a:ext uri="{FF2B5EF4-FFF2-40B4-BE49-F238E27FC236}">
              <a16:creationId xmlns:a16="http://schemas.microsoft.com/office/drawing/2014/main" id="{F6F3B1B6-481E-4613-8E0F-ABAB608DF33F}"/>
            </a:ext>
          </a:extLst>
        </xdr:cNvPr>
        <xdr:cNvSpPr txBox="1"/>
      </xdr:nvSpPr>
      <xdr:spPr>
        <a:xfrm rot="16200000">
          <a:off x="6038290" y="3391775"/>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t>Conflict  Resolution</a:t>
          </a:r>
          <a:br>
            <a:rPr lang="en-US" sz="900" baseline="0"/>
          </a:br>
          <a:r>
            <a:rPr lang="en-US" sz="900" baseline="0"/>
            <a:t> Mechanism</a:t>
          </a:r>
          <a:endParaRPr lang="en-US" sz="900"/>
        </a:p>
      </xdr:txBody>
    </xdr:sp>
    <xdr:clientData/>
  </xdr:oneCellAnchor>
  <xdr:twoCellAnchor>
    <xdr:from>
      <xdr:col>8</xdr:col>
      <xdr:colOff>227166</xdr:colOff>
      <xdr:row>20</xdr:row>
      <xdr:rowOff>147208</xdr:rowOff>
    </xdr:from>
    <xdr:to>
      <xdr:col>15</xdr:col>
      <xdr:colOff>222201</xdr:colOff>
      <xdr:row>20</xdr:row>
      <xdr:rowOff>147208</xdr:rowOff>
    </xdr:to>
    <xdr:cxnSp macro="">
      <xdr:nvCxnSpPr>
        <xdr:cNvPr id="14" name="Gerader Verbinder 19">
          <a:extLst>
            <a:ext uri="{FF2B5EF4-FFF2-40B4-BE49-F238E27FC236}">
              <a16:creationId xmlns:a16="http://schemas.microsoft.com/office/drawing/2014/main" id="{980FCA2E-20C3-4A50-800C-253935B2426A}"/>
            </a:ext>
          </a:extLst>
        </xdr:cNvPr>
        <xdr:cNvCxnSpPr/>
      </xdr:nvCxnSpPr>
      <xdr:spPr>
        <a:xfrm flipV="1">
          <a:off x="6704166" y="3957208"/>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388949</xdr:colOff>
      <xdr:row>26</xdr:row>
      <xdr:rowOff>16592</xdr:rowOff>
    </xdr:from>
    <xdr:to>
      <xdr:col>15</xdr:col>
      <xdr:colOff>378845</xdr:colOff>
      <xdr:row>33</xdr:row>
      <xdr:rowOff>119051</xdr:rowOff>
    </xdr:to>
    <xdr:sp macro="" textlink="">
      <xdr:nvSpPr>
        <xdr:cNvPr id="15" name="Rechteck 25">
          <a:extLst>
            <a:ext uri="{FF2B5EF4-FFF2-40B4-BE49-F238E27FC236}">
              <a16:creationId xmlns:a16="http://schemas.microsoft.com/office/drawing/2014/main" id="{31D70872-07DE-484C-8C68-4AA9ADA8B769}"/>
            </a:ext>
          </a:extLst>
        </xdr:cNvPr>
        <xdr:cNvSpPr/>
      </xdr:nvSpPr>
      <xdr:spPr>
        <a:xfrm>
          <a:off x="6254762" y="4969592"/>
          <a:ext cx="4847646" cy="1435959"/>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191148</xdr:colOff>
      <xdr:row>26</xdr:row>
      <xdr:rowOff>16592</xdr:rowOff>
    </xdr:from>
    <xdr:to>
      <xdr:col>15</xdr:col>
      <xdr:colOff>381013</xdr:colOff>
      <xdr:row>32</xdr:row>
      <xdr:rowOff>129161</xdr:rowOff>
    </xdr:to>
    <xdr:graphicFrame macro="">
      <xdr:nvGraphicFramePr>
        <xdr:cNvPr id="16" name="Diagramm 4">
          <a:extLst>
            <a:ext uri="{FF2B5EF4-FFF2-40B4-BE49-F238E27FC236}">
              <a16:creationId xmlns:a16="http://schemas.microsoft.com/office/drawing/2014/main" id="{25840182-C4E4-43B0-9386-8A041E9CF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452176</xdr:colOff>
      <xdr:row>26</xdr:row>
      <xdr:rowOff>33913</xdr:rowOff>
    </xdr:from>
    <xdr:ext cx="559362" cy="871102"/>
    <xdr:sp macro="" textlink="">
      <xdr:nvSpPr>
        <xdr:cNvPr id="18" name="Textfeld 7">
          <a:extLst>
            <a:ext uri="{FF2B5EF4-FFF2-40B4-BE49-F238E27FC236}">
              <a16:creationId xmlns:a16="http://schemas.microsoft.com/office/drawing/2014/main" id="{D3EAC154-AFD6-4112-B512-F1E0879F1996}"/>
            </a:ext>
          </a:extLst>
        </xdr:cNvPr>
        <xdr:cNvSpPr txBox="1"/>
      </xdr:nvSpPr>
      <xdr:spPr>
        <a:xfrm rot="16200000">
          <a:off x="6162119" y="5142783"/>
          <a:ext cx="871102"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solidFill>
                <a:schemeClr val="tx1"/>
              </a:solidFill>
              <a:latin typeface="+mn-lt"/>
              <a:ea typeface="+mn-ea"/>
              <a:cs typeface="+mn-cs"/>
            </a:rPr>
            <a:t>Resolution</a:t>
          </a:r>
          <a:br>
            <a:rPr lang="en-US" sz="900"/>
          </a:br>
          <a:r>
            <a:rPr lang="en-US" sz="900"/>
            <a:t>Time</a:t>
          </a:r>
        </a:p>
      </xdr:txBody>
    </xdr:sp>
    <xdr:clientData/>
  </xdr:oneCellAnchor>
  <xdr:twoCellAnchor>
    <xdr:from>
      <xdr:col>8</xdr:col>
      <xdr:colOff>218507</xdr:colOff>
      <xdr:row>29</xdr:row>
      <xdr:rowOff>129165</xdr:rowOff>
    </xdr:from>
    <xdr:to>
      <xdr:col>15</xdr:col>
      <xdr:colOff>213542</xdr:colOff>
      <xdr:row>29</xdr:row>
      <xdr:rowOff>129165</xdr:rowOff>
    </xdr:to>
    <xdr:cxnSp macro="">
      <xdr:nvCxnSpPr>
        <xdr:cNvPr id="19" name="Gerader Verbinder 19">
          <a:extLst>
            <a:ext uri="{FF2B5EF4-FFF2-40B4-BE49-F238E27FC236}">
              <a16:creationId xmlns:a16="http://schemas.microsoft.com/office/drawing/2014/main" id="{6065B7B7-97FA-4617-A342-19398C402492}"/>
            </a:ext>
          </a:extLst>
        </xdr:cNvPr>
        <xdr:cNvCxnSpPr/>
      </xdr:nvCxnSpPr>
      <xdr:spPr>
        <a:xfrm flipV="1">
          <a:off x="6695507" y="5653665"/>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420690</xdr:colOff>
      <xdr:row>23</xdr:row>
      <xdr:rowOff>31751</xdr:rowOff>
    </xdr:from>
    <xdr:ext cx="3385705" cy="231191"/>
    <xdr:sp macro="" textlink="">
      <xdr:nvSpPr>
        <xdr:cNvPr id="17" name="Textfeld 7">
          <a:extLst>
            <a:ext uri="{FF2B5EF4-FFF2-40B4-BE49-F238E27FC236}">
              <a16:creationId xmlns:a16="http://schemas.microsoft.com/office/drawing/2014/main" id="{77347025-B404-481B-8997-6EE86322B12D}"/>
            </a:ext>
          </a:extLst>
        </xdr:cNvPr>
        <xdr:cNvSpPr txBox="1"/>
      </xdr:nvSpPr>
      <xdr:spPr>
        <a:xfrm>
          <a:off x="7508878" y="4413251"/>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oneCellAnchor>
    <xdr:from>
      <xdr:col>9</xdr:col>
      <xdr:colOff>412751</xdr:colOff>
      <xdr:row>32</xdr:row>
      <xdr:rowOff>31739</xdr:rowOff>
    </xdr:from>
    <xdr:ext cx="3385705" cy="231191"/>
    <xdr:sp macro="" textlink="">
      <xdr:nvSpPr>
        <xdr:cNvPr id="20" name="Textfeld 7">
          <a:extLst>
            <a:ext uri="{FF2B5EF4-FFF2-40B4-BE49-F238E27FC236}">
              <a16:creationId xmlns:a16="http://schemas.microsoft.com/office/drawing/2014/main" id="{051E1D5A-1C36-4B23-B613-860179CE0EE2}"/>
            </a:ext>
          </a:extLst>
        </xdr:cNvPr>
        <xdr:cNvSpPr txBox="1"/>
      </xdr:nvSpPr>
      <xdr:spPr>
        <a:xfrm>
          <a:off x="7500939" y="6127739"/>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t>Number of Approaches</a:t>
          </a:r>
          <a:endParaRPr lang="en-US" sz="900"/>
        </a:p>
      </xdr:txBody>
    </xdr:sp>
    <xdr:clientData/>
  </xdr:oneCellAnchor>
  <xdr:twoCellAnchor>
    <xdr:from>
      <xdr:col>7</xdr:col>
      <xdr:colOff>388937</xdr:colOff>
      <xdr:row>47</xdr:row>
      <xdr:rowOff>63508</xdr:rowOff>
    </xdr:from>
    <xdr:to>
      <xdr:col>15</xdr:col>
      <xdr:colOff>378833</xdr:colOff>
      <xdr:row>54</xdr:row>
      <xdr:rowOff>165967</xdr:rowOff>
    </xdr:to>
    <xdr:sp macro="" textlink="">
      <xdr:nvSpPr>
        <xdr:cNvPr id="26" name="Rechteck 25">
          <a:extLst>
            <a:ext uri="{FF2B5EF4-FFF2-40B4-BE49-F238E27FC236}">
              <a16:creationId xmlns:a16="http://schemas.microsoft.com/office/drawing/2014/main" id="{F43F0353-899D-41CD-80C3-809B896DFAE0}"/>
            </a:ext>
          </a:extLst>
        </xdr:cNvPr>
        <xdr:cNvSpPr/>
      </xdr:nvSpPr>
      <xdr:spPr>
        <a:xfrm>
          <a:off x="6254750" y="9017008"/>
          <a:ext cx="4847646" cy="1435959"/>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191136</xdr:colOff>
      <xdr:row>47</xdr:row>
      <xdr:rowOff>63508</xdr:rowOff>
    </xdr:from>
    <xdr:to>
      <xdr:col>15</xdr:col>
      <xdr:colOff>381001</xdr:colOff>
      <xdr:row>53</xdr:row>
      <xdr:rowOff>15883</xdr:rowOff>
    </xdr:to>
    <xdr:graphicFrame macro="">
      <xdr:nvGraphicFramePr>
        <xdr:cNvPr id="27" name="Diagramm 4">
          <a:extLst>
            <a:ext uri="{FF2B5EF4-FFF2-40B4-BE49-F238E27FC236}">
              <a16:creationId xmlns:a16="http://schemas.microsoft.com/office/drawing/2014/main" id="{CA63D988-AD6E-471A-9D24-E49940CF3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452164</xdr:colOff>
      <xdr:row>47</xdr:row>
      <xdr:rowOff>96705</xdr:rowOff>
    </xdr:from>
    <xdr:ext cx="559362" cy="871102"/>
    <xdr:sp macro="" textlink="">
      <xdr:nvSpPr>
        <xdr:cNvPr id="28" name="Textfeld 7">
          <a:extLst>
            <a:ext uri="{FF2B5EF4-FFF2-40B4-BE49-F238E27FC236}">
              <a16:creationId xmlns:a16="http://schemas.microsoft.com/office/drawing/2014/main" id="{799851CD-CAF6-4253-B77D-C3B6CF90E761}"/>
            </a:ext>
          </a:extLst>
        </xdr:cNvPr>
        <xdr:cNvSpPr txBox="1"/>
      </xdr:nvSpPr>
      <xdr:spPr>
        <a:xfrm rot="16200000">
          <a:off x="6162107" y="9206075"/>
          <a:ext cx="871102"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solidFill>
                <a:schemeClr val="tx1"/>
              </a:solidFill>
              <a:latin typeface="+mn-lt"/>
              <a:ea typeface="+mn-ea"/>
              <a:cs typeface="+mn-cs"/>
            </a:rPr>
            <a:t>Resolution</a:t>
          </a:r>
          <a:br>
            <a:rPr lang="en-US" sz="900"/>
          </a:br>
          <a:r>
            <a:rPr lang="en-US" sz="900"/>
            <a:t>Time</a:t>
          </a:r>
        </a:p>
      </xdr:txBody>
    </xdr:sp>
    <xdr:clientData/>
  </xdr:oneCellAnchor>
  <xdr:oneCellAnchor>
    <xdr:from>
      <xdr:col>9</xdr:col>
      <xdr:colOff>412739</xdr:colOff>
      <xdr:row>52</xdr:row>
      <xdr:rowOff>126271</xdr:rowOff>
    </xdr:from>
    <xdr:ext cx="3385705" cy="231191"/>
    <xdr:sp macro="" textlink="">
      <xdr:nvSpPr>
        <xdr:cNvPr id="30" name="Textfeld 7">
          <a:extLst>
            <a:ext uri="{FF2B5EF4-FFF2-40B4-BE49-F238E27FC236}">
              <a16:creationId xmlns:a16="http://schemas.microsoft.com/office/drawing/2014/main" id="{CD2DC5DB-D00F-46A9-A215-2E19EA03C366}"/>
            </a:ext>
          </a:extLst>
        </xdr:cNvPr>
        <xdr:cNvSpPr txBox="1"/>
      </xdr:nvSpPr>
      <xdr:spPr>
        <a:xfrm>
          <a:off x="7500927" y="10032271"/>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t>Number of Approaches</a:t>
          </a:r>
          <a:endParaRPr lang="en-US" sz="900"/>
        </a:p>
      </xdr:txBody>
    </xdr:sp>
    <xdr:clientData/>
  </xdr:oneCellAnchor>
  <xdr:twoCellAnchor>
    <xdr:from>
      <xdr:col>7</xdr:col>
      <xdr:colOff>398466</xdr:colOff>
      <xdr:row>36</xdr:row>
      <xdr:rowOff>184172</xdr:rowOff>
    </xdr:from>
    <xdr:to>
      <xdr:col>15</xdr:col>
      <xdr:colOff>388362</xdr:colOff>
      <xdr:row>45</xdr:row>
      <xdr:rowOff>112735</xdr:rowOff>
    </xdr:to>
    <xdr:sp macro="" textlink="">
      <xdr:nvSpPr>
        <xdr:cNvPr id="31" name="Rechteck 25">
          <a:extLst>
            <a:ext uri="{FF2B5EF4-FFF2-40B4-BE49-F238E27FC236}">
              <a16:creationId xmlns:a16="http://schemas.microsoft.com/office/drawing/2014/main" id="{F800EB95-E91D-47D0-9CD4-36E57DB6A296}"/>
            </a:ext>
          </a:extLst>
        </xdr:cNvPr>
        <xdr:cNvSpPr/>
      </xdr:nvSpPr>
      <xdr:spPr>
        <a:xfrm>
          <a:off x="6264279" y="7042172"/>
          <a:ext cx="4847646" cy="1643063"/>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200665</xdr:colOff>
      <xdr:row>36</xdr:row>
      <xdr:rowOff>184172</xdr:rowOff>
    </xdr:from>
    <xdr:to>
      <xdr:col>15</xdr:col>
      <xdr:colOff>390530</xdr:colOff>
      <xdr:row>44</xdr:row>
      <xdr:rowOff>31749</xdr:rowOff>
    </xdr:to>
    <xdr:graphicFrame macro="">
      <xdr:nvGraphicFramePr>
        <xdr:cNvPr id="32" name="Diagramm 4">
          <a:extLst>
            <a:ext uri="{FF2B5EF4-FFF2-40B4-BE49-F238E27FC236}">
              <a16:creationId xmlns:a16="http://schemas.microsoft.com/office/drawing/2014/main" id="{7901EDC4-40DE-4022-9111-8DD098A66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456496</xdr:colOff>
      <xdr:row>37</xdr:row>
      <xdr:rowOff>78821</xdr:rowOff>
    </xdr:from>
    <xdr:ext cx="559362" cy="1108366"/>
    <xdr:sp macro="" textlink="">
      <xdr:nvSpPr>
        <xdr:cNvPr id="33" name="Textfeld 7">
          <a:extLst>
            <a:ext uri="{FF2B5EF4-FFF2-40B4-BE49-F238E27FC236}">
              <a16:creationId xmlns:a16="http://schemas.microsoft.com/office/drawing/2014/main" id="{44B2882F-4099-45FF-B5FE-E14B29A3C39F}"/>
            </a:ext>
          </a:extLst>
        </xdr:cNvPr>
        <xdr:cNvSpPr txBox="1"/>
      </xdr:nvSpPr>
      <xdr:spPr>
        <a:xfrm rot="16200000">
          <a:off x="6047807" y="7401823"/>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t>Conflict  Resolution</a:t>
          </a:r>
          <a:br>
            <a:rPr lang="en-US" sz="900" baseline="0"/>
          </a:br>
          <a:r>
            <a:rPr lang="en-US" sz="900" baseline="0"/>
            <a:t> Mechanism</a:t>
          </a:r>
          <a:endParaRPr lang="en-US" sz="900"/>
        </a:p>
      </xdr:txBody>
    </xdr:sp>
    <xdr:clientData/>
  </xdr:oneCellAnchor>
  <xdr:oneCellAnchor>
    <xdr:from>
      <xdr:col>9</xdr:col>
      <xdr:colOff>477835</xdr:colOff>
      <xdr:row>43</xdr:row>
      <xdr:rowOff>136543</xdr:rowOff>
    </xdr:from>
    <xdr:ext cx="3385705" cy="231191"/>
    <xdr:sp macro="" textlink="">
      <xdr:nvSpPr>
        <xdr:cNvPr id="34" name="Textfeld 7">
          <a:extLst>
            <a:ext uri="{FF2B5EF4-FFF2-40B4-BE49-F238E27FC236}">
              <a16:creationId xmlns:a16="http://schemas.microsoft.com/office/drawing/2014/main" id="{103ADE96-3DBA-459A-99D8-8B09ACCA0371}"/>
            </a:ext>
          </a:extLst>
        </xdr:cNvPr>
        <xdr:cNvSpPr txBox="1"/>
      </xdr:nvSpPr>
      <xdr:spPr>
        <a:xfrm>
          <a:off x="7566023" y="8328043"/>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6.xml><?xml version="1.0" encoding="utf-8"?>
<xdr:wsDr xmlns:xdr="http://schemas.openxmlformats.org/drawingml/2006/spreadsheetDrawing" xmlns:a="http://schemas.openxmlformats.org/drawingml/2006/main">
  <xdr:twoCellAnchor>
    <xdr:from>
      <xdr:col>7</xdr:col>
      <xdr:colOff>346572</xdr:colOff>
      <xdr:row>0</xdr:row>
      <xdr:rowOff>190498</xdr:rowOff>
    </xdr:from>
    <xdr:to>
      <xdr:col>15</xdr:col>
      <xdr:colOff>337078</xdr:colOff>
      <xdr:row>9</xdr:row>
      <xdr:rowOff>124558</xdr:rowOff>
    </xdr:to>
    <xdr:sp macro="" textlink="">
      <xdr:nvSpPr>
        <xdr:cNvPr id="2" name="Rechteck 25">
          <a:extLst>
            <a:ext uri="{FF2B5EF4-FFF2-40B4-BE49-F238E27FC236}">
              <a16:creationId xmlns:a16="http://schemas.microsoft.com/office/drawing/2014/main" id="{D5ADEAF7-B29A-477D-BC54-8A20C24C8622}"/>
            </a:ext>
          </a:extLst>
        </xdr:cNvPr>
        <xdr:cNvSpPr/>
      </xdr:nvSpPr>
      <xdr:spPr>
        <a:xfrm>
          <a:off x="6200784" y="190498"/>
          <a:ext cx="4826275" cy="1648560"/>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151824</xdr:colOff>
      <xdr:row>0</xdr:row>
      <xdr:rowOff>190498</xdr:rowOff>
    </xdr:from>
    <xdr:to>
      <xdr:col>15</xdr:col>
      <xdr:colOff>337914</xdr:colOff>
      <xdr:row>8</xdr:row>
      <xdr:rowOff>138545</xdr:rowOff>
    </xdr:to>
    <xdr:graphicFrame macro="">
      <xdr:nvGraphicFramePr>
        <xdr:cNvPr id="3" name="Diagramm 4">
          <a:extLst>
            <a:ext uri="{FF2B5EF4-FFF2-40B4-BE49-F238E27FC236}">
              <a16:creationId xmlns:a16="http://schemas.microsoft.com/office/drawing/2014/main" id="{A496B606-E84A-4C7E-A0C0-052131B52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473209</xdr:colOff>
      <xdr:row>1</xdr:row>
      <xdr:rowOff>58614</xdr:rowOff>
    </xdr:from>
    <xdr:ext cx="559362" cy="1108366"/>
    <xdr:sp macro="" textlink="">
      <xdr:nvSpPr>
        <xdr:cNvPr id="9" name="Textfeld 7">
          <a:extLst>
            <a:ext uri="{FF2B5EF4-FFF2-40B4-BE49-F238E27FC236}">
              <a16:creationId xmlns:a16="http://schemas.microsoft.com/office/drawing/2014/main" id="{7B1FBB7A-06AD-4E56-8B06-E40215E76439}"/>
            </a:ext>
          </a:extLst>
        </xdr:cNvPr>
        <xdr:cNvSpPr txBox="1"/>
      </xdr:nvSpPr>
      <xdr:spPr>
        <a:xfrm rot="16200000">
          <a:off x="6052919" y="523616"/>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Awareness</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476250</xdr:colOff>
      <xdr:row>8</xdr:row>
      <xdr:rowOff>43962</xdr:rowOff>
    </xdr:from>
    <xdr:ext cx="3385705" cy="231191"/>
    <xdr:sp macro="" textlink="">
      <xdr:nvSpPr>
        <xdr:cNvPr id="5" name="Textfeld 7">
          <a:extLst>
            <a:ext uri="{FF2B5EF4-FFF2-40B4-BE49-F238E27FC236}">
              <a16:creationId xmlns:a16="http://schemas.microsoft.com/office/drawing/2014/main" id="{C5A9EF07-CA8C-4493-A177-912D4116D1E3}"/>
            </a:ext>
          </a:extLst>
        </xdr:cNvPr>
        <xdr:cNvSpPr txBox="1"/>
      </xdr:nvSpPr>
      <xdr:spPr>
        <a:xfrm>
          <a:off x="7546731" y="1567962"/>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twoCellAnchor>
    <xdr:from>
      <xdr:col>8</xdr:col>
      <xdr:colOff>227134</xdr:colOff>
      <xdr:row>5</xdr:row>
      <xdr:rowOff>161192</xdr:rowOff>
    </xdr:from>
    <xdr:to>
      <xdr:col>15</xdr:col>
      <xdr:colOff>241097</xdr:colOff>
      <xdr:row>5</xdr:row>
      <xdr:rowOff>161192</xdr:rowOff>
    </xdr:to>
    <xdr:cxnSp macro="">
      <xdr:nvCxnSpPr>
        <xdr:cNvPr id="6" name="Gerader Verbinder 19">
          <a:extLst>
            <a:ext uri="{FF2B5EF4-FFF2-40B4-BE49-F238E27FC236}">
              <a16:creationId xmlns:a16="http://schemas.microsoft.com/office/drawing/2014/main" id="{A6D39134-361B-4E46-B65B-CB31F4AB58EE}"/>
            </a:ext>
          </a:extLst>
        </xdr:cNvPr>
        <xdr:cNvCxnSpPr/>
      </xdr:nvCxnSpPr>
      <xdr:spPr>
        <a:xfrm flipV="1">
          <a:off x="6689480" y="1113692"/>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352432</xdr:colOff>
      <xdr:row>12</xdr:row>
      <xdr:rowOff>49822</xdr:rowOff>
    </xdr:from>
    <xdr:to>
      <xdr:col>15</xdr:col>
      <xdr:colOff>342938</xdr:colOff>
      <xdr:row>20</xdr:row>
      <xdr:rowOff>174382</xdr:rowOff>
    </xdr:to>
    <xdr:sp macro="" textlink="">
      <xdr:nvSpPr>
        <xdr:cNvPr id="7" name="Rechteck 25">
          <a:extLst>
            <a:ext uri="{FF2B5EF4-FFF2-40B4-BE49-F238E27FC236}">
              <a16:creationId xmlns:a16="http://schemas.microsoft.com/office/drawing/2014/main" id="{91D29EC6-1DD7-4418-A005-EE09DB646EE5}"/>
            </a:ext>
          </a:extLst>
        </xdr:cNvPr>
        <xdr:cNvSpPr/>
      </xdr:nvSpPr>
      <xdr:spPr>
        <a:xfrm>
          <a:off x="6206644" y="2335822"/>
          <a:ext cx="4826275" cy="1648560"/>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157684</xdr:colOff>
      <xdr:row>12</xdr:row>
      <xdr:rowOff>49822</xdr:rowOff>
    </xdr:from>
    <xdr:to>
      <xdr:col>15</xdr:col>
      <xdr:colOff>343774</xdr:colOff>
      <xdr:row>19</xdr:row>
      <xdr:rowOff>36635</xdr:rowOff>
    </xdr:to>
    <xdr:graphicFrame macro="">
      <xdr:nvGraphicFramePr>
        <xdr:cNvPr id="8" name="Diagramm 4">
          <a:extLst>
            <a:ext uri="{FF2B5EF4-FFF2-40B4-BE49-F238E27FC236}">
              <a16:creationId xmlns:a16="http://schemas.microsoft.com/office/drawing/2014/main" id="{55A6275B-33B6-4B92-B23E-6971D31CB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479069</xdr:colOff>
      <xdr:row>12</xdr:row>
      <xdr:rowOff>108438</xdr:rowOff>
    </xdr:from>
    <xdr:ext cx="559362" cy="1108366"/>
    <xdr:sp macro="" textlink="">
      <xdr:nvSpPr>
        <xdr:cNvPr id="10" name="Textfeld 7">
          <a:extLst>
            <a:ext uri="{FF2B5EF4-FFF2-40B4-BE49-F238E27FC236}">
              <a16:creationId xmlns:a16="http://schemas.microsoft.com/office/drawing/2014/main" id="{5444D578-BE5B-4732-B4EE-D6D7D930F774}"/>
            </a:ext>
          </a:extLst>
        </xdr:cNvPr>
        <xdr:cNvSpPr txBox="1"/>
      </xdr:nvSpPr>
      <xdr:spPr>
        <a:xfrm rot="16200000">
          <a:off x="6058779" y="2668940"/>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Awareness</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571500</xdr:colOff>
      <xdr:row>18</xdr:row>
      <xdr:rowOff>145073</xdr:rowOff>
    </xdr:from>
    <xdr:ext cx="3303642" cy="231191"/>
    <xdr:sp macro="" textlink="">
      <xdr:nvSpPr>
        <xdr:cNvPr id="11" name="Textfeld 7">
          <a:extLst>
            <a:ext uri="{FF2B5EF4-FFF2-40B4-BE49-F238E27FC236}">
              <a16:creationId xmlns:a16="http://schemas.microsoft.com/office/drawing/2014/main" id="{64262283-41D8-4EA0-A4DD-3871A55E64A5}"/>
            </a:ext>
          </a:extLst>
        </xdr:cNvPr>
        <xdr:cNvSpPr txBox="1"/>
      </xdr:nvSpPr>
      <xdr:spPr>
        <a:xfrm>
          <a:off x="7641981" y="3574073"/>
          <a:ext cx="3303642"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7.xml><?xml version="1.0" encoding="utf-8"?>
<xdr:wsDr xmlns:xdr="http://schemas.openxmlformats.org/drawingml/2006/spreadsheetDrawing" xmlns:a="http://schemas.openxmlformats.org/drawingml/2006/main">
  <xdr:twoCellAnchor>
    <xdr:from>
      <xdr:col>7</xdr:col>
      <xdr:colOff>134085</xdr:colOff>
      <xdr:row>0</xdr:row>
      <xdr:rowOff>190499</xdr:rowOff>
    </xdr:from>
    <xdr:to>
      <xdr:col>15</xdr:col>
      <xdr:colOff>124591</xdr:colOff>
      <xdr:row>12</xdr:row>
      <xdr:rowOff>131885</xdr:rowOff>
    </xdr:to>
    <xdr:sp macro="" textlink="">
      <xdr:nvSpPr>
        <xdr:cNvPr id="2" name="Rechteck 25">
          <a:extLst>
            <a:ext uri="{FF2B5EF4-FFF2-40B4-BE49-F238E27FC236}">
              <a16:creationId xmlns:a16="http://schemas.microsoft.com/office/drawing/2014/main" id="{8CAC0047-4653-4227-90B6-DCFF5FF2A374}"/>
            </a:ext>
          </a:extLst>
        </xdr:cNvPr>
        <xdr:cNvSpPr/>
      </xdr:nvSpPr>
      <xdr:spPr>
        <a:xfrm>
          <a:off x="5988297" y="190499"/>
          <a:ext cx="4826275" cy="2227386"/>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404062</xdr:colOff>
      <xdr:row>0</xdr:row>
      <xdr:rowOff>190499</xdr:rowOff>
    </xdr:from>
    <xdr:to>
      <xdr:col>15</xdr:col>
      <xdr:colOff>125427</xdr:colOff>
      <xdr:row>11</xdr:row>
      <xdr:rowOff>138545</xdr:rowOff>
    </xdr:to>
    <xdr:grpSp>
      <xdr:nvGrpSpPr>
        <xdr:cNvPr id="5" name="Group 4">
          <a:extLst>
            <a:ext uri="{FF2B5EF4-FFF2-40B4-BE49-F238E27FC236}">
              <a16:creationId xmlns:a16="http://schemas.microsoft.com/office/drawing/2014/main" id="{AB8BDEEC-952C-43C3-94B2-EBD840E0DB1C}"/>
            </a:ext>
          </a:extLst>
        </xdr:cNvPr>
        <xdr:cNvGrpSpPr/>
      </xdr:nvGrpSpPr>
      <xdr:grpSpPr>
        <a:xfrm>
          <a:off x="6258274" y="190499"/>
          <a:ext cx="4557134" cy="2043546"/>
          <a:chOff x="5525579" y="190499"/>
          <a:chExt cx="4557134" cy="2043546"/>
        </a:xfrm>
      </xdr:grpSpPr>
      <xdr:graphicFrame macro="">
        <xdr:nvGraphicFramePr>
          <xdr:cNvPr id="3" name="Diagramm 4">
            <a:extLst>
              <a:ext uri="{FF2B5EF4-FFF2-40B4-BE49-F238E27FC236}">
                <a16:creationId xmlns:a16="http://schemas.microsoft.com/office/drawing/2014/main" id="{7196F9B8-3F0A-4DE2-ACDF-59B8EB1C82F3}"/>
              </a:ext>
            </a:extLst>
          </xdr:cNvPr>
          <xdr:cNvGraphicFramePr>
            <a:graphicFrameLocks/>
          </xdr:cNvGraphicFramePr>
        </xdr:nvGraphicFramePr>
        <xdr:xfrm>
          <a:off x="5668988" y="190499"/>
          <a:ext cx="4413725" cy="204354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feld 7">
            <a:extLst>
              <a:ext uri="{FF2B5EF4-FFF2-40B4-BE49-F238E27FC236}">
                <a16:creationId xmlns:a16="http://schemas.microsoft.com/office/drawing/2014/main" id="{5C14A2E8-3799-4CBC-969F-1BD415EA50CC}"/>
              </a:ext>
            </a:extLst>
          </xdr:cNvPr>
          <xdr:cNvSpPr txBox="1"/>
        </xdr:nvSpPr>
        <xdr:spPr>
          <a:xfrm rot="16200000">
            <a:off x="5029808" y="877435"/>
            <a:ext cx="1246909" cy="255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Reported</a:t>
            </a:r>
            <a:r>
              <a:rPr lang="en-US" sz="900" baseline="0"/>
              <a:t>  Limitations</a:t>
            </a:r>
            <a:endParaRPr lang="en-US" sz="900"/>
          </a:p>
        </xdr:txBody>
      </xdr:sp>
    </xdr:grpSp>
    <xdr:clientData/>
  </xdr:twoCellAnchor>
  <xdr:oneCellAnchor>
    <xdr:from>
      <xdr:col>9</xdr:col>
      <xdr:colOff>170721</xdr:colOff>
      <xdr:row>11</xdr:row>
      <xdr:rowOff>51287</xdr:rowOff>
    </xdr:from>
    <xdr:ext cx="3385705" cy="231191"/>
    <xdr:sp macro="" textlink="">
      <xdr:nvSpPr>
        <xdr:cNvPr id="6" name="Textfeld 7">
          <a:extLst>
            <a:ext uri="{FF2B5EF4-FFF2-40B4-BE49-F238E27FC236}">
              <a16:creationId xmlns:a16="http://schemas.microsoft.com/office/drawing/2014/main" id="{7B261303-ACAA-4E2B-AF6D-56194944AC17}"/>
            </a:ext>
          </a:extLst>
        </xdr:cNvPr>
        <xdr:cNvSpPr txBox="1"/>
      </xdr:nvSpPr>
      <xdr:spPr>
        <a:xfrm>
          <a:off x="7241202" y="2146787"/>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Articles</a:t>
          </a:r>
          <a:endParaRPr lang="en-US" sz="900"/>
        </a:p>
      </xdr:txBody>
    </xdr:sp>
    <xdr:clientData/>
  </xdr:oneCellAnchor>
  <xdr:twoCellAnchor>
    <xdr:from>
      <xdr:col>8</xdr:col>
      <xdr:colOff>29308</xdr:colOff>
      <xdr:row>8</xdr:row>
      <xdr:rowOff>183173</xdr:rowOff>
    </xdr:from>
    <xdr:to>
      <xdr:col>15</xdr:col>
      <xdr:colOff>43271</xdr:colOff>
      <xdr:row>8</xdr:row>
      <xdr:rowOff>183173</xdr:rowOff>
    </xdr:to>
    <xdr:cxnSp macro="">
      <xdr:nvCxnSpPr>
        <xdr:cNvPr id="7" name="Gerader Verbinder 19">
          <a:extLst>
            <a:ext uri="{FF2B5EF4-FFF2-40B4-BE49-F238E27FC236}">
              <a16:creationId xmlns:a16="http://schemas.microsoft.com/office/drawing/2014/main" id="{4BCE0BAE-A4B3-4BF8-8A40-78F0AC855D72}"/>
            </a:ext>
          </a:extLst>
        </xdr:cNvPr>
        <xdr:cNvCxnSpPr/>
      </xdr:nvCxnSpPr>
      <xdr:spPr>
        <a:xfrm flipV="1">
          <a:off x="6491654" y="1707173"/>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145599</xdr:colOff>
      <xdr:row>0</xdr:row>
      <xdr:rowOff>190499</xdr:rowOff>
    </xdr:from>
    <xdr:to>
      <xdr:col>15</xdr:col>
      <xdr:colOff>136629</xdr:colOff>
      <xdr:row>15</xdr:row>
      <xdr:rowOff>142875</xdr:rowOff>
    </xdr:to>
    <xdr:sp macro="" textlink="">
      <xdr:nvSpPr>
        <xdr:cNvPr id="2" name="Rechteck 25">
          <a:extLst>
            <a:ext uri="{FF2B5EF4-FFF2-40B4-BE49-F238E27FC236}">
              <a16:creationId xmlns:a16="http://schemas.microsoft.com/office/drawing/2014/main" id="{2EEC3A2B-1D81-425E-BE85-EA2D14A87604}"/>
            </a:ext>
          </a:extLst>
        </xdr:cNvPr>
        <xdr:cNvSpPr/>
      </xdr:nvSpPr>
      <xdr:spPr>
        <a:xfrm>
          <a:off x="6010278" y="190499"/>
          <a:ext cx="4855583" cy="2809876"/>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558985</xdr:colOff>
      <xdr:row>0</xdr:row>
      <xdr:rowOff>190499</xdr:rowOff>
    </xdr:from>
    <xdr:to>
      <xdr:col>15</xdr:col>
      <xdr:colOff>136942</xdr:colOff>
      <xdr:row>14</xdr:row>
      <xdr:rowOff>138545</xdr:rowOff>
    </xdr:to>
    <xdr:graphicFrame macro="">
      <xdr:nvGraphicFramePr>
        <xdr:cNvPr id="3" name="Diagramm 4">
          <a:extLst>
            <a:ext uri="{FF2B5EF4-FFF2-40B4-BE49-F238E27FC236}">
              <a16:creationId xmlns:a16="http://schemas.microsoft.com/office/drawing/2014/main" id="{E97DE4EF-02CA-4906-892E-DFB5923CA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408250</xdr:colOff>
      <xdr:row>3</xdr:row>
      <xdr:rowOff>32067</xdr:rowOff>
    </xdr:from>
    <xdr:ext cx="255368" cy="1369468"/>
    <xdr:sp macro="" textlink="">
      <xdr:nvSpPr>
        <xdr:cNvPr id="4" name="Textfeld 7">
          <a:extLst>
            <a:ext uri="{FF2B5EF4-FFF2-40B4-BE49-F238E27FC236}">
              <a16:creationId xmlns:a16="http://schemas.microsoft.com/office/drawing/2014/main" id="{50A019E3-37AC-4BA4-A7DB-6F685A3D909D}"/>
            </a:ext>
          </a:extLst>
        </xdr:cNvPr>
        <xdr:cNvSpPr txBox="1"/>
      </xdr:nvSpPr>
      <xdr:spPr>
        <a:xfrm rot="16200000">
          <a:off x="5705412" y="1160617"/>
          <a:ext cx="1369468" cy="255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Reported</a:t>
          </a:r>
          <a:r>
            <a:rPr lang="en-US" sz="900" baseline="0"/>
            <a:t>  Future Directions</a:t>
          </a:r>
          <a:endParaRPr lang="en-US" sz="900"/>
        </a:p>
      </xdr:txBody>
    </xdr:sp>
    <xdr:clientData/>
  </xdr:oneCellAnchor>
  <xdr:oneCellAnchor>
    <xdr:from>
      <xdr:col>9</xdr:col>
      <xdr:colOff>340176</xdr:colOff>
      <xdr:row>14</xdr:row>
      <xdr:rowOff>47626</xdr:rowOff>
    </xdr:from>
    <xdr:ext cx="3385705" cy="231191"/>
    <xdr:sp macro="" textlink="">
      <xdr:nvSpPr>
        <xdr:cNvPr id="5" name="Textfeld 7">
          <a:extLst>
            <a:ext uri="{FF2B5EF4-FFF2-40B4-BE49-F238E27FC236}">
              <a16:creationId xmlns:a16="http://schemas.microsoft.com/office/drawing/2014/main" id="{838F7921-0487-4414-8CE1-D848B3EEA848}"/>
            </a:ext>
          </a:extLst>
        </xdr:cNvPr>
        <xdr:cNvSpPr txBox="1"/>
      </xdr:nvSpPr>
      <xdr:spPr>
        <a:xfrm>
          <a:off x="7429497" y="2714626"/>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Articles</a:t>
          </a:r>
          <a:endParaRPr lang="en-US" sz="900"/>
        </a:p>
      </xdr:txBody>
    </xdr:sp>
    <xdr:clientData/>
  </xdr:oneCellAnchor>
  <xdr:twoCellAnchor>
    <xdr:from>
      <xdr:col>8</xdr:col>
      <xdr:colOff>14654</xdr:colOff>
      <xdr:row>12</xdr:row>
      <xdr:rowOff>7327</xdr:rowOff>
    </xdr:from>
    <xdr:to>
      <xdr:col>15</xdr:col>
      <xdr:colOff>28617</xdr:colOff>
      <xdr:row>12</xdr:row>
      <xdr:rowOff>7327</xdr:rowOff>
    </xdr:to>
    <xdr:cxnSp macro="">
      <xdr:nvCxnSpPr>
        <xdr:cNvPr id="6" name="Gerader Verbinder 19">
          <a:extLst>
            <a:ext uri="{FF2B5EF4-FFF2-40B4-BE49-F238E27FC236}">
              <a16:creationId xmlns:a16="http://schemas.microsoft.com/office/drawing/2014/main" id="{F766F61D-1916-4FF5-BBF4-28F139257D84}"/>
            </a:ext>
          </a:extLst>
        </xdr:cNvPr>
        <xdr:cNvCxnSpPr/>
      </xdr:nvCxnSpPr>
      <xdr:spPr>
        <a:xfrm flipV="1">
          <a:off x="6477000" y="2293327"/>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5</xdr:row>
      <xdr:rowOff>0</xdr:rowOff>
    </xdr:from>
    <xdr:to>
      <xdr:col>18</xdr:col>
      <xdr:colOff>19050</xdr:colOff>
      <xdr:row>19</xdr:row>
      <xdr:rowOff>19050</xdr:rowOff>
    </xdr:to>
    <xdr:graphicFrame macro="">
      <xdr:nvGraphicFramePr>
        <xdr:cNvPr id="3" name="Chart 2">
          <a:extLst>
            <a:ext uri="{FF2B5EF4-FFF2-40B4-BE49-F238E27FC236}">
              <a16:creationId xmlns:a16="http://schemas.microsoft.com/office/drawing/2014/main" id="{77047469-54B3-4101-8C03-E365E8EFD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238125</xdr:colOff>
      <xdr:row>17</xdr:row>
      <xdr:rowOff>9525</xdr:rowOff>
    </xdr:from>
    <xdr:to>
      <xdr:col>28</xdr:col>
      <xdr:colOff>2171701</xdr:colOff>
      <xdr:row>30</xdr:row>
      <xdr:rowOff>180975</xdr:rowOff>
    </xdr:to>
    <xdr:graphicFrame macro="">
      <xdr:nvGraphicFramePr>
        <xdr:cNvPr id="2" name="Chart 1">
          <a:extLst>
            <a:ext uri="{FF2B5EF4-FFF2-40B4-BE49-F238E27FC236}">
              <a16:creationId xmlns:a16="http://schemas.microsoft.com/office/drawing/2014/main" id="{A697F055-5100-43C9-A835-47563C3EC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238125</xdr:colOff>
      <xdr:row>31</xdr:row>
      <xdr:rowOff>142875</xdr:rowOff>
    </xdr:from>
    <xdr:to>
      <xdr:col>29</xdr:col>
      <xdr:colOff>66674</xdr:colOff>
      <xdr:row>50</xdr:row>
      <xdr:rowOff>28575</xdr:rowOff>
    </xdr:to>
    <xdr:graphicFrame macro="">
      <xdr:nvGraphicFramePr>
        <xdr:cNvPr id="3" name="Chart 2">
          <a:extLst>
            <a:ext uri="{FF2B5EF4-FFF2-40B4-BE49-F238E27FC236}">
              <a16:creationId xmlns:a16="http://schemas.microsoft.com/office/drawing/2014/main" id="{82F02AB3-2F9B-482D-B40E-98DFF1611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4</xdr:row>
      <xdr:rowOff>19050</xdr:rowOff>
    </xdr:from>
    <xdr:to>
      <xdr:col>19</xdr:col>
      <xdr:colOff>0</xdr:colOff>
      <xdr:row>18</xdr:row>
      <xdr:rowOff>180975</xdr:rowOff>
    </xdr:to>
    <xdr:graphicFrame macro="">
      <xdr:nvGraphicFramePr>
        <xdr:cNvPr id="2" name="Chart 1">
          <a:extLst>
            <a:ext uri="{FF2B5EF4-FFF2-40B4-BE49-F238E27FC236}">
              <a16:creationId xmlns:a16="http://schemas.microsoft.com/office/drawing/2014/main" id="{C04E460F-D90F-4B1A-A2F7-A7666DECE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1266825</xdr:colOff>
      <xdr:row>0</xdr:row>
      <xdr:rowOff>142876</xdr:rowOff>
    </xdr:from>
    <xdr:to>
      <xdr:col>26</xdr:col>
      <xdr:colOff>600075</xdr:colOff>
      <xdr:row>36</xdr:row>
      <xdr:rowOff>152402</xdr:rowOff>
    </xdr:to>
    <xdr:graphicFrame macro="">
      <xdr:nvGraphicFramePr>
        <xdr:cNvPr id="2" name="Chart 1">
          <a:extLst>
            <a:ext uri="{FF2B5EF4-FFF2-40B4-BE49-F238E27FC236}">
              <a16:creationId xmlns:a16="http://schemas.microsoft.com/office/drawing/2014/main" id="{D719237C-3BF5-44F7-A31E-B7DC59443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380999</xdr:colOff>
      <xdr:row>32</xdr:row>
      <xdr:rowOff>8285</xdr:rowOff>
    </xdr:from>
    <xdr:ext cx="487441" cy="295850"/>
    <xdr:sp macro="" textlink="">
      <xdr:nvSpPr>
        <xdr:cNvPr id="3" name="TextBox 2">
          <a:extLst>
            <a:ext uri="{FF2B5EF4-FFF2-40B4-BE49-F238E27FC236}">
              <a16:creationId xmlns:a16="http://schemas.microsoft.com/office/drawing/2014/main" id="{B5F4B8EA-1479-40E6-A8DA-4F503491CCCF}"/>
            </a:ext>
          </a:extLst>
        </xdr:cNvPr>
        <xdr:cNvSpPr txBox="1"/>
      </xdr:nvSpPr>
      <xdr:spPr>
        <a:xfrm>
          <a:off x="13620749" y="6104285"/>
          <a:ext cx="487441"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1300" b="1"/>
            <a:t>Tool</a:t>
          </a:r>
        </a:p>
      </xdr:txBody>
    </xdr:sp>
    <xdr:clientData/>
  </xdr:oneCellAnchor>
  <xdr:oneCellAnchor>
    <xdr:from>
      <xdr:col>21</xdr:col>
      <xdr:colOff>429190</xdr:colOff>
      <xdr:row>31</xdr:row>
      <xdr:rowOff>98267</xdr:rowOff>
    </xdr:from>
    <xdr:ext cx="791114" cy="499367"/>
    <xdr:sp macro="" textlink="">
      <xdr:nvSpPr>
        <xdr:cNvPr id="4" name="TextBox 3">
          <a:extLst>
            <a:ext uri="{FF2B5EF4-FFF2-40B4-BE49-F238E27FC236}">
              <a16:creationId xmlns:a16="http://schemas.microsoft.com/office/drawing/2014/main" id="{A916CC11-1C4E-456F-95D0-529304DA6957}"/>
            </a:ext>
          </a:extLst>
        </xdr:cNvPr>
        <xdr:cNvSpPr txBox="1"/>
      </xdr:nvSpPr>
      <xdr:spPr>
        <a:xfrm>
          <a:off x="17936140" y="6003767"/>
          <a:ext cx="791114"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Solution</a:t>
          </a:r>
          <a:br>
            <a:rPr lang="en-US" sz="1300" b="1"/>
          </a:br>
          <a:r>
            <a:rPr lang="en-US" sz="1300" b="1"/>
            <a:t>Proposal</a:t>
          </a:r>
        </a:p>
      </xdr:txBody>
    </xdr:sp>
    <xdr:clientData/>
  </xdr:oneCellAnchor>
  <xdr:oneCellAnchor>
    <xdr:from>
      <xdr:col>20</xdr:col>
      <xdr:colOff>90508</xdr:colOff>
      <xdr:row>31</xdr:row>
      <xdr:rowOff>98267</xdr:rowOff>
    </xdr:from>
    <xdr:ext cx="896977" cy="499367"/>
    <xdr:sp macro="" textlink="">
      <xdr:nvSpPr>
        <xdr:cNvPr id="5" name="TextBox 4">
          <a:extLst>
            <a:ext uri="{FF2B5EF4-FFF2-40B4-BE49-F238E27FC236}">
              <a16:creationId xmlns:a16="http://schemas.microsoft.com/office/drawing/2014/main" id="{1B70E137-12C0-40EC-AC3F-4D02A27A179C}"/>
            </a:ext>
          </a:extLst>
        </xdr:cNvPr>
        <xdr:cNvSpPr txBox="1"/>
      </xdr:nvSpPr>
      <xdr:spPr>
        <a:xfrm>
          <a:off x="16987858" y="6003767"/>
          <a:ext cx="896977"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Validation</a:t>
          </a:r>
          <a:br>
            <a:rPr lang="en-US" sz="1300" b="1"/>
          </a:br>
          <a:r>
            <a:rPr lang="en-US" sz="1300" b="1"/>
            <a:t>Research</a:t>
          </a:r>
        </a:p>
      </xdr:txBody>
    </xdr:sp>
    <xdr:clientData/>
  </xdr:oneCellAnchor>
  <xdr:oneCellAnchor>
    <xdr:from>
      <xdr:col>23</xdr:col>
      <xdr:colOff>51613</xdr:colOff>
      <xdr:row>31</xdr:row>
      <xdr:rowOff>98267</xdr:rowOff>
    </xdr:from>
    <xdr:ext cx="917624" cy="499367"/>
    <xdr:sp macro="" textlink="">
      <xdr:nvSpPr>
        <xdr:cNvPr id="6" name="TextBox 5">
          <a:extLst>
            <a:ext uri="{FF2B5EF4-FFF2-40B4-BE49-F238E27FC236}">
              <a16:creationId xmlns:a16="http://schemas.microsoft.com/office/drawing/2014/main" id="{97A38ED6-1E92-441B-B57E-5C4654F8BE80}"/>
            </a:ext>
          </a:extLst>
        </xdr:cNvPr>
        <xdr:cNvSpPr txBox="1"/>
      </xdr:nvSpPr>
      <xdr:spPr>
        <a:xfrm>
          <a:off x="18777763" y="6003767"/>
          <a:ext cx="917624"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Evaluation</a:t>
          </a:r>
          <a:br>
            <a:rPr lang="en-US" sz="1300" b="1"/>
          </a:br>
          <a:r>
            <a:rPr lang="en-US" sz="1300" b="1"/>
            <a:t>Research</a:t>
          </a:r>
        </a:p>
      </xdr:txBody>
    </xdr:sp>
    <xdr:clientData/>
  </xdr:oneCellAnchor>
  <xdr:oneCellAnchor>
    <xdr:from>
      <xdr:col>12</xdr:col>
      <xdr:colOff>598108</xdr:colOff>
      <xdr:row>31</xdr:row>
      <xdr:rowOff>97027</xdr:rowOff>
    </xdr:from>
    <xdr:ext cx="854914" cy="499367"/>
    <xdr:sp macro="" textlink="">
      <xdr:nvSpPr>
        <xdr:cNvPr id="7" name="TextBox 6">
          <a:extLst>
            <a:ext uri="{FF2B5EF4-FFF2-40B4-BE49-F238E27FC236}">
              <a16:creationId xmlns:a16="http://schemas.microsoft.com/office/drawing/2014/main" id="{B73CF081-1C49-48BE-9CB6-48F5A5039CFC}"/>
            </a:ext>
          </a:extLst>
        </xdr:cNvPr>
        <xdr:cNvSpPr txBox="1"/>
      </xdr:nvSpPr>
      <xdr:spPr>
        <a:xfrm>
          <a:off x="12618658" y="6002527"/>
          <a:ext cx="854914"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Method /</a:t>
          </a:r>
          <a:br>
            <a:rPr lang="en-US" sz="1300" b="1"/>
          </a:br>
          <a:r>
            <a:rPr lang="en-US" sz="1300" b="1"/>
            <a:t>Approach</a:t>
          </a:r>
        </a:p>
      </xdr:txBody>
    </xdr:sp>
    <xdr:clientData/>
  </xdr:oneCellAnchor>
  <xdr:oneCellAnchor>
    <xdr:from>
      <xdr:col>11</xdr:col>
      <xdr:colOff>180974</xdr:colOff>
      <xdr:row>31</xdr:row>
      <xdr:rowOff>97027</xdr:rowOff>
    </xdr:from>
    <xdr:ext cx="975332" cy="499367"/>
    <xdr:sp macro="" textlink="">
      <xdr:nvSpPr>
        <xdr:cNvPr id="8" name="TextBox 7">
          <a:extLst>
            <a:ext uri="{FF2B5EF4-FFF2-40B4-BE49-F238E27FC236}">
              <a16:creationId xmlns:a16="http://schemas.microsoft.com/office/drawing/2014/main" id="{2132FCD5-9A81-421E-A607-6527526881DE}"/>
            </a:ext>
          </a:extLst>
        </xdr:cNvPr>
        <xdr:cNvSpPr txBox="1"/>
      </xdr:nvSpPr>
      <xdr:spPr>
        <a:xfrm>
          <a:off x="11591924" y="6002527"/>
          <a:ext cx="975332"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Model</a:t>
          </a:r>
          <a:r>
            <a:rPr lang="en-US" sz="1300" b="1" baseline="0"/>
            <a:t> /</a:t>
          </a:r>
          <a:br>
            <a:rPr lang="en-US" sz="1300" b="1" baseline="0"/>
          </a:br>
          <a:r>
            <a:rPr lang="en-US" sz="1300" b="1"/>
            <a:t>Framework</a:t>
          </a:r>
        </a:p>
      </xdr:txBody>
    </xdr:sp>
    <xdr:clientData/>
  </xdr:oneCellAnchor>
  <xdr:oneCellAnchor>
    <xdr:from>
      <xdr:col>9</xdr:col>
      <xdr:colOff>533399</xdr:colOff>
      <xdr:row>31</xdr:row>
      <xdr:rowOff>97027</xdr:rowOff>
    </xdr:from>
    <xdr:ext cx="895566" cy="499367"/>
    <xdr:sp macro="" textlink="">
      <xdr:nvSpPr>
        <xdr:cNvPr id="9" name="TextBox 8">
          <a:extLst>
            <a:ext uri="{FF2B5EF4-FFF2-40B4-BE49-F238E27FC236}">
              <a16:creationId xmlns:a16="http://schemas.microsoft.com/office/drawing/2014/main" id="{2B086BA6-CA20-4F37-BBE9-592DD0DE32BF}"/>
            </a:ext>
          </a:extLst>
        </xdr:cNvPr>
        <xdr:cNvSpPr txBox="1"/>
      </xdr:nvSpPr>
      <xdr:spPr>
        <a:xfrm>
          <a:off x="10725149" y="6002527"/>
          <a:ext cx="895566"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Process /</a:t>
          </a:r>
          <a:br>
            <a:rPr lang="en-US" sz="1300" b="1"/>
          </a:br>
          <a:r>
            <a:rPr lang="en-US" sz="1300" b="1"/>
            <a:t>Algorithm</a:t>
          </a:r>
        </a:p>
      </xdr:txBody>
    </xdr:sp>
    <xdr:clientData/>
  </xdr:oneCellAnchor>
  <xdr:oneCellAnchor>
    <xdr:from>
      <xdr:col>8</xdr:col>
      <xdr:colOff>209549</xdr:colOff>
      <xdr:row>31</xdr:row>
      <xdr:rowOff>97027</xdr:rowOff>
    </xdr:from>
    <xdr:ext cx="967829" cy="499367"/>
    <xdr:sp macro="" textlink="">
      <xdr:nvSpPr>
        <xdr:cNvPr id="10" name="TextBox 9">
          <a:extLst>
            <a:ext uri="{FF2B5EF4-FFF2-40B4-BE49-F238E27FC236}">
              <a16:creationId xmlns:a16="http://schemas.microsoft.com/office/drawing/2014/main" id="{D5B129CC-A3D3-45F2-B848-186CC5F725DD}"/>
            </a:ext>
          </a:extLst>
        </xdr:cNvPr>
        <xdr:cNvSpPr txBox="1"/>
      </xdr:nvSpPr>
      <xdr:spPr>
        <a:xfrm>
          <a:off x="9791699" y="6002527"/>
          <a:ext cx="967829"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Metric /</a:t>
          </a:r>
          <a:br>
            <a:rPr lang="en-US" sz="1300" b="1"/>
          </a:br>
          <a:r>
            <a:rPr lang="en-US" sz="1300" b="1"/>
            <a:t>Benchmark</a:t>
          </a:r>
        </a:p>
      </xdr:txBody>
    </xdr:sp>
    <xdr:clientData/>
  </xdr:oneCellAnchor>
  <xdr:oneCellAnchor>
    <xdr:from>
      <xdr:col>24</xdr:col>
      <xdr:colOff>388938</xdr:colOff>
      <xdr:row>0</xdr:row>
      <xdr:rowOff>85725</xdr:rowOff>
    </xdr:from>
    <xdr:ext cx="1422402" cy="6038850"/>
    <xdr:sp macro="" textlink="">
      <xdr:nvSpPr>
        <xdr:cNvPr id="11" name="TextBox 10">
          <a:extLst>
            <a:ext uri="{FF2B5EF4-FFF2-40B4-BE49-F238E27FC236}">
              <a16:creationId xmlns:a16="http://schemas.microsoft.com/office/drawing/2014/main" id="{32D05E47-B7E2-499A-BEA2-B99CC67B4B61}"/>
            </a:ext>
          </a:extLst>
        </xdr:cNvPr>
        <xdr:cNvSpPr txBox="1"/>
      </xdr:nvSpPr>
      <xdr:spPr>
        <a:xfrm>
          <a:off x="19724688" y="85725"/>
          <a:ext cx="1422402" cy="60388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6</xdr:col>
      <xdr:colOff>0</xdr:colOff>
      <xdr:row>2</xdr:row>
      <xdr:rowOff>47625</xdr:rowOff>
    </xdr:from>
    <xdr:ext cx="12192000" cy="349250"/>
    <xdr:sp macro="" textlink="">
      <xdr:nvSpPr>
        <xdr:cNvPr id="12" name="TextBox 11">
          <a:extLst>
            <a:ext uri="{FF2B5EF4-FFF2-40B4-BE49-F238E27FC236}">
              <a16:creationId xmlns:a16="http://schemas.microsoft.com/office/drawing/2014/main" id="{A5C48F16-A82D-47C0-9427-1569A15F90FD}"/>
            </a:ext>
          </a:extLst>
        </xdr:cNvPr>
        <xdr:cNvSpPr txBox="1"/>
      </xdr:nvSpPr>
      <xdr:spPr>
        <a:xfrm>
          <a:off x="8362950" y="428625"/>
          <a:ext cx="12192000" cy="3492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6</xdr:col>
      <xdr:colOff>111126</xdr:colOff>
      <xdr:row>0</xdr:row>
      <xdr:rowOff>114300</xdr:rowOff>
    </xdr:from>
    <xdr:ext cx="1290656" cy="6000750"/>
    <xdr:sp macro="" textlink="">
      <xdr:nvSpPr>
        <xdr:cNvPr id="13" name="TextBox 12">
          <a:extLst>
            <a:ext uri="{FF2B5EF4-FFF2-40B4-BE49-F238E27FC236}">
              <a16:creationId xmlns:a16="http://schemas.microsoft.com/office/drawing/2014/main" id="{AA2DF10A-6E0F-45D3-A2AB-6CA1475891C4}"/>
            </a:ext>
          </a:extLst>
        </xdr:cNvPr>
        <xdr:cNvSpPr txBox="1"/>
      </xdr:nvSpPr>
      <xdr:spPr>
        <a:xfrm>
          <a:off x="8474076" y="114300"/>
          <a:ext cx="1290656" cy="60007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16</xdr:col>
      <xdr:colOff>290720</xdr:colOff>
      <xdr:row>1</xdr:row>
      <xdr:rowOff>125865</xdr:rowOff>
    </xdr:from>
    <xdr:ext cx="1796774" cy="530658"/>
    <xdr:sp macro="" textlink="">
      <xdr:nvSpPr>
        <xdr:cNvPr id="14" name="TextBox 13">
          <a:extLst>
            <a:ext uri="{FF2B5EF4-FFF2-40B4-BE49-F238E27FC236}">
              <a16:creationId xmlns:a16="http://schemas.microsoft.com/office/drawing/2014/main" id="{836CBE55-3EC6-4BFA-AC49-969FEB26D736}"/>
            </a:ext>
          </a:extLst>
        </xdr:cNvPr>
        <xdr:cNvSpPr txBox="1"/>
      </xdr:nvSpPr>
      <xdr:spPr>
        <a:xfrm>
          <a:off x="14746739" y="316365"/>
          <a:ext cx="179677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Conflict Management</a:t>
          </a:r>
          <a:br>
            <a:rPr lang="en-US" sz="1400" b="1"/>
          </a:br>
          <a:r>
            <a:rPr lang="en-US" sz="1400" b="1"/>
            <a:t>Facet</a:t>
          </a:r>
        </a:p>
      </xdr:txBody>
    </xdr:sp>
    <xdr:clientData/>
  </xdr:oneCellAnchor>
  <xdr:oneCellAnchor>
    <xdr:from>
      <xdr:col>15</xdr:col>
      <xdr:colOff>513809</xdr:colOff>
      <xdr:row>29</xdr:row>
      <xdr:rowOff>172140</xdr:rowOff>
    </xdr:from>
    <xdr:ext cx="1134734" cy="530658"/>
    <xdr:sp macro="" textlink="">
      <xdr:nvSpPr>
        <xdr:cNvPr id="15" name="TextBox 14">
          <a:extLst>
            <a:ext uri="{FF2B5EF4-FFF2-40B4-BE49-F238E27FC236}">
              <a16:creationId xmlns:a16="http://schemas.microsoft.com/office/drawing/2014/main" id="{7D0DD893-743D-46FC-AB5B-5C4F92C743AA}"/>
            </a:ext>
          </a:extLst>
        </xdr:cNvPr>
        <xdr:cNvSpPr txBox="1"/>
      </xdr:nvSpPr>
      <xdr:spPr>
        <a:xfrm>
          <a:off x="14363159" y="5696640"/>
          <a:ext cx="113473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Contribution</a:t>
          </a:r>
          <a:br>
            <a:rPr lang="en-US" sz="1400" b="1"/>
          </a:br>
          <a:r>
            <a:rPr lang="en-US" sz="1400" b="1"/>
            <a:t>Facet</a:t>
          </a:r>
        </a:p>
      </xdr:txBody>
    </xdr:sp>
    <xdr:clientData/>
  </xdr:oneCellAnchor>
  <xdr:oneCellAnchor>
    <xdr:from>
      <xdr:col>18</xdr:col>
      <xdr:colOff>169068</xdr:colOff>
      <xdr:row>29</xdr:row>
      <xdr:rowOff>170553</xdr:rowOff>
    </xdr:from>
    <xdr:ext cx="862095" cy="530658"/>
    <xdr:sp macro="" textlink="">
      <xdr:nvSpPr>
        <xdr:cNvPr id="16" name="TextBox 15">
          <a:extLst>
            <a:ext uri="{FF2B5EF4-FFF2-40B4-BE49-F238E27FC236}">
              <a16:creationId xmlns:a16="http://schemas.microsoft.com/office/drawing/2014/main" id="{8FD14B77-AEA6-4330-9030-B1B465EB0161}"/>
            </a:ext>
          </a:extLst>
        </xdr:cNvPr>
        <xdr:cNvSpPr txBox="1"/>
      </xdr:nvSpPr>
      <xdr:spPr>
        <a:xfrm>
          <a:off x="15847218" y="5695053"/>
          <a:ext cx="86209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Research</a:t>
          </a:r>
          <a:br>
            <a:rPr lang="en-US" sz="1400" b="1"/>
          </a:br>
          <a:r>
            <a:rPr lang="en-US" sz="1400" b="1"/>
            <a:t>Facet</a:t>
          </a:r>
        </a:p>
      </xdr:txBody>
    </xdr:sp>
    <xdr:clientData/>
  </xdr:oneCellAnchor>
</xdr:wsDr>
</file>

<file path=xl/drawings/drawing7.xml><?xml version="1.0" encoding="utf-8"?>
<c:userShapes xmlns:c="http://schemas.openxmlformats.org/drawingml/2006/chart">
  <cdr:relSizeAnchor xmlns:cdr="http://schemas.openxmlformats.org/drawingml/2006/chartDrawing">
    <cdr:from>
      <cdr:x>0.51337</cdr:x>
      <cdr:y>0.69649</cdr:y>
    </cdr:from>
    <cdr:to>
      <cdr:x>0.62544</cdr:x>
      <cdr:y>0.75015</cdr:y>
    </cdr:to>
    <cdr:sp macro="" textlink="">
      <cdr:nvSpPr>
        <cdr:cNvPr id="2" name="TextBox 1">
          <a:extLst xmlns:a="http://schemas.openxmlformats.org/drawingml/2006/main">
            <a:ext uri="{FF2B5EF4-FFF2-40B4-BE49-F238E27FC236}">
              <a16:creationId xmlns:a16="http://schemas.microsoft.com/office/drawing/2014/main" id="{B3CCD928-9C39-4F9E-81F5-D6E049AA778C}"/>
            </a:ext>
          </a:extLst>
        </cdr:cNvPr>
        <cdr:cNvSpPr txBox="1"/>
      </cdr:nvSpPr>
      <cdr:spPr>
        <a:xfrm xmlns:a="http://schemas.openxmlformats.org/drawingml/2006/main">
          <a:off x="6576836" y="4783149"/>
          <a:ext cx="1435730" cy="368501"/>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none" rtlCol="0"/>
        <a:lstStyle xmlns:a="http://schemas.openxmlformats.org/drawingml/2006/main"/>
        <a:p xmlns:a="http://schemas.openxmlformats.org/drawingml/2006/main">
          <a:pPr algn="ctr"/>
          <a:r>
            <a:rPr lang="en-US" sz="1300" b="1"/>
            <a:t>Conflict</a:t>
          </a:r>
          <a:r>
            <a:rPr lang="en-US" sz="1300" b="1" baseline="0"/>
            <a:t> </a:t>
          </a:r>
          <a:r>
            <a:rPr lang="en-US" sz="1300" b="1"/>
            <a:t>Specifiction</a:t>
          </a:r>
        </a:p>
      </cdr:txBody>
    </cdr:sp>
  </cdr:relSizeAnchor>
  <cdr:relSizeAnchor xmlns:cdr="http://schemas.openxmlformats.org/drawingml/2006/chartDrawing">
    <cdr:from>
      <cdr:x>0.5145</cdr:x>
      <cdr:y>0.56711</cdr:y>
    </cdr:from>
    <cdr:to>
      <cdr:x>0.62585</cdr:x>
      <cdr:y>0.62077</cdr:y>
    </cdr:to>
    <cdr:sp macro="" textlink="">
      <cdr:nvSpPr>
        <cdr:cNvPr id="3" name="TextBox 1">
          <a:extLst xmlns:a="http://schemas.openxmlformats.org/drawingml/2006/main">
            <a:ext uri="{FF2B5EF4-FFF2-40B4-BE49-F238E27FC236}">
              <a16:creationId xmlns:a16="http://schemas.microsoft.com/office/drawing/2014/main" id="{D43DE0A8-A1D6-4EF1-AEA4-355B49EFDF38}"/>
            </a:ext>
          </a:extLst>
        </cdr:cNvPr>
        <cdr:cNvSpPr txBox="1"/>
      </cdr:nvSpPr>
      <cdr:spPr>
        <a:xfrm xmlns:a="http://schemas.openxmlformats.org/drawingml/2006/main">
          <a:off x="6607659" y="3894654"/>
          <a:ext cx="1430054" cy="368511"/>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Prevention</a:t>
          </a:r>
        </a:p>
      </cdr:txBody>
    </cdr:sp>
  </cdr:relSizeAnchor>
  <cdr:relSizeAnchor xmlns:cdr="http://schemas.openxmlformats.org/drawingml/2006/chartDrawing">
    <cdr:from>
      <cdr:x>0.51524</cdr:x>
      <cdr:y>0.43554</cdr:y>
    </cdr:from>
    <cdr:to>
      <cdr:x>0.62007</cdr:x>
      <cdr:y>0.4892</cdr:y>
    </cdr:to>
    <cdr:sp macro="" textlink="">
      <cdr:nvSpPr>
        <cdr:cNvPr id="4" name="TextBox 1">
          <a:extLst xmlns:a="http://schemas.openxmlformats.org/drawingml/2006/main">
            <a:ext uri="{FF2B5EF4-FFF2-40B4-BE49-F238E27FC236}">
              <a16:creationId xmlns:a16="http://schemas.microsoft.com/office/drawing/2014/main" id="{C6BD81C0-2265-4B33-AEEB-6E3AC17D4C58}"/>
            </a:ext>
          </a:extLst>
        </cdr:cNvPr>
        <cdr:cNvSpPr txBox="1"/>
      </cdr:nvSpPr>
      <cdr:spPr>
        <a:xfrm xmlns:a="http://schemas.openxmlformats.org/drawingml/2006/main">
          <a:off x="6600825" y="2991100"/>
          <a:ext cx="1343025" cy="368502"/>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Detection</a:t>
          </a:r>
        </a:p>
      </cdr:txBody>
    </cdr:sp>
  </cdr:relSizeAnchor>
  <cdr:relSizeAnchor xmlns:cdr="http://schemas.openxmlformats.org/drawingml/2006/chartDrawing">
    <cdr:from>
      <cdr:x>0.51632</cdr:x>
      <cdr:y>0.30614</cdr:y>
    </cdr:from>
    <cdr:to>
      <cdr:x>0.62368</cdr:x>
      <cdr:y>0.3598</cdr:y>
    </cdr:to>
    <cdr:sp macro="" textlink="">
      <cdr:nvSpPr>
        <cdr:cNvPr id="5" name="TextBox 1">
          <a:extLst xmlns:a="http://schemas.openxmlformats.org/drawingml/2006/main">
            <a:ext uri="{FF2B5EF4-FFF2-40B4-BE49-F238E27FC236}">
              <a16:creationId xmlns:a16="http://schemas.microsoft.com/office/drawing/2014/main" id="{C6BD81C0-2265-4B33-AEEB-6E3AC17D4C58}"/>
            </a:ext>
          </a:extLst>
        </cdr:cNvPr>
        <cdr:cNvSpPr txBox="1"/>
      </cdr:nvSpPr>
      <cdr:spPr>
        <a:xfrm xmlns:a="http://schemas.openxmlformats.org/drawingml/2006/main">
          <a:off x="6630988" y="2102424"/>
          <a:ext cx="1378853" cy="368512"/>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Resolution</a:t>
          </a:r>
        </a:p>
      </cdr:txBody>
    </cdr:sp>
  </cdr:relSizeAnchor>
  <cdr:relSizeAnchor xmlns:cdr="http://schemas.openxmlformats.org/drawingml/2006/chartDrawing">
    <cdr:from>
      <cdr:x>0.51673</cdr:x>
      <cdr:y>0.17693</cdr:y>
    </cdr:from>
    <cdr:to>
      <cdr:x>0.62677</cdr:x>
      <cdr:y>0.23059</cdr:y>
    </cdr:to>
    <cdr:sp macro="" textlink="">
      <cdr:nvSpPr>
        <cdr:cNvPr id="6" name="TextBox 1">
          <a:extLst xmlns:a="http://schemas.openxmlformats.org/drawingml/2006/main">
            <a:ext uri="{FF2B5EF4-FFF2-40B4-BE49-F238E27FC236}">
              <a16:creationId xmlns:a16="http://schemas.microsoft.com/office/drawing/2014/main" id="{C6BD81C0-2265-4B33-AEEB-6E3AC17D4C58}"/>
            </a:ext>
          </a:extLst>
        </cdr:cNvPr>
        <cdr:cNvSpPr txBox="1"/>
      </cdr:nvSpPr>
      <cdr:spPr>
        <a:xfrm xmlns:a="http://schemas.openxmlformats.org/drawingml/2006/main">
          <a:off x="6619875" y="1215064"/>
          <a:ext cx="1409700" cy="368501"/>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Awareness</a:t>
          </a:r>
        </a:p>
      </cdr:txBody>
    </cdr:sp>
  </cdr:relSizeAnchor>
  <cdr:relSizeAnchor xmlns:cdr="http://schemas.openxmlformats.org/drawingml/2006/chartDrawing">
    <cdr:from>
      <cdr:x>0</cdr:x>
      <cdr:y>0.85206</cdr:y>
    </cdr:from>
    <cdr:to>
      <cdr:x>1</cdr:x>
      <cdr:y>0.98811</cdr:y>
    </cdr:to>
    <cdr:sp macro="" textlink="">
      <cdr:nvSpPr>
        <cdr:cNvPr id="7" name="TextBox 1">
          <a:extLst xmlns:a="http://schemas.openxmlformats.org/drawingml/2006/main">
            <a:ext uri="{FF2B5EF4-FFF2-40B4-BE49-F238E27FC236}">
              <a16:creationId xmlns:a16="http://schemas.microsoft.com/office/drawing/2014/main" id="{81547328-0E32-45B7-BBD6-9C4665BA8352}"/>
            </a:ext>
          </a:extLst>
        </cdr:cNvPr>
        <cdr:cNvSpPr txBox="1"/>
      </cdr:nvSpPr>
      <cdr:spPr>
        <a:xfrm xmlns:a="http://schemas.openxmlformats.org/drawingml/2006/main">
          <a:off x="0" y="5851563"/>
          <a:ext cx="12201525" cy="934282"/>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 </a:t>
          </a:r>
        </a:p>
      </cdr:txBody>
    </cdr:sp>
  </cdr:relSizeAnchor>
</c:userShapes>
</file>

<file path=xl/drawings/drawing8.xml><?xml version="1.0" encoding="utf-8"?>
<xdr:wsDr xmlns:xdr="http://schemas.openxmlformats.org/drawingml/2006/spreadsheetDrawing" xmlns:a="http://schemas.openxmlformats.org/drawingml/2006/main">
  <xdr:twoCellAnchor>
    <xdr:from>
      <xdr:col>12</xdr:col>
      <xdr:colOff>0</xdr:colOff>
      <xdr:row>6</xdr:row>
      <xdr:rowOff>86589</xdr:rowOff>
    </xdr:from>
    <xdr:to>
      <xdr:col>19</xdr:col>
      <xdr:colOff>545523</xdr:colOff>
      <xdr:row>24</xdr:row>
      <xdr:rowOff>86588</xdr:rowOff>
    </xdr:to>
    <xdr:graphicFrame macro="">
      <xdr:nvGraphicFramePr>
        <xdr:cNvPr id="5" name="Chart 4">
          <a:extLst>
            <a:ext uri="{FF2B5EF4-FFF2-40B4-BE49-F238E27FC236}">
              <a16:creationId xmlns:a16="http://schemas.microsoft.com/office/drawing/2014/main" id="{1F5EBEE7-B027-493E-BDDA-35895FA0D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0</xdr:colOff>
      <xdr:row>8</xdr:row>
      <xdr:rowOff>25976</xdr:rowOff>
    </xdr:from>
    <xdr:to>
      <xdr:col>19</xdr:col>
      <xdr:colOff>545523</xdr:colOff>
      <xdr:row>24</xdr:row>
      <xdr:rowOff>86587</xdr:rowOff>
    </xdr:to>
    <xdr:graphicFrame macro="">
      <xdr:nvGraphicFramePr>
        <xdr:cNvPr id="2" name="Chart 1">
          <a:extLst>
            <a:ext uri="{FF2B5EF4-FFF2-40B4-BE49-F238E27FC236}">
              <a16:creationId xmlns:a16="http://schemas.microsoft.com/office/drawing/2014/main" id="{558C1AF8-284A-4EE5-9C5D-EBE1B2DAC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ustom 9">
      <a:dk1>
        <a:sysClr val="windowText" lastClr="000000"/>
      </a:dk1>
      <a:lt1>
        <a:sysClr val="window" lastClr="FFFFFF"/>
      </a:lt1>
      <a:dk2>
        <a:srgbClr val="44546A"/>
      </a:dk2>
      <a:lt2>
        <a:srgbClr val="E7E6E6"/>
      </a:lt2>
      <a:accent1>
        <a:srgbClr val="47CFFF"/>
      </a:accent1>
      <a:accent2>
        <a:srgbClr val="ED7D31"/>
      </a:accent2>
      <a:accent3>
        <a:srgbClr val="00C85A"/>
      </a:accent3>
      <a:accent4>
        <a:srgbClr val="4472C4"/>
      </a:accent4>
      <a:accent5>
        <a:srgbClr val="FFD965"/>
      </a:accent5>
      <a:accent6>
        <a:srgbClr val="D9291B"/>
      </a:accent6>
      <a:hlink>
        <a:srgbClr val="70AD47"/>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17" Type="http://schemas.openxmlformats.org/officeDocument/2006/relationships/hyperlink" Target="https://ieeexplore.ieee.org/xpl/conhome/8742/proceeding" TargetMode="External"/><Relationship Id="rId21" Type="http://schemas.openxmlformats.org/officeDocument/2006/relationships/hyperlink" Target="https://ieeexplore.ieee.org/xpl/conhome/8488603/proceeding" TargetMode="External"/><Relationship Id="rId324" Type="http://schemas.openxmlformats.org/officeDocument/2006/relationships/hyperlink" Target="https://link.springer.com/conference/icgt" TargetMode="External"/><Relationship Id="rId531" Type="http://schemas.openxmlformats.org/officeDocument/2006/relationships/hyperlink" Target="https://doi.org/10.1145/1509239.1509252" TargetMode="External"/><Relationship Id="rId170" Type="http://schemas.openxmlformats.org/officeDocument/2006/relationships/hyperlink" Target="https://doi.org/10.1145/2491279.2491281" TargetMode="External"/><Relationship Id="rId268" Type="http://schemas.openxmlformats.org/officeDocument/2006/relationships/hyperlink" Target="https://onlinelibrary.wiley.com/journal/10991670" TargetMode="External"/><Relationship Id="rId475" Type="http://schemas.openxmlformats.org/officeDocument/2006/relationships/hyperlink" Target="https://doi.org/10.1016/j.scico.2006.05.011" TargetMode="External"/><Relationship Id="rId32" Type="http://schemas.openxmlformats.org/officeDocument/2006/relationships/hyperlink" Target="https://doi.org/10.1109/HICSS.2011.126" TargetMode="External"/><Relationship Id="rId128" Type="http://schemas.openxmlformats.org/officeDocument/2006/relationships/hyperlink" Target="https://doi.org/10.1109/ICSM.2008.4658105" TargetMode="External"/><Relationship Id="rId335" Type="http://schemas.openxmlformats.org/officeDocument/2006/relationships/hyperlink" Target="https://link.springer.com/conference/ecmdafa" TargetMode="External"/><Relationship Id="rId542" Type="http://schemas.openxmlformats.org/officeDocument/2006/relationships/hyperlink" Target="https://doi.org/10.1007/s00766-006-0032-y" TargetMode="External"/><Relationship Id="rId181" Type="http://schemas.openxmlformats.org/officeDocument/2006/relationships/hyperlink" Target="https://dl.acm.org/doi/proceedings/10.1145/2110147" TargetMode="External"/><Relationship Id="rId402" Type="http://schemas.openxmlformats.org/officeDocument/2006/relationships/hyperlink" Target="https://ieeexplore.ieee.org/xpl/conhome/4273237/proceeding" TargetMode="External"/><Relationship Id="rId279" Type="http://schemas.openxmlformats.org/officeDocument/2006/relationships/hyperlink" Target="https://doi.org/10.1002/cav.1669" TargetMode="External"/><Relationship Id="rId486" Type="http://schemas.openxmlformats.org/officeDocument/2006/relationships/hyperlink" Target="https://link.springer.com/conference/staf" TargetMode="External"/><Relationship Id="rId43" Type="http://schemas.openxmlformats.org/officeDocument/2006/relationships/hyperlink" Target="https://ieeexplore.ieee.org/xpl/conhome/10247/proceeding" TargetMode="External"/><Relationship Id="rId139" Type="http://schemas.openxmlformats.org/officeDocument/2006/relationships/hyperlink" Target="https://ieeexplore.ieee.org/xpl/RecentIssue.jsp?punumber=32" TargetMode="External"/><Relationship Id="rId346" Type="http://schemas.openxmlformats.org/officeDocument/2006/relationships/hyperlink" Target="https://link.springer.com/conference/criwg" TargetMode="External"/><Relationship Id="rId553" Type="http://schemas.openxmlformats.org/officeDocument/2006/relationships/hyperlink" Target="https://doi.org/10.1007/s00165-021-00555-2" TargetMode="External"/><Relationship Id="rId192" Type="http://schemas.openxmlformats.org/officeDocument/2006/relationships/hyperlink" Target="https://doi.org/10.1145/3344948.3344980" TargetMode="External"/><Relationship Id="rId206" Type="http://schemas.openxmlformats.org/officeDocument/2006/relationships/hyperlink" Target="https://doi.org/10.1145/2019136.2019163" TargetMode="External"/><Relationship Id="rId413" Type="http://schemas.openxmlformats.org/officeDocument/2006/relationships/hyperlink" Target="https://doi.org/10.1109/MODELS-C.2019.00044" TargetMode="External"/><Relationship Id="rId497" Type="http://schemas.openxmlformats.org/officeDocument/2006/relationships/hyperlink" Target="https://cs.gssi.it/commitmde2018/?page_id=256" TargetMode="External"/><Relationship Id="rId357" Type="http://schemas.openxmlformats.org/officeDocument/2006/relationships/hyperlink" Target="https://doi.org/10.1109/ASWEC.2013.32" TargetMode="External"/><Relationship Id="rId54" Type="http://schemas.openxmlformats.org/officeDocument/2006/relationships/hyperlink" Target="https://doi.org/10.1109/CVSM.2009.5071716" TargetMode="External"/><Relationship Id="rId217" Type="http://schemas.openxmlformats.org/officeDocument/2006/relationships/hyperlink" Target="https://www.sciencedirect.com/science/journal/07493797" TargetMode="External"/><Relationship Id="rId564" Type="http://schemas.openxmlformats.org/officeDocument/2006/relationships/hyperlink" Target="https://doi.org/10.1109/32.730542" TargetMode="External"/><Relationship Id="rId424" Type="http://schemas.openxmlformats.org/officeDocument/2006/relationships/hyperlink" Target="https://dl.acm.org/doi/proceedings/10.1145/2881631" TargetMode="External"/><Relationship Id="rId270" Type="http://schemas.openxmlformats.org/officeDocument/2006/relationships/hyperlink" Target="https://doi.org/10.1002/spe.2835" TargetMode="External"/><Relationship Id="rId65" Type="http://schemas.openxmlformats.org/officeDocument/2006/relationships/hyperlink" Target="https://doi.org/10.1109/CIST.2016.7805060" TargetMode="External"/><Relationship Id="rId130" Type="http://schemas.openxmlformats.org/officeDocument/2006/relationships/hyperlink" Target="https://doi.org/10.1109/ICSEM.2007.373341" TargetMode="External"/><Relationship Id="rId368" Type="http://schemas.openxmlformats.org/officeDocument/2006/relationships/hyperlink" Target="https://dl.acm.org/doi/proceedings/10.1145/2723147" TargetMode="External"/><Relationship Id="rId575" Type="http://schemas.openxmlformats.org/officeDocument/2006/relationships/hyperlink" Target="https://doi.org/10.1016/j.jss.2020.110815" TargetMode="External"/><Relationship Id="rId228" Type="http://schemas.openxmlformats.org/officeDocument/2006/relationships/hyperlink" Target="https://www.sciencedirect.com/science/journal/01676423" TargetMode="External"/><Relationship Id="rId435" Type="http://schemas.openxmlformats.org/officeDocument/2006/relationships/hyperlink" Target="https://dl.acm.org/doi/10.5555/2667691.2667696" TargetMode="External"/><Relationship Id="rId281" Type="http://schemas.openxmlformats.org/officeDocument/2006/relationships/hyperlink" Target="https://doi.org/10.1002/spe.2211" TargetMode="External"/><Relationship Id="rId502" Type="http://schemas.openxmlformats.org/officeDocument/2006/relationships/hyperlink" Target="https://doi.org/10.1504/IJISCM.2015.073097" TargetMode="External"/><Relationship Id="rId76" Type="http://schemas.openxmlformats.org/officeDocument/2006/relationships/hyperlink" Target="https://doi.org/10.1109/CIST.2018.8596542" TargetMode="External"/><Relationship Id="rId141" Type="http://schemas.openxmlformats.org/officeDocument/2006/relationships/hyperlink" Target="https://ieeexplore.ieee.org/xpl/conhome/7763/proceeding" TargetMode="External"/><Relationship Id="rId379" Type="http://schemas.openxmlformats.org/officeDocument/2006/relationships/hyperlink" Target="https://doi.org/10.1145/3106237.3122829" TargetMode="External"/><Relationship Id="rId586" Type="http://schemas.openxmlformats.org/officeDocument/2006/relationships/printerSettings" Target="../printerSettings/printerSettings2.bin"/><Relationship Id="rId7" Type="http://schemas.openxmlformats.org/officeDocument/2006/relationships/hyperlink" Target="https://ieeexplore.ieee.org/xpl/conhome/6982004/proceeding" TargetMode="External"/><Relationship Id="rId239" Type="http://schemas.openxmlformats.org/officeDocument/2006/relationships/hyperlink" Target="https://doi.org/10.1016/j.jss.2010.02.018" TargetMode="External"/><Relationship Id="rId446" Type="http://schemas.openxmlformats.org/officeDocument/2006/relationships/hyperlink" Target="https://dl.acm.org/doi/proceedings/10.1145/1869542" TargetMode="External"/><Relationship Id="rId250" Type="http://schemas.openxmlformats.org/officeDocument/2006/relationships/hyperlink" Target="https://www.sciencedirect.com/science/journal/00457906" TargetMode="External"/><Relationship Id="rId292" Type="http://schemas.openxmlformats.org/officeDocument/2006/relationships/hyperlink" Target="https://link.springer.com/conference/models" TargetMode="External"/><Relationship Id="rId306" Type="http://schemas.openxmlformats.org/officeDocument/2006/relationships/hyperlink" Target="https://link.springer.com/conference/fase" TargetMode="External"/><Relationship Id="rId488" Type="http://schemas.openxmlformats.org/officeDocument/2006/relationships/hyperlink" Target="https://doi.org/10.1145/3417990.3419490" TargetMode="External"/><Relationship Id="rId45" Type="http://schemas.openxmlformats.org/officeDocument/2006/relationships/hyperlink" Target="https://ieeexplore.ieee.org/xpl/RecentIssue.jsp?punumber=32" TargetMode="External"/><Relationship Id="rId87" Type="http://schemas.openxmlformats.org/officeDocument/2006/relationships/hyperlink" Target="https://doi.org/10.1109/TSE.2016.2620145" TargetMode="External"/><Relationship Id="rId110" Type="http://schemas.openxmlformats.org/officeDocument/2006/relationships/hyperlink" Target="https://doi.org/10.1109/ICCES.2009.5383227" TargetMode="External"/><Relationship Id="rId348" Type="http://schemas.openxmlformats.org/officeDocument/2006/relationships/hyperlink" Target="https://link.springer.com/conference/models" TargetMode="External"/><Relationship Id="rId513" Type="http://schemas.openxmlformats.org/officeDocument/2006/relationships/hyperlink" Target="https://doi.org/10.1007/978-3-030-63322-6_27" TargetMode="External"/><Relationship Id="rId555" Type="http://schemas.openxmlformats.org/officeDocument/2006/relationships/hyperlink" Target="https://doi.org/10.1109/ICSE-C.2017.19" TargetMode="External"/><Relationship Id="rId152" Type="http://schemas.openxmlformats.org/officeDocument/2006/relationships/hyperlink" Target="https://doi.org/10.1145/1826147.1826156" TargetMode="External"/><Relationship Id="rId194" Type="http://schemas.openxmlformats.org/officeDocument/2006/relationships/hyperlink" Target="https://doi.org/10.1145/1810295.1810341" TargetMode="External"/><Relationship Id="rId208" Type="http://schemas.openxmlformats.org/officeDocument/2006/relationships/hyperlink" Target="https://dl.acm.org/doi/abs/10.5555/2662737.2662745" TargetMode="External"/><Relationship Id="rId415" Type="http://schemas.openxmlformats.org/officeDocument/2006/relationships/hyperlink" Target="https://doi.org/10.1109/COLCOM.2006.361897" TargetMode="External"/><Relationship Id="rId457" Type="http://schemas.openxmlformats.org/officeDocument/2006/relationships/hyperlink" Target="https://doi.org/10.1109/CBI.2013.62" TargetMode="External"/><Relationship Id="rId261" Type="http://schemas.openxmlformats.org/officeDocument/2006/relationships/hyperlink" Target="https://doi.org/10.1016/j.jvlc.2014.11.006" TargetMode="External"/><Relationship Id="rId499" Type="http://schemas.openxmlformats.org/officeDocument/2006/relationships/hyperlink" Target="https://dl.gi.de/handle/20.500.12116/19700" TargetMode="External"/><Relationship Id="rId14" Type="http://schemas.openxmlformats.org/officeDocument/2006/relationships/hyperlink" Target="https://ieeexplore.ieee.org/xpl/RecentIssue.jsp?punumber=52" TargetMode="External"/><Relationship Id="rId56" Type="http://schemas.openxmlformats.org/officeDocument/2006/relationships/hyperlink" Target="https://ieeexplore.ieee.org/xpl/conhome/8575702/proceeding" TargetMode="External"/><Relationship Id="rId317" Type="http://schemas.openxmlformats.org/officeDocument/2006/relationships/hyperlink" Target="https://doi.org/10.1007/978-3-662-49665-7_7" TargetMode="External"/><Relationship Id="rId359" Type="http://schemas.openxmlformats.org/officeDocument/2006/relationships/hyperlink" Target="https://doi.org/10.1145/2025113.2025139" TargetMode="External"/><Relationship Id="rId524" Type="http://schemas.openxmlformats.org/officeDocument/2006/relationships/hyperlink" Target="https://doi.org/10.1007/s10270-012-0279-3" TargetMode="External"/><Relationship Id="rId566" Type="http://schemas.openxmlformats.org/officeDocument/2006/relationships/hyperlink" Target="https://doi.org/10.1109/ICSSP-ICGSE52873.2021.00017" TargetMode="External"/><Relationship Id="rId98" Type="http://schemas.openxmlformats.org/officeDocument/2006/relationships/hyperlink" Target="https://doi.org/10.1109/COMTECH.2017.8065769" TargetMode="External"/><Relationship Id="rId121" Type="http://schemas.openxmlformats.org/officeDocument/2006/relationships/hyperlink" Target="https://ieeexplore.ieee.org/xpl/conhome/4539516/proceeding" TargetMode="External"/><Relationship Id="rId163" Type="http://schemas.openxmlformats.org/officeDocument/2006/relationships/hyperlink" Target="https://dl.acm.org/doi/proceedings/10.5555/1862739" TargetMode="External"/><Relationship Id="rId219" Type="http://schemas.openxmlformats.org/officeDocument/2006/relationships/hyperlink" Target="https://www.sciencedirect.com/science/journal/01641212" TargetMode="External"/><Relationship Id="rId370" Type="http://schemas.openxmlformats.org/officeDocument/2006/relationships/hyperlink" Target="https://dl.acm.org/doi/proceedings/10.5555/3098344" TargetMode="External"/><Relationship Id="rId426" Type="http://schemas.openxmlformats.org/officeDocument/2006/relationships/hyperlink" Target="https://dl.acm.org/doi/proceedings/10.5555/2008503" TargetMode="External"/><Relationship Id="rId230" Type="http://schemas.openxmlformats.org/officeDocument/2006/relationships/hyperlink" Target="https://www.sciencedirect.com/science/journal/01641212" TargetMode="External"/><Relationship Id="rId468" Type="http://schemas.openxmlformats.org/officeDocument/2006/relationships/hyperlink" Target="https://doi.org/10.1007/s11412-007-9018-0" TargetMode="External"/><Relationship Id="rId25" Type="http://schemas.openxmlformats.org/officeDocument/2006/relationships/hyperlink" Target="https://ieeexplore.ieee.org/xpl/conhome/7158223/proceeding" TargetMode="External"/><Relationship Id="rId67" Type="http://schemas.openxmlformats.org/officeDocument/2006/relationships/hyperlink" Target="https://ieeexplore.ieee.org/xpl/conhome/6823821/proceeding" TargetMode="External"/><Relationship Id="rId272" Type="http://schemas.openxmlformats.org/officeDocument/2006/relationships/hyperlink" Target="https://doi.org/10.1002/smr.1938" TargetMode="External"/><Relationship Id="rId328" Type="http://schemas.openxmlformats.org/officeDocument/2006/relationships/hyperlink" Target="https://doi.org/10.1007/s10270-017-0631-8" TargetMode="External"/><Relationship Id="rId535" Type="http://schemas.openxmlformats.org/officeDocument/2006/relationships/hyperlink" Target="https://www.sciencedirect.com/science/journal/01676423" TargetMode="External"/><Relationship Id="rId577" Type="http://schemas.openxmlformats.org/officeDocument/2006/relationships/hyperlink" Target="https://doi.org/10.1007/s10664-020-09892-x" TargetMode="External"/><Relationship Id="rId132" Type="http://schemas.openxmlformats.org/officeDocument/2006/relationships/hyperlink" Target="https://doi.org/10.1109/FITME.2010.5654698" TargetMode="External"/><Relationship Id="rId174" Type="http://schemas.openxmlformats.org/officeDocument/2006/relationships/hyperlink" Target="https://doi.org/10.1145/3377024.3377047" TargetMode="External"/><Relationship Id="rId381" Type="http://schemas.openxmlformats.org/officeDocument/2006/relationships/hyperlink" Target="https://doi.org/10.1007/s10270-019-00760-x" TargetMode="External"/><Relationship Id="rId241" Type="http://schemas.openxmlformats.org/officeDocument/2006/relationships/hyperlink" Target="https://doi.org/10.1016/j.rcim.2018.05.002" TargetMode="External"/><Relationship Id="rId437" Type="http://schemas.openxmlformats.org/officeDocument/2006/relationships/hyperlink" Target="https://doi.org/10.1145/1012807.1012866" TargetMode="External"/><Relationship Id="rId479" Type="http://schemas.openxmlformats.org/officeDocument/2006/relationships/hyperlink" Target="https://doi.org/10.1016/j.jss.2013.05.045" TargetMode="External"/><Relationship Id="rId36" Type="http://schemas.openxmlformats.org/officeDocument/2006/relationships/hyperlink" Target="https://doi.org/10.1109/ICSM.2006.64" TargetMode="External"/><Relationship Id="rId283" Type="http://schemas.openxmlformats.org/officeDocument/2006/relationships/hyperlink" Target="https://doi.org/10.1007/11787044_12" TargetMode="External"/><Relationship Id="rId339" Type="http://schemas.openxmlformats.org/officeDocument/2006/relationships/hyperlink" Target="https://link.springer.com/conference/fase" TargetMode="External"/><Relationship Id="rId490" Type="http://schemas.openxmlformats.org/officeDocument/2006/relationships/hyperlink" Target="http://citeseerx.ist.psu.edu/viewdoc/download?doi=10.1.1.94.9998&amp;rep=rep1&amp;type=pdf" TargetMode="External"/><Relationship Id="rId504" Type="http://schemas.openxmlformats.org/officeDocument/2006/relationships/hyperlink" Target="https://doi.org/10.1007/11880240_15" TargetMode="External"/><Relationship Id="rId546" Type="http://schemas.openxmlformats.org/officeDocument/2006/relationships/hyperlink" Target="https://doi.org/10.1080/09511920903534321" TargetMode="External"/><Relationship Id="rId78" Type="http://schemas.openxmlformats.org/officeDocument/2006/relationships/hyperlink" Target="https://doi.org/10.1109/WITS.2017.7934626" TargetMode="External"/><Relationship Id="rId101" Type="http://schemas.openxmlformats.org/officeDocument/2006/relationships/hyperlink" Target="https://ieeexplore.ieee.org/xpl/RecentIssue.jsp?punumber=32" TargetMode="External"/><Relationship Id="rId143" Type="http://schemas.openxmlformats.org/officeDocument/2006/relationships/hyperlink" Target="https://dl.acm.org/doi/proceedings/10.1145/2463372" TargetMode="External"/><Relationship Id="rId185" Type="http://schemas.openxmlformats.org/officeDocument/2006/relationships/hyperlink" Target="https://dl.acm.org/doi/proceedings/10.1145/1656485" TargetMode="External"/><Relationship Id="rId350" Type="http://schemas.openxmlformats.org/officeDocument/2006/relationships/hyperlink" Target="https://ieeexplore.ieee.org/xpl/conhome/5196904/proceeding" TargetMode="External"/><Relationship Id="rId406" Type="http://schemas.openxmlformats.org/officeDocument/2006/relationships/hyperlink" Target="https://ieeexplore.ieee.org/xpl/conhome/6573246/proceeding" TargetMode="External"/><Relationship Id="rId9" Type="http://schemas.openxmlformats.org/officeDocument/2006/relationships/hyperlink" Target="https://ieeexplore.ieee.org/xpl/conhome/5062322/proceeding" TargetMode="External"/><Relationship Id="rId210" Type="http://schemas.openxmlformats.org/officeDocument/2006/relationships/hyperlink" Target="https://doi.org/10.1145/3297280.3297454" TargetMode="External"/><Relationship Id="rId392" Type="http://schemas.openxmlformats.org/officeDocument/2006/relationships/hyperlink" Target="https://link.springer.com/conference/models" TargetMode="External"/><Relationship Id="rId448" Type="http://schemas.openxmlformats.org/officeDocument/2006/relationships/hyperlink" Target="https://dl.acm.org/journal/pacmpl" TargetMode="External"/><Relationship Id="rId252" Type="http://schemas.openxmlformats.org/officeDocument/2006/relationships/hyperlink" Target="https://www.sciencedirect.com/science/journal/18770509" TargetMode="External"/><Relationship Id="rId294" Type="http://schemas.openxmlformats.org/officeDocument/2006/relationships/hyperlink" Target="https://link.springer.com/journal/10270" TargetMode="External"/><Relationship Id="rId308" Type="http://schemas.openxmlformats.org/officeDocument/2006/relationships/hyperlink" Target="https://doi.org/10.1007/s10270-019-00722-3" TargetMode="External"/><Relationship Id="rId515" Type="http://schemas.openxmlformats.org/officeDocument/2006/relationships/hyperlink" Target="https://doi.org/10.1145/3426425.3426932" TargetMode="External"/><Relationship Id="rId47" Type="http://schemas.openxmlformats.org/officeDocument/2006/relationships/hyperlink" Target="https://ieeexplore.ieee.org/xpl/conhome/7371449/proceeding" TargetMode="External"/><Relationship Id="rId89" Type="http://schemas.openxmlformats.org/officeDocument/2006/relationships/hyperlink" Target="https://ieeexplore.ieee.org/xpl/conhome/7286699/proceeding" TargetMode="External"/><Relationship Id="rId112" Type="http://schemas.openxmlformats.org/officeDocument/2006/relationships/hyperlink" Target="https://doi.org/10.1109/TENCON.2018.8650378" TargetMode="External"/><Relationship Id="rId154" Type="http://schemas.openxmlformats.org/officeDocument/2006/relationships/hyperlink" Target="https://doi.org/10.1145/1370152.1370157" TargetMode="External"/><Relationship Id="rId361" Type="http://schemas.openxmlformats.org/officeDocument/2006/relationships/hyperlink" Target="https://doi.org/10.1109/BotSE.2019.00016" TargetMode="External"/><Relationship Id="rId557" Type="http://schemas.openxmlformats.org/officeDocument/2006/relationships/hyperlink" Target="https://doi.org/10.1109/ASE.2003.1240290" TargetMode="External"/><Relationship Id="rId196" Type="http://schemas.openxmlformats.org/officeDocument/2006/relationships/hyperlink" Target="https://doi.org/10.1145/2601248.2601292" TargetMode="External"/><Relationship Id="rId417" Type="http://schemas.openxmlformats.org/officeDocument/2006/relationships/hyperlink" Target="https://ieeexplore.ieee.org/xpl/conhome/5159182/proceeding" TargetMode="External"/><Relationship Id="rId459" Type="http://schemas.openxmlformats.org/officeDocument/2006/relationships/hyperlink" Target="https://link.springer.com/book/10.1007/978-3-642-36926-1" TargetMode="External"/><Relationship Id="rId16" Type="http://schemas.openxmlformats.org/officeDocument/2006/relationships/hyperlink" Target="https://doi.org/10.1145/1810295.1810364" TargetMode="External"/><Relationship Id="rId221" Type="http://schemas.openxmlformats.org/officeDocument/2006/relationships/hyperlink" Target="https://doi.org/10.1016/j.scico.2015.07.004" TargetMode="External"/><Relationship Id="rId263" Type="http://schemas.openxmlformats.org/officeDocument/2006/relationships/hyperlink" Target="https://doi.org/10.1016/j.envsoft.2010.03.007" TargetMode="External"/><Relationship Id="rId319" Type="http://schemas.openxmlformats.org/officeDocument/2006/relationships/hyperlink" Target="https://link.springer.com/journal/10270" TargetMode="External"/><Relationship Id="rId470" Type="http://schemas.openxmlformats.org/officeDocument/2006/relationships/hyperlink" Target="https://www.sciencedirect.com/science/journal/10848045" TargetMode="External"/><Relationship Id="rId526" Type="http://schemas.openxmlformats.org/officeDocument/2006/relationships/hyperlink" Target="https://doi.org/10.1007/978-3-642-02674-4_12" TargetMode="External"/><Relationship Id="rId58" Type="http://schemas.openxmlformats.org/officeDocument/2006/relationships/hyperlink" Target="https://doi.org/10.1109/HICSS.2010.363" TargetMode="External"/><Relationship Id="rId123" Type="http://schemas.openxmlformats.org/officeDocument/2006/relationships/hyperlink" Target="https://ieeexplore.ieee.org/xpl/conhome/4812720/proceeding" TargetMode="External"/><Relationship Id="rId330" Type="http://schemas.openxmlformats.org/officeDocument/2006/relationships/hyperlink" Target="https://link.springer.com/conference/fase" TargetMode="External"/><Relationship Id="rId568" Type="http://schemas.openxmlformats.org/officeDocument/2006/relationships/hyperlink" Target="https://doi.org/10.1109/ICSSP-ICGSE52873.2021.00018" TargetMode="External"/><Relationship Id="rId165" Type="http://schemas.openxmlformats.org/officeDocument/2006/relationships/hyperlink" Target="https://dl.acm.org/doi/proceedings/10.1145/1826147" TargetMode="External"/><Relationship Id="rId372" Type="http://schemas.openxmlformats.org/officeDocument/2006/relationships/hyperlink" Target="https://www.sciencedirect.com/science/journal/10848045" TargetMode="External"/><Relationship Id="rId428" Type="http://schemas.openxmlformats.org/officeDocument/2006/relationships/hyperlink" Target="https://dl.acm.org/doi/proceedings/10.5555/1315451" TargetMode="External"/><Relationship Id="rId232" Type="http://schemas.openxmlformats.org/officeDocument/2006/relationships/hyperlink" Target="https://www.sciencedirect.com/science/journal/1045926X" TargetMode="External"/><Relationship Id="rId274" Type="http://schemas.openxmlformats.org/officeDocument/2006/relationships/hyperlink" Target="https://doi.org/10.1002/spe.2171" TargetMode="External"/><Relationship Id="rId481" Type="http://schemas.openxmlformats.org/officeDocument/2006/relationships/hyperlink" Target="https://link.springer.com/conference/fase" TargetMode="External"/><Relationship Id="rId27" Type="http://schemas.openxmlformats.org/officeDocument/2006/relationships/hyperlink" Target="https://ieeexplore.ieee.org/xpl/conhome/5556873/proceeding" TargetMode="External"/><Relationship Id="rId69" Type="http://schemas.openxmlformats.org/officeDocument/2006/relationships/hyperlink" Target="https://ieeexplore.ieee.org/xpl/conhome/8826628/proceeding" TargetMode="External"/><Relationship Id="rId134" Type="http://schemas.openxmlformats.org/officeDocument/2006/relationships/hyperlink" Target="https://doi.org/10.1109/CSCWD.2006.253005" TargetMode="External"/><Relationship Id="rId537" Type="http://schemas.openxmlformats.org/officeDocument/2006/relationships/hyperlink" Target="https://doi.org/10.1007/s11334-011-0155-2" TargetMode="External"/><Relationship Id="rId579" Type="http://schemas.openxmlformats.org/officeDocument/2006/relationships/hyperlink" Target="https://doi.org/10.1007/978-3-319-89363-1_2" TargetMode="External"/><Relationship Id="rId80" Type="http://schemas.openxmlformats.org/officeDocument/2006/relationships/hyperlink" Target="https://doi.org/10.1109/ISSREW.2016.32" TargetMode="External"/><Relationship Id="rId176" Type="http://schemas.openxmlformats.org/officeDocument/2006/relationships/hyperlink" Target="https://doi.org/10.1145/1985793.1985927" TargetMode="External"/><Relationship Id="rId341" Type="http://schemas.openxmlformats.org/officeDocument/2006/relationships/hyperlink" Target="https://link.springer.com/conference/models" TargetMode="External"/><Relationship Id="rId383" Type="http://schemas.openxmlformats.org/officeDocument/2006/relationships/hyperlink" Target="https://link.springer.com/conference/icsr" TargetMode="External"/><Relationship Id="rId439" Type="http://schemas.openxmlformats.org/officeDocument/2006/relationships/hyperlink" Target="https://dl.acm.org/doi/10.5555/1926458.1926495" TargetMode="External"/><Relationship Id="rId201" Type="http://schemas.openxmlformats.org/officeDocument/2006/relationships/hyperlink" Target="https://dl.acm.org/doi/proceedings/10.1145/2684200" TargetMode="External"/><Relationship Id="rId243" Type="http://schemas.openxmlformats.org/officeDocument/2006/relationships/hyperlink" Target="https://doi.org/10.1016/j.scico.2015.02.008" TargetMode="External"/><Relationship Id="rId285" Type="http://schemas.openxmlformats.org/officeDocument/2006/relationships/hyperlink" Target="https://doi.org/10.1007/s10606-012-9172-4" TargetMode="External"/><Relationship Id="rId450" Type="http://schemas.openxmlformats.org/officeDocument/2006/relationships/hyperlink" Target="https://dl.acm.org/doi/proceedings/10.1145/2145204" TargetMode="External"/><Relationship Id="rId506" Type="http://schemas.openxmlformats.org/officeDocument/2006/relationships/hyperlink" Target="https://doi.org/10.1142/S021884301540002X" TargetMode="External"/><Relationship Id="rId38" Type="http://schemas.openxmlformats.org/officeDocument/2006/relationships/hyperlink" Target="https://doi.org/10.1109/KBEI.2017.8324972" TargetMode="External"/><Relationship Id="rId103" Type="http://schemas.openxmlformats.org/officeDocument/2006/relationships/hyperlink" Target="https://ieeexplore.ieee.org/xpl/RecentIssue.jsp?punumber=6221021" TargetMode="External"/><Relationship Id="rId310" Type="http://schemas.openxmlformats.org/officeDocument/2006/relationships/hyperlink" Target="https://link.springer.com/conference/models" TargetMode="External"/><Relationship Id="rId492" Type="http://schemas.openxmlformats.org/officeDocument/2006/relationships/hyperlink" Target="https://pi.informatik.uni-siegen.de/CVSM2014/cvsm2014_submission_4.pdf" TargetMode="External"/><Relationship Id="rId548" Type="http://schemas.openxmlformats.org/officeDocument/2006/relationships/hyperlink" Target="https://10.0.4.85/ICInfA.2016.7831989" TargetMode="External"/><Relationship Id="rId91" Type="http://schemas.openxmlformats.org/officeDocument/2006/relationships/hyperlink" Target="https://ieeexplore.ieee.org/xpl/conhome/4534677/proceeding" TargetMode="External"/><Relationship Id="rId145" Type="http://schemas.openxmlformats.org/officeDocument/2006/relationships/hyperlink" Target="https://dl.acm.org/doi/proceedings/10.1145/2245276" TargetMode="External"/><Relationship Id="rId187" Type="http://schemas.openxmlformats.org/officeDocument/2006/relationships/hyperlink" Target="https://dl.acm.org/doi/proceedings/10.1145/3168365" TargetMode="External"/><Relationship Id="rId352" Type="http://schemas.openxmlformats.org/officeDocument/2006/relationships/hyperlink" Target="https://ieeexplore.ieee.org/xpl/conhome/7763/proceeding" TargetMode="External"/><Relationship Id="rId394" Type="http://schemas.openxmlformats.org/officeDocument/2006/relationships/hyperlink" Target="https://ieeexplore.ieee.org/document/7323073" TargetMode="External"/><Relationship Id="rId408" Type="http://schemas.openxmlformats.org/officeDocument/2006/relationships/hyperlink" Target="https://ieeexplore.ieee.org/xpl/conhome/7008823/proceeding" TargetMode="External"/><Relationship Id="rId212" Type="http://schemas.openxmlformats.org/officeDocument/2006/relationships/hyperlink" Target="https://doi.org/10.1145/3127404.3127462" TargetMode="External"/><Relationship Id="rId254" Type="http://schemas.openxmlformats.org/officeDocument/2006/relationships/hyperlink" Target="https://www.sciencedirect.com/science/journal/14740346" TargetMode="External"/><Relationship Id="rId49" Type="http://schemas.openxmlformats.org/officeDocument/2006/relationships/hyperlink" Target="https://ieeexplore.ieee.org/xpl/conhome/7307714/proceeding" TargetMode="External"/><Relationship Id="rId114" Type="http://schemas.openxmlformats.org/officeDocument/2006/relationships/hyperlink" Target="https://doi.org/10.1109/COASE.2018.8560537" TargetMode="External"/><Relationship Id="rId296" Type="http://schemas.openxmlformats.org/officeDocument/2006/relationships/hyperlink" Target="https://link.springer.com/journal/10270" TargetMode="External"/><Relationship Id="rId461" Type="http://schemas.openxmlformats.org/officeDocument/2006/relationships/hyperlink" Target="https://doi.org/10.1145/2507065.2507067" TargetMode="External"/><Relationship Id="rId517" Type="http://schemas.openxmlformats.org/officeDocument/2006/relationships/hyperlink" Target="https://doi.org/10.1145/3382025.3414969" TargetMode="External"/><Relationship Id="rId559" Type="http://schemas.openxmlformats.org/officeDocument/2006/relationships/hyperlink" Target="https://doi.org/10.1109/ICSE.2001.919114" TargetMode="External"/><Relationship Id="rId60" Type="http://schemas.openxmlformats.org/officeDocument/2006/relationships/hyperlink" Target="https://doi.org/10.1109/APSEC.2011.24" TargetMode="External"/><Relationship Id="rId156" Type="http://schemas.openxmlformats.org/officeDocument/2006/relationships/hyperlink" Target="https://doi.org/10.1145/1826147.1826155" TargetMode="External"/><Relationship Id="rId198" Type="http://schemas.openxmlformats.org/officeDocument/2006/relationships/hyperlink" Target="https://doi.org/10.1145/3167132.3167425" TargetMode="External"/><Relationship Id="rId321" Type="http://schemas.openxmlformats.org/officeDocument/2006/relationships/hyperlink" Target="https://link.springer.com/conference/models" TargetMode="External"/><Relationship Id="rId363" Type="http://schemas.openxmlformats.org/officeDocument/2006/relationships/hyperlink" Target="https://doi.org/10.1145/1529282.1529563" TargetMode="External"/><Relationship Id="rId419" Type="http://schemas.openxmlformats.org/officeDocument/2006/relationships/hyperlink" Target="https://doi.org/10.1109/ICGSE.2011.18" TargetMode="External"/><Relationship Id="rId570" Type="http://schemas.openxmlformats.org/officeDocument/2006/relationships/hyperlink" Target="https://doi.org/10.1109/EDOCW49879.2020.00014" TargetMode="External"/><Relationship Id="rId223" Type="http://schemas.openxmlformats.org/officeDocument/2006/relationships/hyperlink" Target="https://doi.org/10.1016/j.jss.2015.06.044" TargetMode="External"/><Relationship Id="rId430" Type="http://schemas.openxmlformats.org/officeDocument/2006/relationships/hyperlink" Target="https://dl.acm.org/doi/proceedings/10.1145/1363686" TargetMode="External"/><Relationship Id="rId18" Type="http://schemas.openxmlformats.org/officeDocument/2006/relationships/hyperlink" Target="https://doi.org/10.1109/WICSA.2014.31" TargetMode="External"/><Relationship Id="rId265" Type="http://schemas.openxmlformats.org/officeDocument/2006/relationships/hyperlink" Target="https://doi.org/10.1016/j.tcs.2008.03.010" TargetMode="External"/><Relationship Id="rId472" Type="http://schemas.openxmlformats.org/officeDocument/2006/relationships/hyperlink" Target="https://www.sciencedirect.com/science/journal/01676423" TargetMode="External"/><Relationship Id="rId528" Type="http://schemas.openxmlformats.org/officeDocument/2006/relationships/hyperlink" Target="https://link-springer-com.ins2i.bib.cnrs.fr/chapter/10.1007/978-3-319-75396-6_3" TargetMode="External"/><Relationship Id="rId125" Type="http://schemas.openxmlformats.org/officeDocument/2006/relationships/hyperlink" Target="https://ieeexplore.ieee.org/xpl/conhome/4019031/proceeding" TargetMode="External"/><Relationship Id="rId167" Type="http://schemas.openxmlformats.org/officeDocument/2006/relationships/hyperlink" Target="https://dl.acm.org/doi/proceedings/10.5555/2492708" TargetMode="External"/><Relationship Id="rId332" Type="http://schemas.openxmlformats.org/officeDocument/2006/relationships/hyperlink" Target="https://link.springer.com/conference/fase" TargetMode="External"/><Relationship Id="rId374" Type="http://schemas.openxmlformats.org/officeDocument/2006/relationships/hyperlink" Target="https://www.sciencedirect.com/science/journal/09505849" TargetMode="External"/><Relationship Id="rId581" Type="http://schemas.openxmlformats.org/officeDocument/2006/relationships/hyperlink" Target="https://doi.org/10.1145/3191697.3191715" TargetMode="External"/><Relationship Id="rId71" Type="http://schemas.openxmlformats.org/officeDocument/2006/relationships/hyperlink" Target="https://ieeexplore.ieee.org/xpl/conhome/4539516/proceeding" TargetMode="External"/><Relationship Id="rId234" Type="http://schemas.openxmlformats.org/officeDocument/2006/relationships/hyperlink" Target="https://www.sciencedirect.com/science/journal/23522208" TargetMode="External"/><Relationship Id="rId2" Type="http://schemas.openxmlformats.org/officeDocument/2006/relationships/hyperlink" Target="https://doi.org/10.1109/ICCCI.2012.6158834" TargetMode="External"/><Relationship Id="rId29" Type="http://schemas.openxmlformats.org/officeDocument/2006/relationships/hyperlink" Target="https://ieeexplore.ieee.org/xpl/conhome/5628338/proceeding" TargetMode="External"/><Relationship Id="rId276" Type="http://schemas.openxmlformats.org/officeDocument/2006/relationships/hyperlink" Target="https://doi.org/10.1002/scj.10016" TargetMode="External"/><Relationship Id="rId441" Type="http://schemas.openxmlformats.org/officeDocument/2006/relationships/hyperlink" Target="https://doi.org/10.1145/2461912.2461942" TargetMode="External"/><Relationship Id="rId483" Type="http://schemas.openxmlformats.org/officeDocument/2006/relationships/hyperlink" Target="https://link.springer.com/conference/bpm" TargetMode="External"/><Relationship Id="rId539" Type="http://schemas.openxmlformats.org/officeDocument/2006/relationships/hyperlink" Target="https://doi.org/10.1109/RE.2005.8" TargetMode="External"/><Relationship Id="rId40" Type="http://schemas.openxmlformats.org/officeDocument/2006/relationships/hyperlink" Target="https://doi.org/10.1109/TASE.2009.34" TargetMode="External"/><Relationship Id="rId136" Type="http://schemas.openxmlformats.org/officeDocument/2006/relationships/hyperlink" Target="https://doi.org/10.1109/ICM2CS.2009.5397941" TargetMode="External"/><Relationship Id="rId178" Type="http://schemas.openxmlformats.org/officeDocument/2006/relationships/hyperlink" Target="https://doi.org/10.1145/2523599.2523608" TargetMode="External"/><Relationship Id="rId301" Type="http://schemas.openxmlformats.org/officeDocument/2006/relationships/hyperlink" Target="https://doi.org/10.1007/978-3-642-38209-3_1" TargetMode="External"/><Relationship Id="rId343" Type="http://schemas.openxmlformats.org/officeDocument/2006/relationships/hyperlink" Target="https://link.springer.com/conference/fmoods" TargetMode="External"/><Relationship Id="rId550" Type="http://schemas.openxmlformats.org/officeDocument/2006/relationships/hyperlink" Target="https://doi.org/10.1007/978-3-319-61482-3_10" TargetMode="External"/><Relationship Id="rId82" Type="http://schemas.openxmlformats.org/officeDocument/2006/relationships/hyperlink" Target="https://doi.org/10.1109/COMPSAC.2012.36" TargetMode="External"/><Relationship Id="rId203" Type="http://schemas.openxmlformats.org/officeDocument/2006/relationships/hyperlink" Target="https://dl.acm.org/doi/proceedings/10.1145/1810295" TargetMode="External"/><Relationship Id="rId385" Type="http://schemas.openxmlformats.org/officeDocument/2006/relationships/hyperlink" Target="https://doi.org/10.1007/s00766-017-0271-0" TargetMode="External"/><Relationship Id="rId245" Type="http://schemas.openxmlformats.org/officeDocument/2006/relationships/hyperlink" Target="https://doi.org/10.1016/j.entcs.2006.06.013" TargetMode="External"/><Relationship Id="rId287" Type="http://schemas.openxmlformats.org/officeDocument/2006/relationships/hyperlink" Target="https://doi.org/10.1007/978-3-642-30982-3_10" TargetMode="External"/><Relationship Id="rId410" Type="http://schemas.openxmlformats.org/officeDocument/2006/relationships/hyperlink" Target="https://ieeexplore.ieee.org/xpl/conhome/7929837/proceeding" TargetMode="External"/><Relationship Id="rId452" Type="http://schemas.openxmlformats.org/officeDocument/2006/relationships/hyperlink" Target="https://ieeexplore.ieee.org/xpl/conhome/4755313/proceeding" TargetMode="External"/><Relationship Id="rId494" Type="http://schemas.openxmlformats.org/officeDocument/2006/relationships/hyperlink" Target="http://www.jot.fm/contents/issue_2012_10/article2.html" TargetMode="External"/><Relationship Id="rId508" Type="http://schemas.openxmlformats.org/officeDocument/2006/relationships/hyperlink" Target="https://doi.org/10.1145/1370152.1370159" TargetMode="External"/><Relationship Id="rId105" Type="http://schemas.openxmlformats.org/officeDocument/2006/relationships/hyperlink" Target="https://ieeexplore.ieee.org/xpl/RecentIssue.jsp?punumber=2" TargetMode="External"/><Relationship Id="rId147" Type="http://schemas.openxmlformats.org/officeDocument/2006/relationships/hyperlink" Target="https://dl.acm.org/doi/proceedings/10.5555/3344096" TargetMode="External"/><Relationship Id="rId312" Type="http://schemas.openxmlformats.org/officeDocument/2006/relationships/hyperlink" Target="https://link.springer.com/journal/10257" TargetMode="External"/><Relationship Id="rId354" Type="http://schemas.openxmlformats.org/officeDocument/2006/relationships/hyperlink" Target="https://ieeexplore.ieee.org/xpl/conhome/7939108/proceeding" TargetMode="External"/><Relationship Id="rId51" Type="http://schemas.openxmlformats.org/officeDocument/2006/relationships/hyperlink" Target="https://ieeexplore.ieee.org/xpl/RecentIssue.jsp?punumber=3468" TargetMode="External"/><Relationship Id="rId93" Type="http://schemas.openxmlformats.org/officeDocument/2006/relationships/hyperlink" Target="https://ieeexplore.ieee.org/xpl/conhome/6683943/proceeding" TargetMode="External"/><Relationship Id="rId189" Type="http://schemas.openxmlformats.org/officeDocument/2006/relationships/hyperlink" Target="https://dl.acm.org/doi/proceedings/10.1145/1866272" TargetMode="External"/><Relationship Id="rId396" Type="http://schemas.openxmlformats.org/officeDocument/2006/relationships/hyperlink" Target="https://doi.org/10.1145/3380625.3380643" TargetMode="External"/><Relationship Id="rId561" Type="http://schemas.openxmlformats.org/officeDocument/2006/relationships/hyperlink" Target="https://doi.org/10.1007/3-540-48166-4_25" TargetMode="External"/><Relationship Id="rId214" Type="http://schemas.openxmlformats.org/officeDocument/2006/relationships/hyperlink" Target="https://doi.org/10.1145/1869542.1869594" TargetMode="External"/><Relationship Id="rId256" Type="http://schemas.openxmlformats.org/officeDocument/2006/relationships/hyperlink" Target="https://www-sciencedirect-com.ins2i.bib.cnrs.fr/science/journal/13675788" TargetMode="External"/><Relationship Id="rId298" Type="http://schemas.openxmlformats.org/officeDocument/2006/relationships/hyperlink" Target="https://link.springer.com/conference/models" TargetMode="External"/><Relationship Id="rId421" Type="http://schemas.openxmlformats.org/officeDocument/2006/relationships/hyperlink" Target="https://doi.org/10.1109/MS.2018.290101728" TargetMode="External"/><Relationship Id="rId463" Type="http://schemas.openxmlformats.org/officeDocument/2006/relationships/hyperlink" Target="https://doi.org/10.1109/ICGSE.2006.261227" TargetMode="External"/><Relationship Id="rId519" Type="http://schemas.openxmlformats.org/officeDocument/2006/relationships/hyperlink" Target="https://www.insticc.org/node/TechnicalProgram/enase/2020/presentationDetails/93461" TargetMode="External"/><Relationship Id="rId116" Type="http://schemas.openxmlformats.org/officeDocument/2006/relationships/hyperlink" Target="https://doi.org/10.1109/KBEI.2015.7436156" TargetMode="External"/><Relationship Id="rId158" Type="http://schemas.openxmlformats.org/officeDocument/2006/relationships/hyperlink" Target="https://doi.org/10.1145/1826147.1826151" TargetMode="External"/><Relationship Id="rId323" Type="http://schemas.openxmlformats.org/officeDocument/2006/relationships/hyperlink" Target="https://link.springer.com/conference/modelsward" TargetMode="External"/><Relationship Id="rId530" Type="http://schemas.openxmlformats.org/officeDocument/2006/relationships/hyperlink" Target="https://doi.org/10.1145/2814251.2814263" TargetMode="External"/><Relationship Id="rId20" Type="http://schemas.openxmlformats.org/officeDocument/2006/relationships/hyperlink" Target="https://doi.org/10.1109/EDOCW.2013.34" TargetMode="External"/><Relationship Id="rId62" Type="http://schemas.openxmlformats.org/officeDocument/2006/relationships/hyperlink" Target="https://doi.org/10.1145/1985793.1986005" TargetMode="External"/><Relationship Id="rId365" Type="http://schemas.openxmlformats.org/officeDocument/2006/relationships/hyperlink" Target="https://doi.org/10.1109/ASE.2019.00097" TargetMode="External"/><Relationship Id="rId572" Type="http://schemas.openxmlformats.org/officeDocument/2006/relationships/hyperlink" Target="https://doi.org/10.1145/3449639.3459283" TargetMode="External"/><Relationship Id="rId225" Type="http://schemas.openxmlformats.org/officeDocument/2006/relationships/hyperlink" Target="https://doi.org/10.1016/j.jss.2019.03.060" TargetMode="External"/><Relationship Id="rId267" Type="http://schemas.openxmlformats.org/officeDocument/2006/relationships/hyperlink" Target="https://doi.org/10.1016/j.eswa.2006.07.004" TargetMode="External"/><Relationship Id="rId432" Type="http://schemas.openxmlformats.org/officeDocument/2006/relationships/hyperlink" Target="https://dl.acm.org/doi/proceedings/10.5555/1357910" TargetMode="External"/><Relationship Id="rId474" Type="http://schemas.openxmlformats.org/officeDocument/2006/relationships/hyperlink" Target="https://doi.org/10.1016/j.aei.2006.05.006" TargetMode="External"/><Relationship Id="rId127" Type="http://schemas.openxmlformats.org/officeDocument/2006/relationships/hyperlink" Target="https://ieeexplore.ieee.org/xpl/conhome/4653773/proceeding" TargetMode="External"/><Relationship Id="rId31" Type="http://schemas.openxmlformats.org/officeDocument/2006/relationships/hyperlink" Target="https://ieeexplore.ieee.org/xpl/conhome/5716643/proceeding" TargetMode="External"/><Relationship Id="rId73" Type="http://schemas.openxmlformats.org/officeDocument/2006/relationships/hyperlink" Target="https://ieeexplore.ieee.org/xpl/conhome/7112393/proceeding" TargetMode="External"/><Relationship Id="rId169" Type="http://schemas.openxmlformats.org/officeDocument/2006/relationships/hyperlink" Target="https://dl.acm.org/doi/proceedings/10.1145/2491279" TargetMode="External"/><Relationship Id="rId334" Type="http://schemas.openxmlformats.org/officeDocument/2006/relationships/hyperlink" Target="https://link.springer.com/conference/sle" TargetMode="External"/><Relationship Id="rId376" Type="http://schemas.openxmlformats.org/officeDocument/2006/relationships/hyperlink" Target="https://www.sciencedirect.com/science/journal/18770509" TargetMode="External"/><Relationship Id="rId541" Type="http://schemas.openxmlformats.org/officeDocument/2006/relationships/hyperlink" Target="https://doi.org/10.5220/0001710203600367" TargetMode="External"/><Relationship Id="rId583" Type="http://schemas.openxmlformats.org/officeDocument/2006/relationships/hyperlink" Target="https://ieeexplore.ieee.org/document/7582786" TargetMode="External"/><Relationship Id="rId4" Type="http://schemas.openxmlformats.org/officeDocument/2006/relationships/hyperlink" Target="https://ieeexplore.ieee.org/document/7018448" TargetMode="External"/><Relationship Id="rId180" Type="http://schemas.openxmlformats.org/officeDocument/2006/relationships/hyperlink" Target="https://doi.org/10.1145/2110147.2110158" TargetMode="External"/><Relationship Id="rId236" Type="http://schemas.openxmlformats.org/officeDocument/2006/relationships/hyperlink" Target="https://www.sciencedirect.com/science/journal/13837621" TargetMode="External"/><Relationship Id="rId278" Type="http://schemas.openxmlformats.org/officeDocument/2006/relationships/hyperlink" Target="https://doi.org/10.1002/sres.2106" TargetMode="External"/><Relationship Id="rId401" Type="http://schemas.openxmlformats.org/officeDocument/2006/relationships/hyperlink" Target="https://doi.org/10.1109/ICECCS.2013.32" TargetMode="External"/><Relationship Id="rId443" Type="http://schemas.openxmlformats.org/officeDocument/2006/relationships/hyperlink" Target="https://doi.org/10.1145/1244002.1244227" TargetMode="External"/><Relationship Id="rId303" Type="http://schemas.openxmlformats.org/officeDocument/2006/relationships/hyperlink" Target="https://doi.org/10.1007/s10270-020-00776-8" TargetMode="External"/><Relationship Id="rId485" Type="http://schemas.openxmlformats.org/officeDocument/2006/relationships/hyperlink" Target="https://doi.org/10.1007/978-3-319-74730-9_3" TargetMode="External"/><Relationship Id="rId42" Type="http://schemas.openxmlformats.org/officeDocument/2006/relationships/hyperlink" Target="https://doi.org/10.1109/ASWEC.2005.29" TargetMode="External"/><Relationship Id="rId84" Type="http://schemas.openxmlformats.org/officeDocument/2006/relationships/hyperlink" Target="https://doi.org/10.1109/IEEM44572.2019.8978930" TargetMode="External"/><Relationship Id="rId138" Type="http://schemas.openxmlformats.org/officeDocument/2006/relationships/hyperlink" Target="https://doi.org/10.1109/DEPCOS-RELCOMEX.2007.11" TargetMode="External"/><Relationship Id="rId345" Type="http://schemas.openxmlformats.org/officeDocument/2006/relationships/hyperlink" Target="https://link.springer.com/conference/dais" TargetMode="External"/><Relationship Id="rId387" Type="http://schemas.openxmlformats.org/officeDocument/2006/relationships/hyperlink" Target="https://link.springer.com/journal/10664" TargetMode="External"/><Relationship Id="rId510" Type="http://schemas.openxmlformats.org/officeDocument/2006/relationships/hyperlink" Target="https://doi.org/10.1007/978-3-642-28872-2_13" TargetMode="External"/><Relationship Id="rId552" Type="http://schemas.openxmlformats.org/officeDocument/2006/relationships/hyperlink" Target="https://doi.org/10.1109/RE.2007.18" TargetMode="External"/><Relationship Id="rId191" Type="http://schemas.openxmlformats.org/officeDocument/2006/relationships/hyperlink" Target="https://dl.acm.org/doi/proceedings/10.1145/3344948" TargetMode="External"/><Relationship Id="rId205" Type="http://schemas.openxmlformats.org/officeDocument/2006/relationships/hyperlink" Target="https://dl.acm.org/doi/proceedings/10.1145/2019136" TargetMode="External"/><Relationship Id="rId247" Type="http://schemas.openxmlformats.org/officeDocument/2006/relationships/hyperlink" Target="https://doi.org/10.1016/j.is.2017.07.008" TargetMode="External"/><Relationship Id="rId412" Type="http://schemas.openxmlformats.org/officeDocument/2006/relationships/hyperlink" Target="https://ieeexplore.ieee.org/xpl/conhome/8892449/proceeding" TargetMode="External"/><Relationship Id="rId107" Type="http://schemas.openxmlformats.org/officeDocument/2006/relationships/hyperlink" Target="https://ieeexplore.ieee.org/xpl/conhome/8932374/proceeding" TargetMode="External"/><Relationship Id="rId289" Type="http://schemas.openxmlformats.org/officeDocument/2006/relationships/hyperlink" Target="https://doi.org/10.1007/978-3-642-21470-7_23" TargetMode="External"/><Relationship Id="rId454" Type="http://schemas.openxmlformats.org/officeDocument/2006/relationships/hyperlink" Target="https://ieeexplore.ieee.org/xpl/conhome/7174815/proceeding" TargetMode="External"/><Relationship Id="rId496" Type="http://schemas.openxmlformats.org/officeDocument/2006/relationships/hyperlink" Target="https://doi.org/10.1145/1134285.1134339" TargetMode="External"/><Relationship Id="rId11" Type="http://schemas.openxmlformats.org/officeDocument/2006/relationships/hyperlink" Target="https://ieeexplore.ieee.org/xpl/conhome/4708920/proceeding" TargetMode="External"/><Relationship Id="rId53" Type="http://schemas.openxmlformats.org/officeDocument/2006/relationships/hyperlink" Target="https://ieeexplore.ieee.org/xpl/conhome/5062322/proceeding" TargetMode="External"/><Relationship Id="rId149" Type="http://schemas.openxmlformats.org/officeDocument/2006/relationships/hyperlink" Target="https://dl.acm.org/doi/proceedings/10.1145/3330204" TargetMode="External"/><Relationship Id="rId314" Type="http://schemas.openxmlformats.org/officeDocument/2006/relationships/hyperlink" Target="https://link.springer.com/conference/himi" TargetMode="External"/><Relationship Id="rId356" Type="http://schemas.openxmlformats.org/officeDocument/2006/relationships/hyperlink" Target="https://ieeexplore.ieee.org/xpl/conhome/6601074/proceeding" TargetMode="External"/><Relationship Id="rId398" Type="http://schemas.openxmlformats.org/officeDocument/2006/relationships/hyperlink" Target="https://ieeexplore.ieee.org/xpl/conhome/5339384/proceeding" TargetMode="External"/><Relationship Id="rId521" Type="http://schemas.openxmlformats.org/officeDocument/2006/relationships/hyperlink" Target="https://doi.org/10.1007/978-3-319-61482-3_12" TargetMode="External"/><Relationship Id="rId563" Type="http://schemas.openxmlformats.org/officeDocument/2006/relationships/hyperlink" Target="https://doi.org/10.1049/sej.1996.0004" TargetMode="External"/><Relationship Id="rId95" Type="http://schemas.openxmlformats.org/officeDocument/2006/relationships/hyperlink" Target="https://ieeexplore.ieee.org/xpl/conhome/4019543/proceeding" TargetMode="External"/><Relationship Id="rId160" Type="http://schemas.openxmlformats.org/officeDocument/2006/relationships/hyperlink" Target="https://doi.org/10.1145/1368088.1368158" TargetMode="External"/><Relationship Id="rId216" Type="http://schemas.openxmlformats.org/officeDocument/2006/relationships/hyperlink" Target="https://doi.org/10.1145/1639950.1639991" TargetMode="External"/><Relationship Id="rId423" Type="http://schemas.openxmlformats.org/officeDocument/2006/relationships/hyperlink" Target="https://doi.org/10.1145/1869542.1869547" TargetMode="External"/><Relationship Id="rId258" Type="http://schemas.openxmlformats.org/officeDocument/2006/relationships/hyperlink" Target="https://www.sciencedirect.com/science/journal/07365845" TargetMode="External"/><Relationship Id="rId465" Type="http://schemas.openxmlformats.org/officeDocument/2006/relationships/hyperlink" Target="https://link.springer.com/journal/12204" TargetMode="External"/><Relationship Id="rId22" Type="http://schemas.openxmlformats.org/officeDocument/2006/relationships/hyperlink" Target="https://doi.org/10.1109/VLHCC.2018.8506512" TargetMode="External"/><Relationship Id="rId64" Type="http://schemas.openxmlformats.org/officeDocument/2006/relationships/hyperlink" Target="https://doi.org/10.1145/2351676.2351707" TargetMode="External"/><Relationship Id="rId118" Type="http://schemas.openxmlformats.org/officeDocument/2006/relationships/hyperlink" Target="https://doi.org/10.1109/ICSM.2003.1235428" TargetMode="External"/><Relationship Id="rId325" Type="http://schemas.openxmlformats.org/officeDocument/2006/relationships/hyperlink" Target="https://link.springer.com/conference/sam" TargetMode="External"/><Relationship Id="rId367" Type="http://schemas.openxmlformats.org/officeDocument/2006/relationships/hyperlink" Target="https://doi.org/10.1145/2818048.2819950" TargetMode="External"/><Relationship Id="rId532" Type="http://schemas.openxmlformats.org/officeDocument/2006/relationships/hyperlink" Target="https://doi.org/10.1145/2970276.2970304" TargetMode="External"/><Relationship Id="rId574" Type="http://schemas.openxmlformats.org/officeDocument/2006/relationships/hyperlink" Target="https://doi.org/10.1016/j.sysarc.2020.101911" TargetMode="External"/><Relationship Id="rId171" Type="http://schemas.openxmlformats.org/officeDocument/2006/relationships/hyperlink" Target="https://dl.acm.org/doi/proceedings/10.1145/1595696" TargetMode="External"/><Relationship Id="rId227" Type="http://schemas.openxmlformats.org/officeDocument/2006/relationships/hyperlink" Target="https://doi.org/10.1016/j.knosys.2008.12.001" TargetMode="External"/><Relationship Id="rId269" Type="http://schemas.openxmlformats.org/officeDocument/2006/relationships/hyperlink" Target="https://doi.org/10.1002/spip.199" TargetMode="External"/><Relationship Id="rId434" Type="http://schemas.openxmlformats.org/officeDocument/2006/relationships/hyperlink" Target="https://dl.acm.org/doi/proceedings/10.5555/2667691" TargetMode="External"/><Relationship Id="rId476" Type="http://schemas.openxmlformats.org/officeDocument/2006/relationships/hyperlink" Target="https://www.sciencedirect.com/science/journal/01663615" TargetMode="External"/><Relationship Id="rId33" Type="http://schemas.openxmlformats.org/officeDocument/2006/relationships/hyperlink" Target="https://ieeexplore.ieee.org/xpl/conhome/6684409/proceeding" TargetMode="External"/><Relationship Id="rId129" Type="http://schemas.openxmlformats.org/officeDocument/2006/relationships/hyperlink" Target="https://ieeexplore.ieee.org/xpl/conhome/4243704/proceeding" TargetMode="External"/><Relationship Id="rId280" Type="http://schemas.openxmlformats.org/officeDocument/2006/relationships/hyperlink" Target="https://doi.org/10.1002/cpe.3445" TargetMode="External"/><Relationship Id="rId336" Type="http://schemas.openxmlformats.org/officeDocument/2006/relationships/hyperlink" Target="https://link.springer.com/conference/fase" TargetMode="External"/><Relationship Id="rId501" Type="http://schemas.openxmlformats.org/officeDocument/2006/relationships/hyperlink" Target="https://doi.org/10.1145/505151.505152" TargetMode="External"/><Relationship Id="rId543" Type="http://schemas.openxmlformats.org/officeDocument/2006/relationships/hyperlink" Target="https://doi.org/10.1007/978-3-642-02050-6_8" TargetMode="External"/><Relationship Id="rId75" Type="http://schemas.openxmlformats.org/officeDocument/2006/relationships/hyperlink" Target="https://ieeexplore.ieee.org/xpl/conhome/8575702/proceeding" TargetMode="External"/><Relationship Id="rId140" Type="http://schemas.openxmlformats.org/officeDocument/2006/relationships/hyperlink" Target="https://doi.org/10.1109/TSE.2006.48" TargetMode="External"/><Relationship Id="rId182" Type="http://schemas.openxmlformats.org/officeDocument/2006/relationships/hyperlink" Target="https://doi.org/10.1145/2110147.2110157" TargetMode="External"/><Relationship Id="rId378" Type="http://schemas.openxmlformats.org/officeDocument/2006/relationships/hyperlink" Target="https://dl.acm.org/doi/proceedings/10.1145/3106237" TargetMode="External"/><Relationship Id="rId403" Type="http://schemas.openxmlformats.org/officeDocument/2006/relationships/hyperlink" Target="https://doi.org/10.1109/MISE.2007.4" TargetMode="External"/><Relationship Id="rId585" Type="http://schemas.openxmlformats.org/officeDocument/2006/relationships/hyperlink" Target="https://doi.org/10.1109/MODELS-C.2019.00098" TargetMode="External"/><Relationship Id="rId6" Type="http://schemas.openxmlformats.org/officeDocument/2006/relationships/hyperlink" Target="https://ieeexplore.ieee.org/xpl/conhome/7510515/proceeding" TargetMode="External"/><Relationship Id="rId238" Type="http://schemas.openxmlformats.org/officeDocument/2006/relationships/hyperlink" Target="https://www.sciencedirect.com/science/journal/01641212" TargetMode="External"/><Relationship Id="rId445" Type="http://schemas.openxmlformats.org/officeDocument/2006/relationships/hyperlink" Target="https://doi.org/10.1145/1141277.1141703" TargetMode="External"/><Relationship Id="rId487" Type="http://schemas.openxmlformats.org/officeDocument/2006/relationships/hyperlink" Target="https://doi.org/10.1145/3419804.3421447" TargetMode="External"/><Relationship Id="rId291" Type="http://schemas.openxmlformats.org/officeDocument/2006/relationships/hyperlink" Target="https://link.springer.com/conference/gttse" TargetMode="External"/><Relationship Id="rId305" Type="http://schemas.openxmlformats.org/officeDocument/2006/relationships/hyperlink" Target="https://doi.org/10.1007/978-3-540-87875-9_23" TargetMode="External"/><Relationship Id="rId347" Type="http://schemas.openxmlformats.org/officeDocument/2006/relationships/hyperlink" Target="https://link.springer.com/book/10.1007/978-3-642-36654-3" TargetMode="External"/><Relationship Id="rId512" Type="http://schemas.openxmlformats.org/officeDocument/2006/relationships/hyperlink" Target="https://dl.acm.org/doi/abs/10.1145/3419804.3420271" TargetMode="External"/><Relationship Id="rId44" Type="http://schemas.openxmlformats.org/officeDocument/2006/relationships/hyperlink" Target="https://doi.org/10.1109/RE.2005.35" TargetMode="External"/><Relationship Id="rId86" Type="http://schemas.openxmlformats.org/officeDocument/2006/relationships/hyperlink" Target="https://doi.org/10.1109/ASE.2009.57" TargetMode="External"/><Relationship Id="rId151" Type="http://schemas.openxmlformats.org/officeDocument/2006/relationships/hyperlink" Target="https://dl.acm.org/doi/proceedings/10.1145/1826147" TargetMode="External"/><Relationship Id="rId389" Type="http://schemas.openxmlformats.org/officeDocument/2006/relationships/hyperlink" Target="https://doi.org/10.1109/ICSM.2012.6405274" TargetMode="External"/><Relationship Id="rId554" Type="http://schemas.openxmlformats.org/officeDocument/2006/relationships/hyperlink" Target="http://ceur-ws.org/Vol-661/paper6.pdf" TargetMode="External"/><Relationship Id="rId193" Type="http://schemas.openxmlformats.org/officeDocument/2006/relationships/hyperlink" Target="https://dl.acm.org/doi/proceedings/10.1145/1810295" TargetMode="External"/><Relationship Id="rId207" Type="http://schemas.openxmlformats.org/officeDocument/2006/relationships/hyperlink" Target="https://dl.acm.org/doi/proceedings/10.5555/2662737" TargetMode="External"/><Relationship Id="rId249" Type="http://schemas.openxmlformats.org/officeDocument/2006/relationships/hyperlink" Target="https://doi.org/10.1016/j.aei.2014.07.005" TargetMode="External"/><Relationship Id="rId414" Type="http://schemas.openxmlformats.org/officeDocument/2006/relationships/hyperlink" Target="https://ieeexplore.ieee.org/xpl/conhome/4207500/proceeding" TargetMode="External"/><Relationship Id="rId456" Type="http://schemas.openxmlformats.org/officeDocument/2006/relationships/hyperlink" Target="https://ieeexplore.ieee.org/xpl/conhome/6642227/proceeding" TargetMode="External"/><Relationship Id="rId498" Type="http://schemas.openxmlformats.org/officeDocument/2006/relationships/hyperlink" Target="http://ceur-ws.org/Vol-2245/commitmde_paper_3.pdf" TargetMode="External"/><Relationship Id="rId13" Type="http://schemas.openxmlformats.org/officeDocument/2006/relationships/hyperlink" Target="https://doi.org/10.1109/MS.2018.290110057" TargetMode="External"/><Relationship Id="rId109" Type="http://schemas.openxmlformats.org/officeDocument/2006/relationships/hyperlink" Target="https://ieeexplore.ieee.org/xpl/conhome/5373586/proceeding" TargetMode="External"/><Relationship Id="rId260" Type="http://schemas.openxmlformats.org/officeDocument/2006/relationships/hyperlink" Target="https://www.sciencedirect.com/science/journal/1045926X" TargetMode="External"/><Relationship Id="rId316" Type="http://schemas.openxmlformats.org/officeDocument/2006/relationships/hyperlink" Target="https://link.springer.com/conference/fase" TargetMode="External"/><Relationship Id="rId523" Type="http://schemas.openxmlformats.org/officeDocument/2006/relationships/hyperlink" Target="https://doi.org/10.1007/978-3-319-25264-3_25" TargetMode="External"/><Relationship Id="rId55" Type="http://schemas.openxmlformats.org/officeDocument/2006/relationships/hyperlink" Target="https://doi.org/10.1109/CIST.2018.8596468" TargetMode="External"/><Relationship Id="rId97" Type="http://schemas.openxmlformats.org/officeDocument/2006/relationships/hyperlink" Target="https://ieeexplore.ieee.org/xpl/conhome/8054528/proceeding" TargetMode="External"/><Relationship Id="rId120" Type="http://schemas.openxmlformats.org/officeDocument/2006/relationships/hyperlink" Target="https://doi.org/10.1109/ISMVL.2019.00019" TargetMode="External"/><Relationship Id="rId358" Type="http://schemas.openxmlformats.org/officeDocument/2006/relationships/hyperlink" Target="https://dl.acm.org/doi/proceedings/10.1145/2025113" TargetMode="External"/><Relationship Id="rId565" Type="http://schemas.openxmlformats.org/officeDocument/2006/relationships/hyperlink" Target="https://doi.org/10.1016/j.jss.2019.03.060" TargetMode="External"/><Relationship Id="rId162" Type="http://schemas.openxmlformats.org/officeDocument/2006/relationships/hyperlink" Target="https://doi.org/10.1145/3336294.3336308" TargetMode="External"/><Relationship Id="rId218" Type="http://schemas.openxmlformats.org/officeDocument/2006/relationships/hyperlink" Target="https://doi.org/10.1016/j.amepre.2017.07.003" TargetMode="External"/><Relationship Id="rId425" Type="http://schemas.openxmlformats.org/officeDocument/2006/relationships/hyperlink" Target="https://doi.org/10.1145/2881631.2881633" TargetMode="External"/><Relationship Id="rId467" Type="http://schemas.openxmlformats.org/officeDocument/2006/relationships/hyperlink" Target="https://doi.org/10.1109/HICSS.2009.112" TargetMode="External"/><Relationship Id="rId271" Type="http://schemas.openxmlformats.org/officeDocument/2006/relationships/hyperlink" Target="https://doi.org/10.1002/smr.1916" TargetMode="External"/><Relationship Id="rId24" Type="http://schemas.openxmlformats.org/officeDocument/2006/relationships/hyperlink" Target="https://ieeexplore.ieee.org/xpl/conhome/5062311/proceeding" TargetMode="External"/><Relationship Id="rId66" Type="http://schemas.openxmlformats.org/officeDocument/2006/relationships/hyperlink" Target="https://ieeexplore.ieee.org/xpl/conhome/7786012/proceeding" TargetMode="External"/><Relationship Id="rId131" Type="http://schemas.openxmlformats.org/officeDocument/2006/relationships/hyperlink" Target="https://ieeexplore.ieee.org/xpl/conhome/5639116/proceeding" TargetMode="External"/><Relationship Id="rId327" Type="http://schemas.openxmlformats.org/officeDocument/2006/relationships/hyperlink" Target="https://link.springer.com/journal/10270" TargetMode="External"/><Relationship Id="rId369" Type="http://schemas.openxmlformats.org/officeDocument/2006/relationships/hyperlink" Target="https://doi.org/10.1145/2723147.2723150" TargetMode="External"/><Relationship Id="rId534" Type="http://schemas.openxmlformats.org/officeDocument/2006/relationships/hyperlink" Target="https://doi.org/10.1145/1101908.1101998" TargetMode="External"/><Relationship Id="rId576" Type="http://schemas.openxmlformats.org/officeDocument/2006/relationships/hyperlink" Target="http://ceur-ws.org/Vol-1717/paper8.pdf" TargetMode="External"/><Relationship Id="rId173" Type="http://schemas.openxmlformats.org/officeDocument/2006/relationships/hyperlink" Target="https://dl.acm.org/doi/proceedings/10.1145/3377024" TargetMode="External"/><Relationship Id="rId229" Type="http://schemas.openxmlformats.org/officeDocument/2006/relationships/hyperlink" Target="https://doi.org/10.1016/j.scico.2019.102323" TargetMode="External"/><Relationship Id="rId380" Type="http://schemas.openxmlformats.org/officeDocument/2006/relationships/hyperlink" Target="https://link.springer.com/journal/10270" TargetMode="External"/><Relationship Id="rId436" Type="http://schemas.openxmlformats.org/officeDocument/2006/relationships/hyperlink" Target="https://dl.acm.org/doi/proceedings/10.1145/1012807" TargetMode="External"/><Relationship Id="rId240" Type="http://schemas.openxmlformats.org/officeDocument/2006/relationships/hyperlink" Target="https://www.sciencedirect.com/science/journal/07365845" TargetMode="External"/><Relationship Id="rId478" Type="http://schemas.openxmlformats.org/officeDocument/2006/relationships/hyperlink" Target="https://www.sciencedirect.com/science/journal/01641212" TargetMode="External"/><Relationship Id="rId35" Type="http://schemas.openxmlformats.org/officeDocument/2006/relationships/hyperlink" Target="https://ieeexplore.ieee.org/xpl/conhome/4021304/proceeding" TargetMode="External"/><Relationship Id="rId77" Type="http://schemas.openxmlformats.org/officeDocument/2006/relationships/hyperlink" Target="https://ieeexplore.ieee.org/xpl/conhome/7932335/proceeding" TargetMode="External"/><Relationship Id="rId100" Type="http://schemas.openxmlformats.org/officeDocument/2006/relationships/hyperlink" Target="https://doi.org/10.1109/TSMCA.2006.883181" TargetMode="External"/><Relationship Id="rId282" Type="http://schemas.openxmlformats.org/officeDocument/2006/relationships/hyperlink" Target="https://link.springer.com/conference/ecmdafa" TargetMode="External"/><Relationship Id="rId338" Type="http://schemas.openxmlformats.org/officeDocument/2006/relationships/hyperlink" Target="https://link.springer.com/conference/otm" TargetMode="External"/><Relationship Id="rId503" Type="http://schemas.openxmlformats.org/officeDocument/2006/relationships/hyperlink" Target="https://ojs.bibsys.no/index.php/NIK/article/view/494" TargetMode="External"/><Relationship Id="rId545" Type="http://schemas.openxmlformats.org/officeDocument/2006/relationships/hyperlink" Target="https://doi.org/10.1109/ICECCS.2011.26" TargetMode="External"/><Relationship Id="rId8" Type="http://schemas.openxmlformats.org/officeDocument/2006/relationships/hyperlink" Target="https://doi.org/10.1109/ISSREW.2014.33" TargetMode="External"/><Relationship Id="rId142" Type="http://schemas.openxmlformats.org/officeDocument/2006/relationships/hyperlink" Target="https://doi.org/10.1109/ASE.2001.989797" TargetMode="External"/><Relationship Id="rId184" Type="http://schemas.openxmlformats.org/officeDocument/2006/relationships/hyperlink" Target="https://doi.org/10.1145/3270112.3275339" TargetMode="External"/><Relationship Id="rId391" Type="http://schemas.openxmlformats.org/officeDocument/2006/relationships/hyperlink" Target="https://link.springer.com/conference/fase" TargetMode="External"/><Relationship Id="rId405" Type="http://schemas.openxmlformats.org/officeDocument/2006/relationships/hyperlink" Target="https://doi.org/10.1049/iet-sen.2018.5104" TargetMode="External"/><Relationship Id="rId447" Type="http://schemas.openxmlformats.org/officeDocument/2006/relationships/hyperlink" Target="https://doi.org/10.1145/1869542.1869549" TargetMode="External"/><Relationship Id="rId251" Type="http://schemas.openxmlformats.org/officeDocument/2006/relationships/hyperlink" Target="https://doi.org/10.1016/j.compeleceng.2015.06.021" TargetMode="External"/><Relationship Id="rId489" Type="http://schemas.openxmlformats.org/officeDocument/2006/relationships/hyperlink" Target="https://doi.org/10.1007/s10270-020-00823-4" TargetMode="External"/><Relationship Id="rId46" Type="http://schemas.openxmlformats.org/officeDocument/2006/relationships/hyperlink" Target="https://doi.org/10.1109/TSE.2016.2623623" TargetMode="External"/><Relationship Id="rId293" Type="http://schemas.openxmlformats.org/officeDocument/2006/relationships/hyperlink" Target="https://doi.org/10.1007/978-3-642-04425-0_13" TargetMode="External"/><Relationship Id="rId307" Type="http://schemas.openxmlformats.org/officeDocument/2006/relationships/hyperlink" Target="https://doi.org/10.1007/978-3-642-37057-1_2" TargetMode="External"/><Relationship Id="rId349" Type="http://schemas.openxmlformats.org/officeDocument/2006/relationships/hyperlink" Target="https://link.springer.com/conference/icwe" TargetMode="External"/><Relationship Id="rId514" Type="http://schemas.openxmlformats.org/officeDocument/2006/relationships/hyperlink" Target="https://doi.org/10.1145/3422392.3422440" TargetMode="External"/><Relationship Id="rId556" Type="http://schemas.openxmlformats.org/officeDocument/2006/relationships/hyperlink" Target="https://doi.org/10.1145/3239372.3239412" TargetMode="External"/><Relationship Id="rId88" Type="http://schemas.openxmlformats.org/officeDocument/2006/relationships/hyperlink" Target="https://ieeexplore.ieee.org/xpl/RecentIssue.jsp?punumber=32" TargetMode="External"/><Relationship Id="rId111" Type="http://schemas.openxmlformats.org/officeDocument/2006/relationships/hyperlink" Target="https://ieeexplore.ieee.org/xpl/conhome/8643125/proceeding" TargetMode="External"/><Relationship Id="rId153" Type="http://schemas.openxmlformats.org/officeDocument/2006/relationships/hyperlink" Target="https://dl.acm.org/doi/proceedings/10.1145/1370152" TargetMode="External"/><Relationship Id="rId195" Type="http://schemas.openxmlformats.org/officeDocument/2006/relationships/hyperlink" Target="https://dl.acm.org/doi/proceedings/10.1145/2601248" TargetMode="External"/><Relationship Id="rId209" Type="http://schemas.openxmlformats.org/officeDocument/2006/relationships/hyperlink" Target="https://dl.acm.org/doi/proceedings/10.1145/3297280" TargetMode="External"/><Relationship Id="rId360" Type="http://schemas.openxmlformats.org/officeDocument/2006/relationships/hyperlink" Target="https://dl.acm.org/doi/proceedings/10.5555/3338675" TargetMode="External"/><Relationship Id="rId416" Type="http://schemas.openxmlformats.org/officeDocument/2006/relationships/hyperlink" Target="https://doi.org/10.1109/WETICE.2009.48" TargetMode="External"/><Relationship Id="rId220" Type="http://schemas.openxmlformats.org/officeDocument/2006/relationships/hyperlink" Target="https://www.sciencedirect.com/science/journal/01676423" TargetMode="External"/><Relationship Id="rId458" Type="http://schemas.openxmlformats.org/officeDocument/2006/relationships/hyperlink" Target="https://link.springer.com/conference/ecmdafa" TargetMode="External"/><Relationship Id="rId15" Type="http://schemas.openxmlformats.org/officeDocument/2006/relationships/hyperlink" Target="https://ieeexplore.ieee.org/xpl/conhome/6062053/proceeding" TargetMode="External"/><Relationship Id="rId57" Type="http://schemas.openxmlformats.org/officeDocument/2006/relationships/hyperlink" Target="https://ieeexplore.ieee.org/xpl/conhome/5428222/proceeding" TargetMode="External"/><Relationship Id="rId262" Type="http://schemas.openxmlformats.org/officeDocument/2006/relationships/hyperlink" Target="https://www.sciencedirect.com/science/journal/13648152" TargetMode="External"/><Relationship Id="rId318" Type="http://schemas.openxmlformats.org/officeDocument/2006/relationships/hyperlink" Target="https://link.springer.com/conference/ecmdafa" TargetMode="External"/><Relationship Id="rId525" Type="http://schemas.openxmlformats.org/officeDocument/2006/relationships/hyperlink" Target="https://doi.org/10.1007/978-3-642-15928-2_12" TargetMode="External"/><Relationship Id="rId567" Type="http://schemas.openxmlformats.org/officeDocument/2006/relationships/hyperlink" Target="https://doi.org/10.1109/ICSE-Companion52605.2021.00116" TargetMode="External"/><Relationship Id="rId99" Type="http://schemas.openxmlformats.org/officeDocument/2006/relationships/hyperlink" Target="https://ieeexplore.ieee.org/xpl/RecentIssue.jsp?punumber=3468" TargetMode="External"/><Relationship Id="rId122" Type="http://schemas.openxmlformats.org/officeDocument/2006/relationships/hyperlink" Target="https://doi.org/10.1109/ICST.2008.66" TargetMode="External"/><Relationship Id="rId164" Type="http://schemas.openxmlformats.org/officeDocument/2006/relationships/hyperlink" Target="https://dl.acm.org/doi/abs/10.5555/1862739.1862757" TargetMode="External"/><Relationship Id="rId371" Type="http://schemas.openxmlformats.org/officeDocument/2006/relationships/hyperlink" Target="https://doi.org/10.1109/ICSE-C.2017.103" TargetMode="External"/><Relationship Id="rId427" Type="http://schemas.openxmlformats.org/officeDocument/2006/relationships/hyperlink" Target="https://dl.acm.org/doi/abs/10.5555/2008503.2008528" TargetMode="External"/><Relationship Id="rId469" Type="http://schemas.openxmlformats.org/officeDocument/2006/relationships/hyperlink" Target="https://link.springer.com/journal/11412" TargetMode="External"/><Relationship Id="rId26" Type="http://schemas.openxmlformats.org/officeDocument/2006/relationships/hyperlink" Target="https://doi.org/10.1109/WICSA.2015.15" TargetMode="External"/><Relationship Id="rId231" Type="http://schemas.openxmlformats.org/officeDocument/2006/relationships/hyperlink" Target="https://doi.org/10.1016/j.jss.2008.10.012" TargetMode="External"/><Relationship Id="rId273" Type="http://schemas.openxmlformats.org/officeDocument/2006/relationships/hyperlink" Target="https://doi.org/10.1002/spe.1116" TargetMode="External"/><Relationship Id="rId329" Type="http://schemas.openxmlformats.org/officeDocument/2006/relationships/hyperlink" Target="https://link.springer.com/conference/ecmdafa" TargetMode="External"/><Relationship Id="rId480" Type="http://schemas.openxmlformats.org/officeDocument/2006/relationships/hyperlink" Target="https://link.springer.com/conference/criwg" TargetMode="External"/><Relationship Id="rId536" Type="http://schemas.openxmlformats.org/officeDocument/2006/relationships/hyperlink" Target="https://doi.org/10.1016/j.scico.2020.102438" TargetMode="External"/><Relationship Id="rId68" Type="http://schemas.openxmlformats.org/officeDocument/2006/relationships/hyperlink" Target="https://doi.org/10.1109/ASWEC.2014.33" TargetMode="External"/><Relationship Id="rId133" Type="http://schemas.openxmlformats.org/officeDocument/2006/relationships/hyperlink" Target="https://ieeexplore.ieee.org/xpl/conhome/4019031/proceeding" TargetMode="External"/><Relationship Id="rId175" Type="http://schemas.openxmlformats.org/officeDocument/2006/relationships/hyperlink" Target="https://dl.acm.org/doi/proceedings/10.1145/1985793" TargetMode="External"/><Relationship Id="rId340" Type="http://schemas.openxmlformats.org/officeDocument/2006/relationships/hyperlink" Target="https://link.springer.com/conference/ecmdafa" TargetMode="External"/><Relationship Id="rId578" Type="http://schemas.openxmlformats.org/officeDocument/2006/relationships/hyperlink" Target="https://doi.org/10.1007/s11704-020-9518-x" TargetMode="External"/><Relationship Id="rId200" Type="http://schemas.openxmlformats.org/officeDocument/2006/relationships/hyperlink" Target="https://doi.org/10.1145/1982185.1982500" TargetMode="External"/><Relationship Id="rId382" Type="http://schemas.openxmlformats.org/officeDocument/2006/relationships/hyperlink" Target="https://link.springer.com/conference/modelsward" TargetMode="External"/><Relationship Id="rId438" Type="http://schemas.openxmlformats.org/officeDocument/2006/relationships/hyperlink" Target="https://dl.acm.org/doi/proceedings/10.5555/1926458" TargetMode="External"/><Relationship Id="rId242" Type="http://schemas.openxmlformats.org/officeDocument/2006/relationships/hyperlink" Target="https://www.sciencedirect.com/science/journal/01676423" TargetMode="External"/><Relationship Id="rId284" Type="http://schemas.openxmlformats.org/officeDocument/2006/relationships/hyperlink" Target="https://www.springer.com/journal/10606/" TargetMode="External"/><Relationship Id="rId491" Type="http://schemas.openxmlformats.org/officeDocument/2006/relationships/hyperlink" Target="https://doi.org/10.1155/2015/650748" TargetMode="External"/><Relationship Id="rId505" Type="http://schemas.openxmlformats.org/officeDocument/2006/relationships/hyperlink" Target="https://doi.org/10.1145/3180155.3180258" TargetMode="External"/><Relationship Id="rId37" Type="http://schemas.openxmlformats.org/officeDocument/2006/relationships/hyperlink" Target="https://ieeexplore.ieee.org/xpl/conhome/8316804/proceeding" TargetMode="External"/><Relationship Id="rId79" Type="http://schemas.openxmlformats.org/officeDocument/2006/relationships/hyperlink" Target="https://ieeexplore.ieee.org/xpl/conhome/7784662/proceeding" TargetMode="External"/><Relationship Id="rId102" Type="http://schemas.openxmlformats.org/officeDocument/2006/relationships/hyperlink" Target="https://doi.org/10.1109/TSE.2013.30" TargetMode="External"/><Relationship Id="rId144" Type="http://schemas.openxmlformats.org/officeDocument/2006/relationships/hyperlink" Target="https://doi.org/10.1145/2463372.2463553" TargetMode="External"/><Relationship Id="rId547" Type="http://schemas.openxmlformats.org/officeDocument/2006/relationships/hyperlink" Target="https://doi.org/10.1007/978-981-15-5077-5_56" TargetMode="External"/><Relationship Id="rId90" Type="http://schemas.openxmlformats.org/officeDocument/2006/relationships/hyperlink" Target="https://doi.org/10.1109/UMEDIA.2015.7297436" TargetMode="External"/><Relationship Id="rId186" Type="http://schemas.openxmlformats.org/officeDocument/2006/relationships/hyperlink" Target="https://doi.org/10.1145/1656485.1656494" TargetMode="External"/><Relationship Id="rId351" Type="http://schemas.openxmlformats.org/officeDocument/2006/relationships/hyperlink" Target="https://doi.org/10.1109/ICGSE.2009.16" TargetMode="External"/><Relationship Id="rId393" Type="http://schemas.openxmlformats.org/officeDocument/2006/relationships/hyperlink" Target="https://ieeexplore.ieee.org/xpl/conhome/7307714/proceeding" TargetMode="External"/><Relationship Id="rId407" Type="http://schemas.openxmlformats.org/officeDocument/2006/relationships/hyperlink" Target="https://doi.org/10.1109/CSCWD.2013.6580932" TargetMode="External"/><Relationship Id="rId449" Type="http://schemas.openxmlformats.org/officeDocument/2006/relationships/hyperlink" Target="https://doi.org/10.1145/3276536" TargetMode="External"/><Relationship Id="rId211" Type="http://schemas.openxmlformats.org/officeDocument/2006/relationships/hyperlink" Target="https://dl.acm.org/doi/proceedings/10.1145/3127404" TargetMode="External"/><Relationship Id="rId253" Type="http://schemas.openxmlformats.org/officeDocument/2006/relationships/hyperlink" Target="https://doi.org/10.1016/j.procs.2014.05.227" TargetMode="External"/><Relationship Id="rId295" Type="http://schemas.openxmlformats.org/officeDocument/2006/relationships/hyperlink" Target="https://doi.org/10.1007/s10270-011-0226-8" TargetMode="External"/><Relationship Id="rId309" Type="http://schemas.openxmlformats.org/officeDocument/2006/relationships/hyperlink" Target="https://link.springer.com/journal/10270" TargetMode="External"/><Relationship Id="rId460" Type="http://schemas.openxmlformats.org/officeDocument/2006/relationships/hyperlink" Target="https://dl.acm.org/doi/proceedings/10.1145/2507065" TargetMode="External"/><Relationship Id="rId516" Type="http://schemas.openxmlformats.org/officeDocument/2006/relationships/hyperlink" Target="https://doi.org/10.1145/3417990.3420201" TargetMode="External"/><Relationship Id="rId48" Type="http://schemas.openxmlformats.org/officeDocument/2006/relationships/hyperlink" Target="https://doi.org/10.1109/ASE.2015.106" TargetMode="External"/><Relationship Id="rId113" Type="http://schemas.openxmlformats.org/officeDocument/2006/relationships/hyperlink" Target="https://ieeexplore.ieee.org/xpl/conhome/8536777/proceeding" TargetMode="External"/><Relationship Id="rId320" Type="http://schemas.openxmlformats.org/officeDocument/2006/relationships/hyperlink" Target="https://doi.org/10.1007/s10270-011-0192-1" TargetMode="External"/><Relationship Id="rId558" Type="http://schemas.openxmlformats.org/officeDocument/2006/relationships/hyperlink" Target="https://www.semanticscholar.org/paper/Operation-based-versus-State-based-Merging-in-Ignat-Norrie/05e9d16c3997705f01d7c4f5350ab752dd53cd9f" TargetMode="External"/><Relationship Id="rId155" Type="http://schemas.openxmlformats.org/officeDocument/2006/relationships/hyperlink" Target="https://dl.acm.org/doi/proceedings/10.1145/1826147" TargetMode="External"/><Relationship Id="rId197" Type="http://schemas.openxmlformats.org/officeDocument/2006/relationships/hyperlink" Target="https://dl.acm.org/doi/proceedings/10.1145/3167132" TargetMode="External"/><Relationship Id="rId362" Type="http://schemas.openxmlformats.org/officeDocument/2006/relationships/hyperlink" Target="https://dl.acm.org/doi/proceedings/10.1145/1529282" TargetMode="External"/><Relationship Id="rId418" Type="http://schemas.openxmlformats.org/officeDocument/2006/relationships/hyperlink" Target="https://ieeexplore.ieee.org/xpl/conhome/6062563/proceeding" TargetMode="External"/><Relationship Id="rId222" Type="http://schemas.openxmlformats.org/officeDocument/2006/relationships/hyperlink" Target="https://www.sciencedirect.com/science/journal/01641212" TargetMode="External"/><Relationship Id="rId264" Type="http://schemas.openxmlformats.org/officeDocument/2006/relationships/hyperlink" Target="https://www.sciencedirect.com/science/journal/03043975" TargetMode="External"/><Relationship Id="rId471" Type="http://schemas.openxmlformats.org/officeDocument/2006/relationships/hyperlink" Target="https://doi.org/10.1016/j.jnca.2011.12.009" TargetMode="External"/><Relationship Id="rId17" Type="http://schemas.openxmlformats.org/officeDocument/2006/relationships/hyperlink" Target="https://ieeexplore.ieee.org/xpl/conhome/6824916/proceeding" TargetMode="External"/><Relationship Id="rId59" Type="http://schemas.openxmlformats.org/officeDocument/2006/relationships/hyperlink" Target="https://ieeexplore.ieee.org/xpl/conhome/6129717/proceeding" TargetMode="External"/><Relationship Id="rId124" Type="http://schemas.openxmlformats.org/officeDocument/2006/relationships/hyperlink" Target="https://doi.org/10.1109/CSMR.2009.35" TargetMode="External"/><Relationship Id="rId527" Type="http://schemas.openxmlformats.org/officeDocument/2006/relationships/hyperlink" Target="https://doi.org/10.1007/978-3-642-13595-8_18" TargetMode="External"/><Relationship Id="rId569" Type="http://schemas.openxmlformats.org/officeDocument/2006/relationships/hyperlink" Target="https://doi.org/10.1109/ETFA46521.2020.9211900" TargetMode="External"/><Relationship Id="rId70" Type="http://schemas.openxmlformats.org/officeDocument/2006/relationships/hyperlink" Target="https://doi.org/10.1109/SYSCON.2019.8836869" TargetMode="External"/><Relationship Id="rId166" Type="http://schemas.openxmlformats.org/officeDocument/2006/relationships/hyperlink" Target="https://doi.org/10.1145/1826147.1826154" TargetMode="External"/><Relationship Id="rId331" Type="http://schemas.openxmlformats.org/officeDocument/2006/relationships/hyperlink" Target="https://link.springer.com/conference/egice" TargetMode="External"/><Relationship Id="rId373" Type="http://schemas.openxmlformats.org/officeDocument/2006/relationships/hyperlink" Target="https://doi.org/10.1016/j.jnca.2013.04.012" TargetMode="External"/><Relationship Id="rId429" Type="http://schemas.openxmlformats.org/officeDocument/2006/relationships/hyperlink" Target="https://dl.acm.org/doi/10.5555/1315451.1315525" TargetMode="External"/><Relationship Id="rId580" Type="http://schemas.openxmlformats.org/officeDocument/2006/relationships/hyperlink" Target="https://doi.org/10.1145/3426425.3426931" TargetMode="External"/><Relationship Id="rId1" Type="http://schemas.openxmlformats.org/officeDocument/2006/relationships/hyperlink" Target="https://ieeexplore.ieee.org/xpl/conhome/6151888/proceeding" TargetMode="External"/><Relationship Id="rId233" Type="http://schemas.openxmlformats.org/officeDocument/2006/relationships/hyperlink" Target="https://doi.org/10.1016/j.jvlc.2007.08.005" TargetMode="External"/><Relationship Id="rId440" Type="http://schemas.openxmlformats.org/officeDocument/2006/relationships/hyperlink" Target="https://dl.acm.org/journal/tog" TargetMode="External"/><Relationship Id="rId28" Type="http://schemas.openxmlformats.org/officeDocument/2006/relationships/hyperlink" Target="https://doi.org/10.1109/SCC.2010.38" TargetMode="External"/><Relationship Id="rId275" Type="http://schemas.openxmlformats.org/officeDocument/2006/relationships/hyperlink" Target="https://doi.org/10.1002/stvr.410" TargetMode="External"/><Relationship Id="rId300" Type="http://schemas.openxmlformats.org/officeDocument/2006/relationships/hyperlink" Target="https://link.springer.com/conference/mompes" TargetMode="External"/><Relationship Id="rId482" Type="http://schemas.openxmlformats.org/officeDocument/2006/relationships/hyperlink" Target="https://link.springer.com/book/10.1007/978-1-84882-206-1" TargetMode="External"/><Relationship Id="rId538" Type="http://schemas.openxmlformats.org/officeDocument/2006/relationships/hyperlink" Target="https://doi.org/10.1007/978-3-319-39696-5_2" TargetMode="External"/><Relationship Id="rId81" Type="http://schemas.openxmlformats.org/officeDocument/2006/relationships/hyperlink" Target="https://ieeexplore.ieee.org/xpl/conhome/6340121/proceeding" TargetMode="External"/><Relationship Id="rId135" Type="http://schemas.openxmlformats.org/officeDocument/2006/relationships/hyperlink" Target="https://ieeexplore.ieee.org/xpl/conhome/5379692/proceeding" TargetMode="External"/><Relationship Id="rId177" Type="http://schemas.openxmlformats.org/officeDocument/2006/relationships/hyperlink" Target="https://dl.acm.org/doi/proceedings/10.1145/2523599" TargetMode="External"/><Relationship Id="rId342" Type="http://schemas.openxmlformats.org/officeDocument/2006/relationships/hyperlink" Target="https://link.springer.com/conference/otm" TargetMode="External"/><Relationship Id="rId384" Type="http://schemas.openxmlformats.org/officeDocument/2006/relationships/hyperlink" Target="https://link.springer.com/journal/766" TargetMode="External"/><Relationship Id="rId202" Type="http://schemas.openxmlformats.org/officeDocument/2006/relationships/hyperlink" Target="https://doi.org/10.1145/2684200.2684302" TargetMode="External"/><Relationship Id="rId244" Type="http://schemas.openxmlformats.org/officeDocument/2006/relationships/hyperlink" Target="https://www.sciencedirect.com/science/journal/15710661" TargetMode="External"/><Relationship Id="rId39" Type="http://schemas.openxmlformats.org/officeDocument/2006/relationships/hyperlink" Target="https://ieeexplore.ieee.org/xpl/conhome/5198469/proceeding" TargetMode="External"/><Relationship Id="rId286" Type="http://schemas.openxmlformats.org/officeDocument/2006/relationships/hyperlink" Target="https://link.springer.com/conference/sfm" TargetMode="External"/><Relationship Id="rId451" Type="http://schemas.openxmlformats.org/officeDocument/2006/relationships/hyperlink" Target="https://doi.org/10.1145/2145204.2145413" TargetMode="External"/><Relationship Id="rId493" Type="http://schemas.openxmlformats.org/officeDocument/2006/relationships/hyperlink" Target="https://doi.org/10.1016/j.entcs.2004.08.038" TargetMode="External"/><Relationship Id="rId507" Type="http://schemas.openxmlformats.org/officeDocument/2006/relationships/hyperlink" Target="https://doi.org/10.1007/978-3-319-39696-5_1" TargetMode="External"/><Relationship Id="rId549" Type="http://schemas.openxmlformats.org/officeDocument/2006/relationships/hyperlink" Target="https://doi.org/10.1016/j.scico.2019.102323" TargetMode="External"/><Relationship Id="rId50" Type="http://schemas.openxmlformats.org/officeDocument/2006/relationships/hyperlink" Target="https://ieeexplore.ieee.org/document/7323165" TargetMode="External"/><Relationship Id="rId104" Type="http://schemas.openxmlformats.org/officeDocument/2006/relationships/hyperlink" Target="https://doi.org/10.1109/TSMC.2013.2296275" TargetMode="External"/><Relationship Id="rId146" Type="http://schemas.openxmlformats.org/officeDocument/2006/relationships/hyperlink" Target="https://doi.org/10.1145/2245276.2232046" TargetMode="External"/><Relationship Id="rId188" Type="http://schemas.openxmlformats.org/officeDocument/2006/relationships/hyperlink" Target="https://doi.org/10.1145/3168365.3168377" TargetMode="External"/><Relationship Id="rId311" Type="http://schemas.openxmlformats.org/officeDocument/2006/relationships/hyperlink" Target="https://doi.org/10.1007/978-3-642-41533-3_26" TargetMode="External"/><Relationship Id="rId353" Type="http://schemas.openxmlformats.org/officeDocument/2006/relationships/hyperlink" Target="https://doi.org/10.1109/ASE.2001.989829" TargetMode="External"/><Relationship Id="rId395" Type="http://schemas.openxmlformats.org/officeDocument/2006/relationships/hyperlink" Target="https://dl.acm.org/doi/proceedings/10.1145/3380625" TargetMode="External"/><Relationship Id="rId409" Type="http://schemas.openxmlformats.org/officeDocument/2006/relationships/hyperlink" Target="https://ieeexplore.ieee.org/document/7018447" TargetMode="External"/><Relationship Id="rId560" Type="http://schemas.openxmlformats.org/officeDocument/2006/relationships/hyperlink" Target="https://doi.org/10.1145/1321631.1321647" TargetMode="External"/><Relationship Id="rId92" Type="http://schemas.openxmlformats.org/officeDocument/2006/relationships/hyperlink" Target="https://doi.org/10.1109/INMIC.2007.4557693" TargetMode="External"/><Relationship Id="rId213" Type="http://schemas.openxmlformats.org/officeDocument/2006/relationships/hyperlink" Target="https://dl.acm.org/doi/proceedings/10.1145/1869542" TargetMode="External"/><Relationship Id="rId420" Type="http://schemas.openxmlformats.org/officeDocument/2006/relationships/hyperlink" Target="https://ieeexplore.ieee.org/xpl/RecentIssue.jsp?punumber=52" TargetMode="External"/><Relationship Id="rId255" Type="http://schemas.openxmlformats.org/officeDocument/2006/relationships/hyperlink" Target="https://doi.org/10.1016/j.aei.2010.12.001" TargetMode="External"/><Relationship Id="rId297" Type="http://schemas.openxmlformats.org/officeDocument/2006/relationships/hyperlink" Target="https://doi.org/10.1007/s10270-012-0248-x" TargetMode="External"/><Relationship Id="rId462" Type="http://schemas.openxmlformats.org/officeDocument/2006/relationships/hyperlink" Target="https://ieeexplore.ieee.org/xpl/conhome/4031725/proceeding" TargetMode="External"/><Relationship Id="rId518" Type="http://schemas.openxmlformats.org/officeDocument/2006/relationships/hyperlink" Target="https://doi.org/10.1145/3382025.3414964" TargetMode="External"/><Relationship Id="rId115" Type="http://schemas.openxmlformats.org/officeDocument/2006/relationships/hyperlink" Target="https://ieeexplore.ieee.org/xpl/conhome/7430175/proceeding" TargetMode="External"/><Relationship Id="rId157" Type="http://schemas.openxmlformats.org/officeDocument/2006/relationships/hyperlink" Target="https://dl.acm.org/doi/proceedings/10.1145/1826147" TargetMode="External"/><Relationship Id="rId322" Type="http://schemas.openxmlformats.org/officeDocument/2006/relationships/hyperlink" Target="https://link.springer.com/conference/models" TargetMode="External"/><Relationship Id="rId364" Type="http://schemas.openxmlformats.org/officeDocument/2006/relationships/hyperlink" Target="https://dl.acm.org/doi/proceedings/10.5555/3382508" TargetMode="External"/><Relationship Id="rId61" Type="http://schemas.openxmlformats.org/officeDocument/2006/relationships/hyperlink" Target="https://ieeexplore.ieee.org/xpl/conhome/6032121/proceeding" TargetMode="External"/><Relationship Id="rId199" Type="http://schemas.openxmlformats.org/officeDocument/2006/relationships/hyperlink" Target="https://dl.acm.org/doi/proceedings/10.1145/1982185" TargetMode="External"/><Relationship Id="rId571" Type="http://schemas.openxmlformats.org/officeDocument/2006/relationships/hyperlink" Target="https://doi.org/10.1145/3442391.3442399" TargetMode="External"/><Relationship Id="rId19" Type="http://schemas.openxmlformats.org/officeDocument/2006/relationships/hyperlink" Target="https://ieeexplore.ieee.org/xpl/conhome/6689801/proceeding" TargetMode="External"/><Relationship Id="rId224" Type="http://schemas.openxmlformats.org/officeDocument/2006/relationships/hyperlink" Target="https://www.sciencedirect.com/science/journal/01641212" TargetMode="External"/><Relationship Id="rId266" Type="http://schemas.openxmlformats.org/officeDocument/2006/relationships/hyperlink" Target="https://www.sciencedirect.com/science/journal/09574174" TargetMode="External"/><Relationship Id="rId431" Type="http://schemas.openxmlformats.org/officeDocument/2006/relationships/hyperlink" Target="https://doi.org/10.1145/1363686.1363849" TargetMode="External"/><Relationship Id="rId473" Type="http://schemas.openxmlformats.org/officeDocument/2006/relationships/hyperlink" Target="https://www.sciencedirect.com/science/journal/14740346" TargetMode="External"/><Relationship Id="rId529" Type="http://schemas.openxmlformats.org/officeDocument/2006/relationships/hyperlink" Target="https://dl.acm.org/doi/proceedings/10.1145/2814251" TargetMode="External"/><Relationship Id="rId30" Type="http://schemas.openxmlformats.org/officeDocument/2006/relationships/hyperlink" Target="https://doi.org/10.1109/EDOC.2010.15" TargetMode="External"/><Relationship Id="rId126" Type="http://schemas.openxmlformats.org/officeDocument/2006/relationships/hyperlink" Target="https://doi.org/10.1109/CSCWD.2006.253033" TargetMode="External"/><Relationship Id="rId168" Type="http://schemas.openxmlformats.org/officeDocument/2006/relationships/hyperlink" Target="https://dl.acm.org/doi/abs/10.5555/2492708.2492974" TargetMode="External"/><Relationship Id="rId333" Type="http://schemas.openxmlformats.org/officeDocument/2006/relationships/hyperlink" Target="https://link.springer.com/book/10.1007/978-1-84882-854-4" TargetMode="External"/><Relationship Id="rId540" Type="http://schemas.openxmlformats.org/officeDocument/2006/relationships/hyperlink" Target="https://doi.org/10.20627/jsim.30.3_146" TargetMode="External"/><Relationship Id="rId72" Type="http://schemas.openxmlformats.org/officeDocument/2006/relationships/hyperlink" Target="https://doi.org/10.1109/ICST.2008.23" TargetMode="External"/><Relationship Id="rId375" Type="http://schemas.openxmlformats.org/officeDocument/2006/relationships/hyperlink" Target="https://doi.org/10.1016/j.infsof.2019.106198" TargetMode="External"/><Relationship Id="rId582" Type="http://schemas.openxmlformats.org/officeDocument/2006/relationships/hyperlink" Target="https://doi.org/10.1145/3412841.3442127" TargetMode="External"/><Relationship Id="rId3" Type="http://schemas.openxmlformats.org/officeDocument/2006/relationships/hyperlink" Target="https://ieeexplore.ieee.org/xpl/conhome/7008823/proceeding" TargetMode="External"/><Relationship Id="rId235" Type="http://schemas.openxmlformats.org/officeDocument/2006/relationships/hyperlink" Target="https://doi.org/10.1016/j.jlamp.2018.11.004" TargetMode="External"/><Relationship Id="rId277" Type="http://schemas.openxmlformats.org/officeDocument/2006/relationships/hyperlink" Target="https://onlinelibrary.wiley.com/journal/1520684x" TargetMode="External"/><Relationship Id="rId400" Type="http://schemas.openxmlformats.org/officeDocument/2006/relationships/hyperlink" Target="https://ieeexplore.ieee.org/xpl/conhome/6599337/proceeding" TargetMode="External"/><Relationship Id="rId442" Type="http://schemas.openxmlformats.org/officeDocument/2006/relationships/hyperlink" Target="https://dl.acm.org/doi/proceedings/10.1145/1244002" TargetMode="External"/><Relationship Id="rId484" Type="http://schemas.openxmlformats.org/officeDocument/2006/relationships/hyperlink" Target="https://link.springer.com/conference/er" TargetMode="External"/><Relationship Id="rId137" Type="http://schemas.openxmlformats.org/officeDocument/2006/relationships/hyperlink" Target="https://ieeexplore.ieee.org/xpl/conhome/4272875/proceeding" TargetMode="External"/><Relationship Id="rId302" Type="http://schemas.openxmlformats.org/officeDocument/2006/relationships/hyperlink" Target="https://link.springer.com/journal/10270" TargetMode="External"/><Relationship Id="rId344" Type="http://schemas.openxmlformats.org/officeDocument/2006/relationships/hyperlink" Target="https://link.springer.com/conference/sam" TargetMode="External"/><Relationship Id="rId41" Type="http://schemas.openxmlformats.org/officeDocument/2006/relationships/hyperlink" Target="https://ieeexplore.ieee.org/xpl/conhome/9629/proceeding" TargetMode="External"/><Relationship Id="rId83" Type="http://schemas.openxmlformats.org/officeDocument/2006/relationships/hyperlink" Target="https://ieeexplore.ieee.org/xpl/conhome/8961317/proceeding" TargetMode="External"/><Relationship Id="rId179" Type="http://schemas.openxmlformats.org/officeDocument/2006/relationships/hyperlink" Target="https://dl.acm.org/doi/proceedings/10.1145/2110147" TargetMode="External"/><Relationship Id="rId386" Type="http://schemas.openxmlformats.org/officeDocument/2006/relationships/hyperlink" Target="https://doi.org/10.1007/s10664-016-9442-8" TargetMode="External"/><Relationship Id="rId551" Type="http://schemas.openxmlformats.org/officeDocument/2006/relationships/hyperlink" Target="https://doi.org/10.1145/3319499.3328232" TargetMode="External"/><Relationship Id="rId190" Type="http://schemas.openxmlformats.org/officeDocument/2006/relationships/hyperlink" Target="https://doi.org/10.1145/1866272.1866279" TargetMode="External"/><Relationship Id="rId204" Type="http://schemas.openxmlformats.org/officeDocument/2006/relationships/hyperlink" Target="https://doi.org/10.1145/1810295.1810364" TargetMode="External"/><Relationship Id="rId246" Type="http://schemas.openxmlformats.org/officeDocument/2006/relationships/hyperlink" Target="https://www.sciencedirect.com/science/journal/03064379" TargetMode="External"/><Relationship Id="rId288" Type="http://schemas.openxmlformats.org/officeDocument/2006/relationships/hyperlink" Target="https://link.springer.com/conference/ecmdafa" TargetMode="External"/><Relationship Id="rId411" Type="http://schemas.openxmlformats.org/officeDocument/2006/relationships/hyperlink" Target="https://doi.org/10.1109/ICSA.2017.45" TargetMode="External"/><Relationship Id="rId453" Type="http://schemas.openxmlformats.org/officeDocument/2006/relationships/hyperlink" Target="https://doi.org/10.1109/HICSS.2009.23" TargetMode="External"/><Relationship Id="rId509" Type="http://schemas.openxmlformats.org/officeDocument/2006/relationships/hyperlink" Target="https://doi.org/10.1016/j.jlap.2009.10.003" TargetMode="External"/><Relationship Id="rId106" Type="http://schemas.openxmlformats.org/officeDocument/2006/relationships/hyperlink" Target="https://doi.org/10.1109/2.839317" TargetMode="External"/><Relationship Id="rId313" Type="http://schemas.openxmlformats.org/officeDocument/2006/relationships/hyperlink" Target="https://doi.org/10.1007/s10257-008-0101-5" TargetMode="External"/><Relationship Id="rId495" Type="http://schemas.openxmlformats.org/officeDocument/2006/relationships/hyperlink" Target="https://doi.org/10.1145/1101908.1101940" TargetMode="External"/><Relationship Id="rId10" Type="http://schemas.openxmlformats.org/officeDocument/2006/relationships/hyperlink" Target="https://doi.org/10.1109/CVSM.2009.5071721" TargetMode="External"/><Relationship Id="rId52" Type="http://schemas.openxmlformats.org/officeDocument/2006/relationships/hyperlink" Target="https://doi.org/10.1109/TSMCA.2010.2052599" TargetMode="External"/><Relationship Id="rId94" Type="http://schemas.openxmlformats.org/officeDocument/2006/relationships/hyperlink" Target="https://doi.org/10.1109/IECON.2013.6700279" TargetMode="External"/><Relationship Id="rId148" Type="http://schemas.openxmlformats.org/officeDocument/2006/relationships/hyperlink" Target="https://doi.org/10.1109/MODELS.2017.33" TargetMode="External"/><Relationship Id="rId355" Type="http://schemas.openxmlformats.org/officeDocument/2006/relationships/hyperlink" Target="https://doi.org/10.1109/PIC.2016.7949539" TargetMode="External"/><Relationship Id="rId397" Type="http://schemas.openxmlformats.org/officeDocument/2006/relationships/hyperlink" Target="https://link.springer.com/book/10.1007/978-1-84800-972-1" TargetMode="External"/><Relationship Id="rId520" Type="http://schemas.openxmlformats.org/officeDocument/2006/relationships/hyperlink" Target="https://doi.org/10.1007/978-3-030-16722-6_6" TargetMode="External"/><Relationship Id="rId562" Type="http://schemas.openxmlformats.org/officeDocument/2006/relationships/hyperlink" Target="https://doi.org/10.1007/978-3-319-42061-5_2" TargetMode="External"/><Relationship Id="rId215" Type="http://schemas.openxmlformats.org/officeDocument/2006/relationships/hyperlink" Target="https://dl.acm.org/doi/proceedings/10.1145/1639950" TargetMode="External"/><Relationship Id="rId257" Type="http://schemas.openxmlformats.org/officeDocument/2006/relationships/hyperlink" Target="https://doi-org.ins2i.bib.cnrs.fr/10.1016/j.arcontrol.2012.09.016" TargetMode="External"/><Relationship Id="rId422" Type="http://schemas.openxmlformats.org/officeDocument/2006/relationships/hyperlink" Target="https://dl.acm.org/doi/proceedings/10.1145/1869542" TargetMode="External"/><Relationship Id="rId464" Type="http://schemas.openxmlformats.org/officeDocument/2006/relationships/hyperlink" Target="https://doi.org/10.1007/s12204-015-1593-z" TargetMode="External"/><Relationship Id="rId299" Type="http://schemas.openxmlformats.org/officeDocument/2006/relationships/hyperlink" Target="https://doi.org/10.1007/11880240_16" TargetMode="External"/><Relationship Id="rId63" Type="http://schemas.openxmlformats.org/officeDocument/2006/relationships/hyperlink" Target="https://ieeexplore.ieee.org/xpl/conhome/6494367/proceeding" TargetMode="External"/><Relationship Id="rId159" Type="http://schemas.openxmlformats.org/officeDocument/2006/relationships/hyperlink" Target="https://dl.acm.org/doi/proceedings/10.1145/1368088" TargetMode="External"/><Relationship Id="rId366" Type="http://schemas.openxmlformats.org/officeDocument/2006/relationships/hyperlink" Target="https://dl.acm.org/doi/proceedings/10.1145/2818048" TargetMode="External"/><Relationship Id="rId573" Type="http://schemas.openxmlformats.org/officeDocument/2006/relationships/hyperlink" Target="https://doi.org/10.1145/3270112.3275335" TargetMode="External"/><Relationship Id="rId226" Type="http://schemas.openxmlformats.org/officeDocument/2006/relationships/hyperlink" Target="https://www.sciencedirect.com/science/journal/09507051" TargetMode="External"/><Relationship Id="rId433" Type="http://schemas.openxmlformats.org/officeDocument/2006/relationships/hyperlink" Target="https://dl.acm.org/doi/10.5555/1357910.1357966" TargetMode="External"/><Relationship Id="rId74" Type="http://schemas.openxmlformats.org/officeDocument/2006/relationships/hyperlink" Target="https://doi.org/10.1109/SYSCON.2015.7116733" TargetMode="External"/><Relationship Id="rId377" Type="http://schemas.openxmlformats.org/officeDocument/2006/relationships/hyperlink" Target="https://doi.org/10.1016/j.procs.2018.08.191" TargetMode="External"/><Relationship Id="rId500" Type="http://schemas.openxmlformats.org/officeDocument/2006/relationships/hyperlink" Target="http://www.ic.uff.br/~leomurta/papers/costa2013.pdf" TargetMode="External"/><Relationship Id="rId584" Type="http://schemas.openxmlformats.org/officeDocument/2006/relationships/hyperlink" Target="https://doi.org/10.1145/1996461.1996498" TargetMode="External"/><Relationship Id="rId5" Type="http://schemas.openxmlformats.org/officeDocument/2006/relationships/hyperlink" Target="https://doi.org/10.1109/SNPD.2016.7515890" TargetMode="External"/><Relationship Id="rId237" Type="http://schemas.openxmlformats.org/officeDocument/2006/relationships/hyperlink" Target="https://doi.org/10.1016/j.sysarc.2009.07.003" TargetMode="External"/><Relationship Id="rId444" Type="http://schemas.openxmlformats.org/officeDocument/2006/relationships/hyperlink" Target="https://dl.acm.org/doi/proceedings/10.1145/1141277" TargetMode="External"/><Relationship Id="rId290" Type="http://schemas.openxmlformats.org/officeDocument/2006/relationships/hyperlink" Target="https://link.springer.com/journal/10270" TargetMode="External"/><Relationship Id="rId304" Type="http://schemas.openxmlformats.org/officeDocument/2006/relationships/hyperlink" Target="https://link.springer.com/conference/models" TargetMode="External"/><Relationship Id="rId388" Type="http://schemas.openxmlformats.org/officeDocument/2006/relationships/hyperlink" Target="https://ieeexplore.ieee.org/xpl/conhome/6384336/proceeding" TargetMode="External"/><Relationship Id="rId511" Type="http://schemas.openxmlformats.org/officeDocument/2006/relationships/hyperlink" Target="https://doi.org/10.1007/s00450-013-0253-5" TargetMode="External"/><Relationship Id="rId85" Type="http://schemas.openxmlformats.org/officeDocument/2006/relationships/hyperlink" Target="https://ieeexplore.ieee.org/xpl/conhome/5431684/proceeding" TargetMode="External"/><Relationship Id="rId150" Type="http://schemas.openxmlformats.org/officeDocument/2006/relationships/hyperlink" Target="https://doi.org/10.1145/3330204.3330239" TargetMode="External"/><Relationship Id="rId248" Type="http://schemas.openxmlformats.org/officeDocument/2006/relationships/hyperlink" Target="https://www.sciencedirect.com/science/journal/14740346" TargetMode="External"/><Relationship Id="rId455" Type="http://schemas.openxmlformats.org/officeDocument/2006/relationships/hyperlink" Target="https://doi.org/10.1109/ICSE.2015.223" TargetMode="External"/><Relationship Id="rId12" Type="http://schemas.openxmlformats.org/officeDocument/2006/relationships/hyperlink" Target="https://doi.org/10.1109/ICYCS.2008.280" TargetMode="External"/><Relationship Id="rId108" Type="http://schemas.openxmlformats.org/officeDocument/2006/relationships/hyperlink" Target="https://doi.org/10.1109/REW.2019.00016" TargetMode="External"/><Relationship Id="rId315" Type="http://schemas.openxmlformats.org/officeDocument/2006/relationships/hyperlink" Target="https://doi.org/10.1007/978-3-319-58521-5_5" TargetMode="External"/><Relationship Id="rId522" Type="http://schemas.openxmlformats.org/officeDocument/2006/relationships/hyperlink" Target="https://doi.org/10.1016/j.jss.2014.11.043" TargetMode="External"/><Relationship Id="rId96" Type="http://schemas.openxmlformats.org/officeDocument/2006/relationships/hyperlink" Target="https://doi.org/10.1109/ASE.2006.48" TargetMode="External"/><Relationship Id="rId161" Type="http://schemas.openxmlformats.org/officeDocument/2006/relationships/hyperlink" Target="https://dl.acm.org/doi/proceedings/10.1145/3336294" TargetMode="External"/><Relationship Id="rId399" Type="http://schemas.openxmlformats.org/officeDocument/2006/relationships/hyperlink" Target="https://doi.org/10.1109/ICIEEM.2009.5344328" TargetMode="External"/><Relationship Id="rId259" Type="http://schemas.openxmlformats.org/officeDocument/2006/relationships/hyperlink" Target="https://doi.org/10.1016/j.rcim.2010.05.005" TargetMode="External"/><Relationship Id="rId466" Type="http://schemas.openxmlformats.org/officeDocument/2006/relationships/hyperlink" Target="https://ieeexplore.ieee.org/xpl/conhome/4755313/proceeding" TargetMode="External"/><Relationship Id="rId23" Type="http://schemas.openxmlformats.org/officeDocument/2006/relationships/hyperlink" Target="https://doi.org/10.1109/ICSE-COMPANION.2009.5071020" TargetMode="External"/><Relationship Id="rId119" Type="http://schemas.openxmlformats.org/officeDocument/2006/relationships/hyperlink" Target="https://ieeexplore.ieee.org/xpl/conhome/8752095/proceeding" TargetMode="External"/><Relationship Id="rId326" Type="http://schemas.openxmlformats.org/officeDocument/2006/relationships/hyperlink" Target="https://link.springer.com/conference/pro-ve" TargetMode="External"/><Relationship Id="rId533" Type="http://schemas.openxmlformats.org/officeDocument/2006/relationships/hyperlink" Target="https://doi.org/10.1145/2024445.2024468" TargetMode="External"/><Relationship Id="rId172" Type="http://schemas.openxmlformats.org/officeDocument/2006/relationships/hyperlink" Target="https://doi.org/10.1145/1595696.1595757" TargetMode="External"/><Relationship Id="rId477" Type="http://schemas.openxmlformats.org/officeDocument/2006/relationships/hyperlink" Target="https://doi.org/10.1016/j.compind.2008.07.010" TargetMode="External"/><Relationship Id="rId337" Type="http://schemas.openxmlformats.org/officeDocument/2006/relationships/hyperlink" Target="https://link.springer.com/conference/models" TargetMode="External"/><Relationship Id="rId34" Type="http://schemas.openxmlformats.org/officeDocument/2006/relationships/hyperlink" Target="https://doi.org/10.1109/ASE.2013.6693079" TargetMode="External"/><Relationship Id="rId544" Type="http://schemas.openxmlformats.org/officeDocument/2006/relationships/hyperlink" Target="https://doi.org/10.1007/978-3-540-87875-9_15" TargetMode="External"/><Relationship Id="rId183" Type="http://schemas.openxmlformats.org/officeDocument/2006/relationships/hyperlink" Target="https://dl.acm.org/doi/proceedings/10.1145/3270112" TargetMode="External"/><Relationship Id="rId390" Type="http://schemas.openxmlformats.org/officeDocument/2006/relationships/hyperlink" Target="https://doi.org/10.1007/s10270-020-00804-7" TargetMode="External"/><Relationship Id="rId404" Type="http://schemas.openxmlformats.org/officeDocument/2006/relationships/hyperlink" Target="https://ieeexplore.ieee.org/xpl/RecentIssue.jsp?punumber=4124007"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rwth-acis/syncmeta" TargetMode="External"/><Relationship Id="rId7" Type="http://schemas.openxmlformats.org/officeDocument/2006/relationships/printerSettings" Target="../printerSettings/printerSettings4.bin"/><Relationship Id="rId2" Type="http://schemas.openxmlformats.org/officeDocument/2006/relationships/hyperlink" Target="http://flamedesign.org/" TargetMode="External"/><Relationship Id="rId1" Type="http://schemas.openxmlformats.org/officeDocument/2006/relationships/hyperlink" Target="http://emfstore.org/" TargetMode="External"/><Relationship Id="rId6" Type="http://schemas.openxmlformats.org/officeDocument/2006/relationships/hyperlink" Target="https://github.com/rwth-acis/syncmeta" TargetMode="External"/><Relationship Id="rId5" Type="http://schemas.openxmlformats.org/officeDocument/2006/relationships/hyperlink" Target="https://atompm.github.io/" TargetMode="External"/><Relationship Id="rId4" Type="http://schemas.openxmlformats.org/officeDocument/2006/relationships/hyperlink" Target="https://pyro.scce.info/"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workbookViewId="0">
      <selection activeCell="K28" sqref="K28"/>
    </sheetView>
  </sheetViews>
  <sheetFormatPr defaultRowHeight="15" x14ac:dyDescent="0.25"/>
  <cols>
    <col min="1" max="1" width="24.140625" style="3" customWidth="1"/>
    <col min="2" max="2" width="17.42578125" style="3" customWidth="1"/>
    <col min="3" max="3" width="19.85546875" style="3" bestFit="1" customWidth="1"/>
    <col min="4" max="4" width="18.42578125" style="3" customWidth="1"/>
    <col min="5" max="5" width="24.85546875" style="3" bestFit="1" customWidth="1"/>
    <col min="6" max="6" width="24.85546875" style="3" hidden="1" customWidth="1"/>
    <col min="7" max="7" width="26.140625" style="3" customWidth="1"/>
    <col min="8" max="8" width="27.28515625" style="3" hidden="1" customWidth="1"/>
    <col min="9" max="9" width="19.140625" style="3" customWidth="1"/>
    <col min="10" max="10" width="17.28515625" style="3" customWidth="1"/>
    <col min="11" max="11" width="20.140625" style="3" customWidth="1"/>
    <col min="12" max="12" width="18.5703125" style="189" customWidth="1"/>
    <col min="13" max="13" width="18.5703125" style="286" customWidth="1"/>
    <col min="14" max="14" width="20.85546875" style="3" customWidth="1"/>
    <col min="15" max="15" width="19.85546875" style="3" customWidth="1"/>
    <col min="16" max="16" width="15" style="3" customWidth="1"/>
    <col min="17" max="17" width="12.140625" style="3" customWidth="1"/>
    <col min="18" max="18" width="9.140625" style="3"/>
    <col min="19" max="19" width="21.140625" style="3" customWidth="1"/>
    <col min="20" max="16384" width="9.140625" style="3"/>
  </cols>
  <sheetData>
    <row r="1" spans="1:16" s="27" customFormat="1" ht="30" x14ac:dyDescent="0.25">
      <c r="A1" s="103"/>
      <c r="B1" s="102" t="s">
        <v>1441</v>
      </c>
      <c r="C1" s="107" t="s">
        <v>1350</v>
      </c>
      <c r="D1" s="106" t="s">
        <v>764</v>
      </c>
      <c r="E1" s="28" t="s">
        <v>552</v>
      </c>
      <c r="F1" s="28" t="s">
        <v>552</v>
      </c>
      <c r="G1" s="28" t="s">
        <v>553</v>
      </c>
      <c r="H1" s="28" t="s">
        <v>553</v>
      </c>
      <c r="I1" s="107" t="s">
        <v>554</v>
      </c>
      <c r="J1" s="102" t="s">
        <v>3731</v>
      </c>
      <c r="K1" s="28" t="s">
        <v>3732</v>
      </c>
      <c r="L1" s="107" t="s">
        <v>3733</v>
      </c>
      <c r="M1" s="103" t="s">
        <v>3645</v>
      </c>
      <c r="N1" s="107" t="s">
        <v>2084</v>
      </c>
      <c r="O1" s="109" t="s">
        <v>3647</v>
      </c>
      <c r="P1" s="106"/>
    </row>
    <row r="2" spans="1:16" x14ac:dyDescent="0.25">
      <c r="A2" s="104" t="s">
        <v>5</v>
      </c>
      <c r="B2" s="3">
        <v>831</v>
      </c>
      <c r="C2" s="104">
        <v>305</v>
      </c>
      <c r="D2" s="3">
        <f>B2-C2</f>
        <v>526</v>
      </c>
      <c r="E2" s="3">
        <f>COUNTIFS('Initial Search'!A:A,"IEEE",'Initial Search'!K:K,"Initial")</f>
        <v>108</v>
      </c>
      <c r="F2" s="3">
        <v>96</v>
      </c>
      <c r="G2" s="3">
        <f>COUNTIFS('Initial Search'!A:A,"IEEE",'Initial Search'!K:K,"Initial",'Initial Search'!L:L,"Remained")</f>
        <v>50</v>
      </c>
      <c r="H2" s="3">
        <v>42</v>
      </c>
      <c r="I2" s="104">
        <f>COUNTIFS('Initial Search'!A:A,"IEEE",'Initial Search'!K:K,"Initial",'Initial Search'!L:L,"Remained",'Initial Search'!M:M,"Accepted")</f>
        <v>24</v>
      </c>
      <c r="J2" s="3">
        <f>COUNTIFS('Initial Search'!A:A,"IEEE",'Initial Search'!K:K,"Snowballing")</f>
        <v>9</v>
      </c>
      <c r="K2" s="3">
        <f>COUNTIFS('Initial Search'!A:A,"IEEE",'Initial Search'!K:K,"Snowballing",'Initial Search'!L:L,"Remained")</f>
        <v>6</v>
      </c>
      <c r="L2" s="104">
        <f>COUNTIFS('Initial Search'!A:A,"IEEE",'Initial Search'!K:K,"Snowballing",'Initial Search'!L:L,"Remained",'Initial Search'!M:M,"Accepted")</f>
        <v>5</v>
      </c>
      <c r="M2" s="104">
        <f>COUNTIFS('Initial Search'!A:A,"IEEE",'Initial Search'!L:L,"Remained",'Initial Search'!M:M,"Accepted")</f>
        <v>29</v>
      </c>
      <c r="N2" s="104">
        <f>COUNTIFS('Initial Search'!A:A,"IEEE",'Initial Search'!L:L,"Remained",'Initial Search'!M:M,"Accepted",'Initial Search'!N:N,"Approved")</f>
        <v>28</v>
      </c>
      <c r="O2" s="110">
        <f>COUNTIFS('Initial Search'!A:A,"IEEE",'Initial Search'!L:L,"Remained",'Initial Search'!M:M,"Accepted",'Initial Search'!N:N,"Approved")</f>
        <v>28</v>
      </c>
    </row>
    <row r="3" spans="1:16" x14ac:dyDescent="0.25">
      <c r="A3" s="104" t="s">
        <v>217</v>
      </c>
      <c r="B3" s="3">
        <v>789</v>
      </c>
      <c r="C3" s="104">
        <v>311</v>
      </c>
      <c r="D3" s="3">
        <f>B3-C3</f>
        <v>478</v>
      </c>
      <c r="E3" s="3">
        <f>COUNTIFS('Initial Search'!A:A,"ACM",'Initial Search'!K:K,"Initial")</f>
        <v>80</v>
      </c>
      <c r="F3" s="3">
        <v>62</v>
      </c>
      <c r="G3" s="3">
        <f>COUNTIFS('Initial Search'!A:A,"ACM",'Initial Search'!K:K,"Initial",'Initial Search'!L:L,"Remained")</f>
        <v>39</v>
      </c>
      <c r="H3" s="3">
        <v>26</v>
      </c>
      <c r="I3" s="104">
        <f>COUNTIFS('Initial Search'!A:A,"ACM",'Initial Search'!K:K,"Initial",'Initial Search'!L:L,"Remained",'Initial Search'!M:M,"Accepted")</f>
        <v>22</v>
      </c>
      <c r="J3" s="3">
        <f>COUNTIFS('Initial Search'!A:A,"ACM",'Initial Search'!K:K,"Snowballing")</f>
        <v>11</v>
      </c>
      <c r="K3" s="3">
        <f>COUNTIFS('Initial Search'!A:A,"ACM",'Initial Search'!K:K,"Snowballing",'Initial Search'!L:L,"Remained")</f>
        <v>9</v>
      </c>
      <c r="L3" s="104">
        <f>COUNTIFS('Initial Search'!A:A,"ACM",'Initial Search'!K:K,"Snowballing",'Initial Search'!L:L,"Remained",'Initial Search'!M:M,"Accepted")</f>
        <v>3</v>
      </c>
      <c r="M3" s="104">
        <f>COUNTIFS('Initial Search'!A:A,"ACM",'Initial Search'!L:L,"Remained",'Initial Search'!M:M,"Accepted")</f>
        <v>25</v>
      </c>
      <c r="N3" s="104">
        <f>COUNTIFS('Initial Search'!A:A,"ACM",'Initial Search'!L:L,"Remained",'Initial Search'!M:M,"Accepted",'Initial Search'!N:N,"Approved")</f>
        <v>22</v>
      </c>
      <c r="O3" s="110">
        <f>COUNTIFS('Initial Search'!A:A,"ACM",'Initial Search'!L:L,"Remained",'Initial Search'!M:M,"Accepted",'Initial Search'!N:N,"Approved")</f>
        <v>22</v>
      </c>
    </row>
    <row r="4" spans="1:16" x14ac:dyDescent="0.25">
      <c r="A4" s="104" t="s">
        <v>323</v>
      </c>
      <c r="B4" s="3">
        <v>481</v>
      </c>
      <c r="C4" s="104">
        <v>217</v>
      </c>
      <c r="D4" s="3">
        <f>B4-C4</f>
        <v>264</v>
      </c>
      <c r="E4" s="3">
        <f>COUNTIFS('Initial Search'!A:A,"Science Direct",'Initial Search'!K:K,"Initial")</f>
        <v>38</v>
      </c>
      <c r="F4" s="3">
        <v>34</v>
      </c>
      <c r="G4" s="3">
        <f>COUNTIFS('Initial Search'!A:A,"Science Direct",'Initial Search'!K:K,"Initial",'Initial Search'!L:L,"Remained")</f>
        <v>18</v>
      </c>
      <c r="H4" s="3">
        <v>16</v>
      </c>
      <c r="I4" s="104">
        <f>COUNTIFS('Initial Search'!A:A,"Science Direct",'Initial Search'!K:K,"Initial",'Initial Search'!L:L,"Remained",'Initial Search'!M:M,"Accepted")</f>
        <v>10</v>
      </c>
      <c r="J4" s="3">
        <f>COUNTIFS('Initial Search'!A:A,"Science Direct",'Initial Search'!K:K,"Snowballing")</f>
        <v>3</v>
      </c>
      <c r="K4" s="3">
        <f>COUNTIFS('Initial Search'!A:A,"Science Direct",'Initial Search'!K:K,"Snowballing",'Initial Search'!L:L,"Remained")</f>
        <v>2</v>
      </c>
      <c r="L4" s="104">
        <f>COUNTIFS('Initial Search'!A:A,"Science Direct",'Initial Search'!K:K,"Snowballing",'Initial Search'!L:L,"Remained",'Initial Search'!M:M,"Accepted")</f>
        <v>0</v>
      </c>
      <c r="M4" s="104">
        <f>COUNTIFS('Initial Search'!A:A,"Science Direct",'Initial Search'!L:L,"Remained",'Initial Search'!M:M,"Accepted")</f>
        <v>10</v>
      </c>
      <c r="N4" s="104">
        <f>COUNTIFS('Initial Search'!A:A,"Science Direct",'Initial Search'!L:L,"Remained",'Initial Search'!M:M,"Accepted",'Initial Search'!N:N,"Approved")</f>
        <v>9</v>
      </c>
      <c r="O4" s="110">
        <f>COUNTIFS('Initial Search'!A:A,"Science Direct",'Initial Search'!L:L,"Remained",'Initial Search'!M:M,"Accepted",'Initial Search'!N:N,"Approved")</f>
        <v>9</v>
      </c>
    </row>
    <row r="5" spans="1:16" x14ac:dyDescent="0.25">
      <c r="A5" s="104" t="s">
        <v>394</v>
      </c>
      <c r="B5" s="3">
        <v>272</v>
      </c>
      <c r="C5" s="104">
        <v>128</v>
      </c>
      <c r="D5" s="3">
        <f>B5-C5</f>
        <v>144</v>
      </c>
      <c r="E5" s="3">
        <f>COUNTIFS('Initial Search'!A:A,"Wiley",'Initial Search'!K:K,"Initial")</f>
        <v>12</v>
      </c>
      <c r="F5" s="3">
        <v>12</v>
      </c>
      <c r="G5" s="3">
        <f>COUNTIFS('Initial Search'!A:A,"Wiley",'Initial Search'!K:K,"Initial",'Initial Search'!L:L,"Remained")</f>
        <v>2</v>
      </c>
      <c r="H5" s="3">
        <v>2</v>
      </c>
      <c r="I5" s="104">
        <f>COUNTIFS('Initial Search'!A:A,"Wiley",'Initial Search'!K:K,"Initial",'Initial Search'!L:L,"Remained",'Initial Search'!M:M,"Accepted")</f>
        <v>1</v>
      </c>
      <c r="J5" s="3">
        <f>COUNTIFS('Initial Search'!A:A,"Wiley",'Initial Search'!K:K,"Snowballing")</f>
        <v>0</v>
      </c>
      <c r="K5" s="3">
        <f>COUNTIFS('Initial Search'!A:A,"Wiley",'Initial Search'!K:K,"Snowballing",'Initial Search'!L:L,"Remained")</f>
        <v>0</v>
      </c>
      <c r="L5" s="104">
        <f>COUNTIFS('Initial Search'!A:A,"Wiley",'Initial Search'!K:K,"Snowballing",'Initial Search'!L:L,"Remained",'Initial Search'!M:M,"Accepted")</f>
        <v>0</v>
      </c>
      <c r="M5" s="104">
        <f>COUNTIFS('Initial Search'!A:A,"Wiley",'Initial Search'!L:L,"Remained",'Initial Search'!M:M,"Accepted")</f>
        <v>1</v>
      </c>
      <c r="N5" s="104">
        <f>COUNTIFS('Initial Search'!A:A,"Wiley",'Initial Search'!L:L,"Remained",'Initial Search'!M:M,"Accepted",'Initial Search'!N:N,"Approved")</f>
        <v>1</v>
      </c>
      <c r="O5" s="110">
        <f>COUNTIFS('Initial Search'!A:A,"Wiley",'Initial Search'!L:L,"Remained",'Initial Search'!M:M,"Accepted",'Initial Search'!N:N,"Approved")</f>
        <v>1</v>
      </c>
    </row>
    <row r="6" spans="1:16" x14ac:dyDescent="0.25">
      <c r="A6" s="104" t="s">
        <v>427</v>
      </c>
      <c r="B6" s="3">
        <v>643</v>
      </c>
      <c r="C6" s="104">
        <v>253</v>
      </c>
      <c r="D6" s="3">
        <f>B6-C6</f>
        <v>390</v>
      </c>
      <c r="E6" s="3">
        <f>COUNTIFS('Initial Search'!A:A,"Springer Link",'Initial Search'!K:K,"Initial")</f>
        <v>84</v>
      </c>
      <c r="F6" s="3">
        <v>68</v>
      </c>
      <c r="G6" s="3">
        <f>COUNTIFS('Initial Search'!A:A,"Springer Link",'Initial Search'!K:K,"Initial",'Initial Search'!L:L,"Remained")</f>
        <v>62</v>
      </c>
      <c r="H6" s="3">
        <v>46</v>
      </c>
      <c r="I6" s="104">
        <f>COUNTIFS('Initial Search'!A:A,"Springer Link",'Initial Search'!K:K,"Initial",'Initial Search'!L:L,"Remained",'Initial Search'!M:M,"Accepted")</f>
        <v>33</v>
      </c>
      <c r="J6" s="3">
        <f>COUNTIFS('Initial Search'!A:A,"Springer Link",'Initial Search'!K:K,"Snowballing")</f>
        <v>5</v>
      </c>
      <c r="K6" s="3">
        <f>COUNTIFS('Initial Search'!A:A,"Springer Link",'Initial Search'!K:K,"Snowballing",'Initial Search'!L:L,"Remained")</f>
        <v>4</v>
      </c>
      <c r="L6" s="104">
        <f>COUNTIFS('Initial Search'!A:A,"Springer Link",'Initial Search'!K:K,"Snowballing",'Initial Search'!L:L,"Remained",'Initial Search'!M:M,"Accepted")</f>
        <v>3</v>
      </c>
      <c r="M6" s="104">
        <f>COUNTIFS('Initial Search'!A:A,"Springer Link",'Initial Search'!L:L,"Remained",'Initial Search'!M:M,"Accepted")</f>
        <v>36</v>
      </c>
      <c r="N6" s="104">
        <f>COUNTIFS('Initial Search'!A:A,"Springer Link",'Initial Search'!L:L,"Remained",'Initial Search'!M:M,"Accepted",'Initial Search'!N:N,"Approved")</f>
        <v>36</v>
      </c>
      <c r="O6" s="110">
        <f>COUNTIFS('Initial Search'!A:A,"Springer Link",'Initial Search'!L:L,"Remained",'Initial Search'!M:M,"Accepted",'Initial Search'!N:N,"Approved")</f>
        <v>36</v>
      </c>
    </row>
    <row r="7" spans="1:16" x14ac:dyDescent="0.25">
      <c r="A7" s="104" t="s">
        <v>1647</v>
      </c>
      <c r="C7" s="104"/>
      <c r="G7" s="243"/>
      <c r="I7" s="104"/>
      <c r="J7" s="3">
        <f>COUNTIFS('Initial Search'!A:A,"Other",'Initial Search'!K:K,"Snowballing")</f>
        <v>23</v>
      </c>
      <c r="K7" s="3">
        <f>COUNTIFS('Initial Search'!A:A,"Other",'Initial Search'!K:K,"Snowballing",'Initial Search'!L:L,"Remained")</f>
        <v>20</v>
      </c>
      <c r="L7" s="104">
        <f>COUNTIFS('Initial Search'!A:A,"Other",'Initial Search'!K:K,"Snowballing",'Initial Search'!L:L,"Remained",'Initial Search'!M:M,"Accepted")</f>
        <v>11</v>
      </c>
      <c r="M7" s="104">
        <f>COUNTIFS('Initial Search'!A:A,"Other",'Initial Search'!L:L,"Remained",'Initial Search'!M:M,"Accepted")</f>
        <v>11</v>
      </c>
      <c r="N7" s="104">
        <f>COUNTIFS('Initial Search'!A:A,"Other",'Initial Search'!L:L,"Remained",'Initial Search'!M:M,"Accepted",'Initial Search'!N:N,"Approved")</f>
        <v>9</v>
      </c>
      <c r="O7" s="110">
        <f>COUNTIFS('Initial Search'!A:A,"Other",'Initial Search'!L:L,"Remained",'Initial Search'!M:M,"Accepted",'Initial Search'!N:N,"Approved")</f>
        <v>9</v>
      </c>
    </row>
    <row r="8" spans="1:16" s="2" customFormat="1" x14ac:dyDescent="0.25">
      <c r="A8" s="105" t="s">
        <v>551</v>
      </c>
      <c r="B8" s="77">
        <f>SUM(B2:B6)</f>
        <v>3016</v>
      </c>
      <c r="C8" s="105">
        <f t="shared" ref="C8:H8" si="0">SUM(C2:C6)</f>
        <v>1214</v>
      </c>
      <c r="D8" s="315">
        <f t="shared" si="0"/>
        <v>1802</v>
      </c>
      <c r="E8" s="77">
        <f t="shared" si="0"/>
        <v>322</v>
      </c>
      <c r="F8" s="77">
        <f t="shared" si="0"/>
        <v>272</v>
      </c>
      <c r="G8" s="311">
        <f t="shared" si="0"/>
        <v>171</v>
      </c>
      <c r="H8" s="77">
        <f t="shared" si="0"/>
        <v>132</v>
      </c>
      <c r="I8" s="309">
        <f>SUM(I2:I6)</f>
        <v>90</v>
      </c>
      <c r="J8" s="77">
        <f t="shared" ref="J8:O8" si="1">SUM(J2:J7)</f>
        <v>51</v>
      </c>
      <c r="K8" s="311">
        <f t="shared" si="1"/>
        <v>41</v>
      </c>
      <c r="L8" s="309">
        <f t="shared" si="1"/>
        <v>22</v>
      </c>
      <c r="M8" s="105">
        <f t="shared" si="1"/>
        <v>112</v>
      </c>
      <c r="N8" s="105">
        <f t="shared" si="1"/>
        <v>105</v>
      </c>
      <c r="O8" s="111">
        <f t="shared" si="1"/>
        <v>105</v>
      </c>
    </row>
    <row r="9" spans="1:16" x14ac:dyDescent="0.25">
      <c r="A9" s="108"/>
      <c r="C9" s="108"/>
      <c r="I9" s="104"/>
      <c r="L9" s="104"/>
      <c r="M9" s="104"/>
      <c r="N9" s="104"/>
      <c r="O9" s="110"/>
    </row>
    <row r="10" spans="1:16" s="286" customFormat="1" x14ac:dyDescent="0.25">
      <c r="A10" s="104" t="s">
        <v>3644</v>
      </c>
      <c r="C10" s="104">
        <f>B8</f>
        <v>3016</v>
      </c>
      <c r="E10" s="286">
        <f>D8</f>
        <v>1802</v>
      </c>
      <c r="G10" s="286">
        <f>E8</f>
        <v>322</v>
      </c>
      <c r="I10" s="104">
        <f>G8</f>
        <v>171</v>
      </c>
      <c r="K10" s="286">
        <f>J8</f>
        <v>51</v>
      </c>
      <c r="L10" s="104">
        <f>K8</f>
        <v>41</v>
      </c>
      <c r="M10" s="104"/>
      <c r="N10" s="104">
        <f>M8</f>
        <v>112</v>
      </c>
      <c r="O10" s="110"/>
    </row>
    <row r="11" spans="1:16" x14ac:dyDescent="0.25">
      <c r="A11" s="104" t="s">
        <v>2692</v>
      </c>
      <c r="C11" s="104">
        <f>C8</f>
        <v>1214</v>
      </c>
      <c r="E11" s="3">
        <f>D8-E8</f>
        <v>1480</v>
      </c>
      <c r="F11" s="3">
        <f>D8-F8</f>
        <v>1530</v>
      </c>
      <c r="G11" s="3">
        <f>E8-G8</f>
        <v>151</v>
      </c>
      <c r="H11" s="3">
        <f>F8-H8</f>
        <v>140</v>
      </c>
      <c r="I11" s="104">
        <f>G8-I8</f>
        <v>81</v>
      </c>
      <c r="K11" s="3">
        <f>J8-K8</f>
        <v>10</v>
      </c>
      <c r="L11" s="104">
        <f>K8-L8</f>
        <v>19</v>
      </c>
      <c r="M11" s="104"/>
      <c r="N11" s="104">
        <f>COUNTIFS('Initial Search'!L:L,"Remained",'Initial Search'!M:M,"Accepted",'Initial Search'!N:N,"Disapproved")</f>
        <v>7</v>
      </c>
      <c r="O11" s="110"/>
    </row>
    <row r="12" spans="1:16" x14ac:dyDescent="0.25">
      <c r="A12" s="104" t="s">
        <v>3643</v>
      </c>
      <c r="C12" s="104">
        <f>C10-C11</f>
        <v>1802</v>
      </c>
      <c r="E12" s="3">
        <f>E10-E11</f>
        <v>322</v>
      </c>
      <c r="G12" s="3">
        <f>G10-G11</f>
        <v>171</v>
      </c>
      <c r="I12" s="104">
        <f>I10-I11</f>
        <v>90</v>
      </c>
      <c r="K12" s="3">
        <f>K10-K11</f>
        <v>41</v>
      </c>
      <c r="L12" s="104">
        <f>L10-L11</f>
        <v>22</v>
      </c>
      <c r="M12" s="104"/>
      <c r="N12" s="104">
        <f>N10-N11</f>
        <v>105</v>
      </c>
      <c r="O12" s="110"/>
    </row>
    <row r="13" spans="1:16" s="189" customFormat="1" x14ac:dyDescent="0.25">
      <c r="A13" s="112"/>
      <c r="B13" s="113"/>
      <c r="C13" s="112"/>
      <c r="D13" s="113"/>
      <c r="E13" s="113"/>
      <c r="F13" s="113"/>
      <c r="G13" s="113"/>
      <c r="H13" s="113"/>
      <c r="I13" s="112"/>
      <c r="J13" s="113"/>
      <c r="K13" s="113"/>
      <c r="L13" s="112"/>
      <c r="M13" s="112"/>
      <c r="N13" s="112"/>
      <c r="O13" s="115"/>
    </row>
    <row r="14" spans="1:16" x14ac:dyDescent="0.25">
      <c r="A14" s="112" t="s">
        <v>3646</v>
      </c>
      <c r="B14" s="113"/>
      <c r="C14" s="112"/>
      <c r="D14" s="113"/>
      <c r="E14" s="113"/>
      <c r="F14" s="113"/>
      <c r="G14" s="113"/>
      <c r="H14" s="113"/>
      <c r="I14" s="112">
        <v>59</v>
      </c>
      <c r="J14" s="113"/>
      <c r="K14" s="113"/>
      <c r="L14" s="320">
        <v>10</v>
      </c>
      <c r="M14" s="112"/>
      <c r="N14" s="112"/>
      <c r="O14" s="114" t="s">
        <v>3648</v>
      </c>
    </row>
  </sheetData>
  <pageMargins left="0.7" right="0.7" top="0.75" bottom="0.75" header="0.3" footer="0.3"/>
  <pageSetup orientation="portrait" r:id="rId1"/>
  <ignoredErrors>
    <ignoredError sqref="N8 J8"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C211-7CBB-4498-AA1C-20BD13AAE6F2}">
  <dimension ref="A1:AI134"/>
  <sheetViews>
    <sheetView topLeftCell="T1" zoomScaleNormal="100" workbookViewId="0">
      <pane ySplit="1" topLeftCell="A14" activePane="bottomLeft" state="frozen"/>
      <selection pane="bottomLeft" activeCell="T26" sqref="T26"/>
    </sheetView>
  </sheetViews>
  <sheetFormatPr defaultRowHeight="15" x14ac:dyDescent="0.25"/>
  <cols>
    <col min="1" max="1" width="95.140625" customWidth="1"/>
    <col min="2" max="4" width="10.85546875" style="314" customWidth="1"/>
    <col min="5" max="5" width="12.42578125" style="314" customWidth="1"/>
    <col min="6" max="6" width="10.85546875" style="314" customWidth="1"/>
    <col min="7" max="7" width="21.7109375" style="314" customWidth="1"/>
    <col min="8" max="9" width="11.140625" customWidth="1"/>
    <col min="10" max="10" width="11.7109375" customWidth="1"/>
    <col min="11" max="11" width="12" customWidth="1"/>
    <col min="12" max="12" width="13.28515625" customWidth="1"/>
    <col min="13" max="13" width="12.140625" customWidth="1"/>
    <col min="14" max="14" width="11.5703125" customWidth="1"/>
    <col min="15" max="15" width="12" customWidth="1"/>
    <col min="16" max="17" width="11.140625" customWidth="1"/>
    <col min="18" max="18" width="7.5703125" customWidth="1"/>
    <col min="19" max="19" width="6.28515625" customWidth="1"/>
    <col min="20" max="20" width="15" customWidth="1"/>
    <col min="21" max="21" width="4.7109375" customWidth="1"/>
    <col min="22" max="22" width="11.140625" customWidth="1"/>
    <col min="23" max="23" width="11.28515625" customWidth="1"/>
    <col min="24" max="24" width="11" customWidth="1"/>
    <col min="25" max="26" width="10.42578125" customWidth="1"/>
    <col min="27" max="28" width="10.140625" customWidth="1"/>
    <col min="29" max="29" width="34.42578125" customWidth="1"/>
    <col min="31" max="31" width="5.5703125" customWidth="1"/>
    <col min="32" max="32" width="79.5703125" customWidth="1"/>
    <col min="33" max="33" width="5.140625" style="314" customWidth="1"/>
    <col min="34" max="34" width="71.5703125" customWidth="1"/>
  </cols>
  <sheetData>
    <row r="1" spans="1:35" s="2" customFormat="1" ht="24" x14ac:dyDescent="0.25">
      <c r="A1" s="387" t="s">
        <v>1</v>
      </c>
      <c r="B1" s="387" t="s">
        <v>1616</v>
      </c>
      <c r="C1" s="387" t="s">
        <v>2468</v>
      </c>
      <c r="D1" s="387" t="s">
        <v>1676</v>
      </c>
      <c r="E1" s="387" t="s">
        <v>2081</v>
      </c>
      <c r="F1" s="387" t="s">
        <v>2083</v>
      </c>
      <c r="G1" s="387" t="s">
        <v>2082</v>
      </c>
      <c r="H1" s="20" t="s">
        <v>1625</v>
      </c>
      <c r="I1" s="20" t="s">
        <v>1636</v>
      </c>
      <c r="J1" s="20" t="s">
        <v>561</v>
      </c>
      <c r="K1" s="20" t="s">
        <v>1637</v>
      </c>
      <c r="L1" s="20" t="s">
        <v>2071</v>
      </c>
      <c r="M1" s="20" t="s">
        <v>1617</v>
      </c>
      <c r="N1" s="20" t="s">
        <v>1618</v>
      </c>
      <c r="O1" s="20" t="s">
        <v>1627</v>
      </c>
      <c r="P1" s="20" t="s">
        <v>1639</v>
      </c>
      <c r="Q1" s="348" t="s">
        <v>2074</v>
      </c>
      <c r="R1" s="387" t="s">
        <v>1619</v>
      </c>
      <c r="S1" s="387" t="s">
        <v>1620</v>
      </c>
      <c r="T1" s="21"/>
      <c r="U1" s="21"/>
      <c r="V1" s="21"/>
      <c r="W1" s="21"/>
      <c r="X1" s="21"/>
      <c r="Y1" s="21"/>
      <c r="Z1" s="21"/>
      <c r="AA1" s="21"/>
      <c r="AB1" s="21"/>
      <c r="AC1" s="21"/>
    </row>
    <row r="2" spans="1:35" s="2" customFormat="1" x14ac:dyDescent="0.25">
      <c r="A2" s="388"/>
      <c r="B2" s="388"/>
      <c r="C2" s="388"/>
      <c r="D2" s="388"/>
      <c r="E2" s="388"/>
      <c r="F2" s="388"/>
      <c r="G2" s="388"/>
      <c r="H2" s="26" t="s">
        <v>1611</v>
      </c>
      <c r="I2" s="26" t="s">
        <v>1612</v>
      </c>
      <c r="J2" s="26" t="s">
        <v>1613</v>
      </c>
      <c r="K2" s="26" t="s">
        <v>1614</v>
      </c>
      <c r="L2" s="26" t="s">
        <v>1615</v>
      </c>
      <c r="M2" s="26" t="s">
        <v>1632</v>
      </c>
      <c r="N2" s="26" t="s">
        <v>1633</v>
      </c>
      <c r="O2" s="26" t="s">
        <v>1634</v>
      </c>
      <c r="P2" s="26" t="s">
        <v>1635</v>
      </c>
      <c r="Q2" s="78" t="s">
        <v>2075</v>
      </c>
      <c r="R2" s="388"/>
      <c r="S2" s="388"/>
      <c r="T2" s="21"/>
      <c r="U2" s="21"/>
      <c r="V2" s="21"/>
      <c r="W2" s="21"/>
      <c r="X2" s="21"/>
      <c r="Y2" s="21"/>
      <c r="Z2" s="21"/>
      <c r="AA2" s="21"/>
      <c r="AB2" s="21"/>
      <c r="AC2" s="21"/>
    </row>
    <row r="3" spans="1:35" x14ac:dyDescent="0.25">
      <c r="A3" s="55" t="str">
        <f>'Initial Search'!D90</f>
        <v>Distributed Collaborative Model Editing Framework for Domain Specific Modeling Tools</v>
      </c>
      <c r="B3" s="22">
        <f>ROW('Initial Search'!90:90)</f>
        <v>90</v>
      </c>
      <c r="C3" s="22">
        <f>ROW('Feature Study'!6:6)</f>
        <v>6</v>
      </c>
      <c r="D3" s="23" t="str">
        <f>'Initial Search'!M90</f>
        <v>Accepted</v>
      </c>
      <c r="E3" s="23" t="str">
        <f>'Initial Search'!N90</f>
        <v>Approved</v>
      </c>
      <c r="F3" s="389" t="s">
        <v>2120</v>
      </c>
      <c r="G3" s="23" t="str">
        <f>'Initial Search'!O90</f>
        <v>DiCoMEF</v>
      </c>
      <c r="H3" s="55" t="s">
        <v>1623</v>
      </c>
      <c r="I3" s="55" t="s">
        <v>1624</v>
      </c>
      <c r="J3" s="55" t="s">
        <v>1624</v>
      </c>
      <c r="K3" s="55" t="s">
        <v>1624</v>
      </c>
      <c r="L3" s="55" t="s">
        <v>1621</v>
      </c>
      <c r="M3" s="55" t="s">
        <v>1623</v>
      </c>
      <c r="N3" s="55" t="s">
        <v>1623</v>
      </c>
      <c r="O3" s="55" t="s">
        <v>1621</v>
      </c>
      <c r="P3" s="55" t="s">
        <v>1623</v>
      </c>
      <c r="Q3" s="55" t="s">
        <v>1621</v>
      </c>
      <c r="R3" s="55">
        <f t="shared" ref="R3:R66" si="0">COUNTIF(H3:N3,"Yes") + 0.5 * COUNTIF(H3:N3,"partially")</f>
        <v>4.5</v>
      </c>
      <c r="S3" s="55">
        <f>R3/7*100</f>
        <v>64.285714285714292</v>
      </c>
      <c r="T3" s="73"/>
      <c r="V3" s="393"/>
      <c r="W3" s="394"/>
      <c r="X3" s="395"/>
      <c r="Y3" s="396" t="s">
        <v>1622</v>
      </c>
      <c r="Z3" s="397"/>
      <c r="AA3" s="397"/>
      <c r="AB3" s="398"/>
      <c r="AC3" s="16"/>
    </row>
    <row r="4" spans="1:35" x14ac:dyDescent="0.25">
      <c r="A4" s="55" t="str">
        <f>'Initial Search'!D3</f>
        <v>Collaborative editing of EMF/Ecore meta-models and models conflict detection, reconciliation, and merging in DiCoMEF</v>
      </c>
      <c r="B4" s="22">
        <f>ROW('Initial Search'!3:3)</f>
        <v>3</v>
      </c>
      <c r="C4" s="22">
        <f>ROW('Feature Study'!7:7)</f>
        <v>7</v>
      </c>
      <c r="D4" s="23" t="str">
        <f>'Initial Search'!M3</f>
        <v>Accepted</v>
      </c>
      <c r="E4" s="23" t="str">
        <f>'Initial Search'!N3</f>
        <v>Approved</v>
      </c>
      <c r="F4" s="391"/>
      <c r="G4" s="23" t="str">
        <f>'Initial Search'!O3</f>
        <v>DiCoMEF</v>
      </c>
      <c r="H4" s="55" t="s">
        <v>1623</v>
      </c>
      <c r="I4" s="55" t="s">
        <v>1623</v>
      </c>
      <c r="J4" s="55" t="s">
        <v>1623</v>
      </c>
      <c r="K4" s="55" t="s">
        <v>1621</v>
      </c>
      <c r="L4" s="55" t="s">
        <v>1624</v>
      </c>
      <c r="M4" s="55" t="s">
        <v>1621</v>
      </c>
      <c r="N4" s="55" t="s">
        <v>1624</v>
      </c>
      <c r="O4" s="55" t="s">
        <v>1621</v>
      </c>
      <c r="P4" s="55" t="s">
        <v>1624</v>
      </c>
      <c r="Q4" s="55" t="s">
        <v>1624</v>
      </c>
      <c r="R4" s="55">
        <f t="shared" si="0"/>
        <v>4</v>
      </c>
      <c r="S4" s="55">
        <f t="shared" ref="S4:S82" si="1">R4/7*100</f>
        <v>57.142857142857139</v>
      </c>
      <c r="T4" s="73"/>
      <c r="V4" s="349"/>
      <c r="W4" s="350"/>
      <c r="X4" s="351"/>
      <c r="Y4" s="352"/>
      <c r="Z4" s="353"/>
      <c r="AA4" s="353"/>
      <c r="AB4" s="354"/>
      <c r="AC4" s="16"/>
    </row>
    <row r="5" spans="1:35" x14ac:dyDescent="0.25">
      <c r="A5" s="55" t="str">
        <f>'Initial Search'!D171</f>
        <v>Collaborative editing of EMF/Ecore meta-models and models: Conflict detection, reconciliation, and merging in DiCoMEF</v>
      </c>
      <c r="B5" s="22">
        <f>ROW('Initial Search'!171:171)</f>
        <v>171</v>
      </c>
      <c r="C5" s="22">
        <f>ROW('Feature Study'!8:8)</f>
        <v>8</v>
      </c>
      <c r="D5" s="23" t="str">
        <f>'Initial Search'!M171</f>
        <v>Accepted</v>
      </c>
      <c r="E5" s="23" t="str">
        <f>'Initial Search'!N171</f>
        <v>Approved</v>
      </c>
      <c r="F5" s="390"/>
      <c r="G5" s="23" t="str">
        <f>'Initial Search'!O171</f>
        <v>DiCoMEF</v>
      </c>
      <c r="H5" s="55" t="s">
        <v>1623</v>
      </c>
      <c r="I5" s="55" t="s">
        <v>1623</v>
      </c>
      <c r="J5" s="55" t="s">
        <v>1623</v>
      </c>
      <c r="K5" s="55" t="s">
        <v>1623</v>
      </c>
      <c r="L5" s="55" t="s">
        <v>1623</v>
      </c>
      <c r="M5" s="55" t="s">
        <v>1623</v>
      </c>
      <c r="N5" s="55" t="s">
        <v>1623</v>
      </c>
      <c r="O5" s="55" t="s">
        <v>1621</v>
      </c>
      <c r="P5" s="55" t="s">
        <v>1623</v>
      </c>
      <c r="Q5" s="55" t="s">
        <v>1624</v>
      </c>
      <c r="R5" s="55">
        <f t="shared" si="0"/>
        <v>7</v>
      </c>
      <c r="S5" s="55">
        <f t="shared" si="1"/>
        <v>100</v>
      </c>
      <c r="T5" s="73"/>
      <c r="V5" s="18" t="s">
        <v>1623</v>
      </c>
      <c r="W5" s="18" t="s">
        <v>1624</v>
      </c>
      <c r="X5" s="18" t="s">
        <v>1621</v>
      </c>
      <c r="Y5" s="18" t="s">
        <v>551</v>
      </c>
      <c r="Z5" s="18" t="s">
        <v>1623</v>
      </c>
      <c r="AA5" s="18" t="s">
        <v>1624</v>
      </c>
      <c r="AB5" s="18" t="s">
        <v>1631</v>
      </c>
      <c r="AC5" s="16"/>
    </row>
    <row r="6" spans="1:35" x14ac:dyDescent="0.25">
      <c r="A6" s="55" t="str">
        <f>'Initial Search'!D4</f>
        <v>Composite-based conflict resolution in merging versions of UML models</v>
      </c>
      <c r="B6" s="22">
        <f>ROW('Initial Search'!4:4)</f>
        <v>4</v>
      </c>
      <c r="C6" s="22">
        <f>ROW('Feature Study'!10:10)</f>
        <v>10</v>
      </c>
      <c r="D6" s="23" t="str">
        <f>'Initial Search'!M4</f>
        <v>Accepted</v>
      </c>
      <c r="E6" s="23" t="str">
        <f>'Initial Search'!N4</f>
        <v>Approved</v>
      </c>
      <c r="F6" s="23" t="s">
        <v>2119</v>
      </c>
      <c r="G6" s="23" t="str">
        <f>'Initial Search'!O4</f>
        <v>Chong et al.</v>
      </c>
      <c r="H6" s="55" t="s">
        <v>1623</v>
      </c>
      <c r="I6" s="55" t="s">
        <v>1623</v>
      </c>
      <c r="J6" s="55" t="s">
        <v>1623</v>
      </c>
      <c r="K6" s="55" t="s">
        <v>1623</v>
      </c>
      <c r="L6" s="55" t="s">
        <v>1624</v>
      </c>
      <c r="M6" s="55" t="s">
        <v>1623</v>
      </c>
      <c r="N6" s="55" t="s">
        <v>1624</v>
      </c>
      <c r="O6" s="55" t="s">
        <v>1621</v>
      </c>
      <c r="P6" s="55" t="s">
        <v>1624</v>
      </c>
      <c r="Q6" s="55" t="s">
        <v>1621</v>
      </c>
      <c r="R6" s="55">
        <f t="shared" si="0"/>
        <v>6</v>
      </c>
      <c r="S6" s="55">
        <f t="shared" si="1"/>
        <v>85.714285714285708</v>
      </c>
      <c r="T6" s="73"/>
      <c r="V6" s="17">
        <f t="shared" ref="V6:V15" si="2">Z6/Y6</f>
        <v>0.9107142857142857</v>
      </c>
      <c r="W6" s="17">
        <f t="shared" ref="W6:W15" si="3">AA6/Y6</f>
        <v>8.9285714285714288E-2</v>
      </c>
      <c r="X6" s="17">
        <f t="shared" ref="X6:X15" si="4">AB6/Y6</f>
        <v>0</v>
      </c>
      <c r="Y6" s="17">
        <f t="shared" ref="Y6:Y15" si="5">AB6+AA6+Z6</f>
        <v>112</v>
      </c>
      <c r="Z6" s="17">
        <f>COUNTIF(H3:H114,"Yes")</f>
        <v>102</v>
      </c>
      <c r="AA6" s="17">
        <f>COUNTIF(H3:H114,"Partially")</f>
        <v>10</v>
      </c>
      <c r="AB6" s="17">
        <f>COUNTIF(H3:H114,"No")</f>
        <v>0</v>
      </c>
      <c r="AC6" s="19" t="s">
        <v>1625</v>
      </c>
      <c r="AD6" t="s">
        <v>1611</v>
      </c>
      <c r="AE6" s="314" t="s">
        <v>2065</v>
      </c>
      <c r="AF6" t="s">
        <v>2067</v>
      </c>
      <c r="AH6" t="s">
        <v>2055</v>
      </c>
    </row>
    <row r="7" spans="1:35" x14ac:dyDescent="0.25">
      <c r="A7" s="55" t="str">
        <f>'Initial Search'!D6</f>
        <v>Operation-based conflict detection and resolution</v>
      </c>
      <c r="B7" s="22">
        <f>ROW('Initial Search'!6:6)</f>
        <v>6</v>
      </c>
      <c r="C7" s="22">
        <f>ROW('Feature Study'!11:11)</f>
        <v>11</v>
      </c>
      <c r="D7" s="23" t="str">
        <f>'Initial Search'!M6</f>
        <v>Accepted</v>
      </c>
      <c r="E7" s="23" t="str">
        <f>'Initial Search'!N6</f>
        <v>Approved</v>
      </c>
      <c r="F7" s="389" t="s">
        <v>2118</v>
      </c>
      <c r="G7" s="23" t="str">
        <f>'Initial Search'!O6</f>
        <v>SCM (UniCase+)</v>
      </c>
      <c r="H7" s="55" t="s">
        <v>1624</v>
      </c>
      <c r="I7" s="55" t="s">
        <v>1623</v>
      </c>
      <c r="J7" s="55" t="s">
        <v>1623</v>
      </c>
      <c r="K7" s="55" t="s">
        <v>1621</v>
      </c>
      <c r="L7" s="55" t="s">
        <v>1624</v>
      </c>
      <c r="M7" s="55" t="s">
        <v>1621</v>
      </c>
      <c r="N7" s="55" t="s">
        <v>1623</v>
      </c>
      <c r="O7" s="55" t="s">
        <v>1621</v>
      </c>
      <c r="P7" s="55" t="s">
        <v>1624</v>
      </c>
      <c r="Q7" s="55" t="s">
        <v>1624</v>
      </c>
      <c r="R7" s="55">
        <f t="shared" si="0"/>
        <v>4</v>
      </c>
      <c r="S7" s="55">
        <f t="shared" si="1"/>
        <v>57.142857142857139</v>
      </c>
      <c r="T7" s="73"/>
      <c r="V7" s="17">
        <f t="shared" si="2"/>
        <v>0.5982142857142857</v>
      </c>
      <c r="W7" s="17">
        <f t="shared" si="3"/>
        <v>0.19642857142857142</v>
      </c>
      <c r="X7" s="17">
        <f>(AB7/Y7)-0.004</f>
        <v>0.20135714285714285</v>
      </c>
      <c r="Y7" s="17">
        <f t="shared" si="5"/>
        <v>112</v>
      </c>
      <c r="Z7" s="17">
        <f>COUNTIF(I3:I114,"Yes")</f>
        <v>67</v>
      </c>
      <c r="AA7" s="17">
        <f>COUNTIF(I3:I114,"Partially")</f>
        <v>22</v>
      </c>
      <c r="AB7" s="17">
        <f>COUNTIF(I3:I114,"No")</f>
        <v>23</v>
      </c>
      <c r="AC7" s="19" t="s">
        <v>1636</v>
      </c>
      <c r="AD7" t="s">
        <v>1612</v>
      </c>
      <c r="AE7" s="314" t="s">
        <v>2065</v>
      </c>
      <c r="AF7" t="s">
        <v>2068</v>
      </c>
      <c r="AH7" t="s">
        <v>2057</v>
      </c>
    </row>
    <row r="8" spans="1:35" x14ac:dyDescent="0.25">
      <c r="A8" s="55" t="str">
        <f>'Initial Search'!D113</f>
        <v>Operation-based conflict detection</v>
      </c>
      <c r="B8" s="22">
        <f>ROW('Initial Search'!113:113)</f>
        <v>113</v>
      </c>
      <c r="C8" s="22">
        <f>ROW('Feature Study'!13:13)</f>
        <v>13</v>
      </c>
      <c r="D8" s="23" t="str">
        <f>'Initial Search'!M113</f>
        <v>Accepted</v>
      </c>
      <c r="E8" s="23" t="str">
        <f>'Initial Search'!N113</f>
        <v>Approved</v>
      </c>
      <c r="F8" s="391"/>
      <c r="G8" s="23" t="str">
        <f>'Initial Search'!O113</f>
        <v>SCM (UniCase+)</v>
      </c>
      <c r="H8" s="55" t="s">
        <v>1624</v>
      </c>
      <c r="I8" s="55" t="s">
        <v>1621</v>
      </c>
      <c r="J8" s="55" t="s">
        <v>1623</v>
      </c>
      <c r="K8" s="55" t="s">
        <v>1623</v>
      </c>
      <c r="L8" s="55" t="s">
        <v>1623</v>
      </c>
      <c r="M8" s="55" t="s">
        <v>1624</v>
      </c>
      <c r="N8" s="55" t="s">
        <v>1621</v>
      </c>
      <c r="O8" s="55" t="s">
        <v>1621</v>
      </c>
      <c r="P8" s="55" t="s">
        <v>1623</v>
      </c>
      <c r="Q8" s="55" t="s">
        <v>1621</v>
      </c>
      <c r="R8" s="55">
        <f t="shared" si="0"/>
        <v>4</v>
      </c>
      <c r="S8" s="55">
        <f t="shared" si="1"/>
        <v>57.142857142857139</v>
      </c>
      <c r="T8" s="73"/>
      <c r="V8" s="17">
        <f t="shared" si="2"/>
        <v>0.8660714285714286</v>
      </c>
      <c r="W8" s="17">
        <f t="shared" si="3"/>
        <v>0.13392857142857142</v>
      </c>
      <c r="X8" s="17">
        <f t="shared" si="4"/>
        <v>0</v>
      </c>
      <c r="Y8" s="17">
        <f t="shared" si="5"/>
        <v>112</v>
      </c>
      <c r="Z8" s="17">
        <f>COUNTIF(J3:J114,"Yes")</f>
        <v>97</v>
      </c>
      <c r="AA8" s="17">
        <f>COUNTIF(J3:J114,"Partially")</f>
        <v>15</v>
      </c>
      <c r="AB8" s="17">
        <f>COUNTIF(J3:J114,"No")</f>
        <v>0</v>
      </c>
      <c r="AC8" s="19" t="s">
        <v>561</v>
      </c>
      <c r="AD8" t="s">
        <v>1613</v>
      </c>
      <c r="AE8" s="314" t="s">
        <v>2065</v>
      </c>
      <c r="AF8" t="s">
        <v>2073</v>
      </c>
      <c r="AH8" t="s">
        <v>2059</v>
      </c>
    </row>
    <row r="9" spans="1:35" x14ac:dyDescent="0.25">
      <c r="A9" s="55" t="str">
        <f>'Initial Search'!D148</f>
        <v>Collaborative model merging</v>
      </c>
      <c r="B9" s="22">
        <f>ROW('Initial Search'!148:148)</f>
        <v>148</v>
      </c>
      <c r="C9" s="22">
        <f>ROW('Feature Study'!14:14)</f>
        <v>14</v>
      </c>
      <c r="D9" s="23" t="str">
        <f>'Initial Search'!M148</f>
        <v>Accepted</v>
      </c>
      <c r="E9" s="23" t="str">
        <f>'Initial Search'!N148</f>
        <v>Disapproved</v>
      </c>
      <c r="F9" s="390"/>
      <c r="G9" s="23" t="str">
        <f>'Initial Search'!O148</f>
        <v>SCM (UniCase+)</v>
      </c>
      <c r="H9" s="55" t="s">
        <v>1624</v>
      </c>
      <c r="I9" s="55" t="s">
        <v>1621</v>
      </c>
      <c r="J9" s="55" t="s">
        <v>1624</v>
      </c>
      <c r="K9" s="55" t="s">
        <v>1624</v>
      </c>
      <c r="L9" s="55" t="s">
        <v>1624</v>
      </c>
      <c r="M9" s="55" t="s">
        <v>1624</v>
      </c>
      <c r="N9" s="55" t="s">
        <v>1621</v>
      </c>
      <c r="O9" s="55" t="s">
        <v>1621</v>
      </c>
      <c r="P9" s="55" t="s">
        <v>1623</v>
      </c>
      <c r="Q9" s="55" t="s">
        <v>1621</v>
      </c>
      <c r="R9" s="55">
        <f t="shared" si="0"/>
        <v>2.5</v>
      </c>
      <c r="S9" s="81">
        <f t="shared" si="1"/>
        <v>35.714285714285715</v>
      </c>
      <c r="T9" s="73"/>
      <c r="V9" s="17">
        <f t="shared" si="2"/>
        <v>0.22321428571428573</v>
      </c>
      <c r="W9" s="17">
        <f t="shared" si="3"/>
        <v>0.35714285714285715</v>
      </c>
      <c r="X9" s="17">
        <f t="shared" si="4"/>
        <v>0.41964285714285715</v>
      </c>
      <c r="Y9" s="17">
        <f t="shared" si="5"/>
        <v>112</v>
      </c>
      <c r="Z9" s="17">
        <f>COUNTIF(K3:K114,"Yes")</f>
        <v>25</v>
      </c>
      <c r="AA9" s="17">
        <f>COUNTIF(K3:K114,"Partially")</f>
        <v>40</v>
      </c>
      <c r="AB9" s="17">
        <f>COUNTIF(K3:K114,"No")</f>
        <v>47</v>
      </c>
      <c r="AC9" s="19" t="s">
        <v>1640</v>
      </c>
      <c r="AD9" t="s">
        <v>1614</v>
      </c>
      <c r="AE9" s="314" t="s">
        <v>2065</v>
      </c>
      <c r="AF9" t="s">
        <v>2062</v>
      </c>
      <c r="AH9" s="71" t="s">
        <v>2076</v>
      </c>
    </row>
    <row r="10" spans="1:35" x14ac:dyDescent="0.25">
      <c r="A10" s="55" t="str">
        <f>'Initial Search'!D8</f>
        <v>Collaborative-Design Conflicts: Costs and Solutions</v>
      </c>
      <c r="B10" s="22">
        <f>ROW('Initial Search'!8:8)</f>
        <v>8</v>
      </c>
      <c r="C10" s="22">
        <f>ROW('Feature Study'!17:17)</f>
        <v>17</v>
      </c>
      <c r="D10" s="23" t="str">
        <f>'Initial Search'!M8</f>
        <v>Accepted</v>
      </c>
      <c r="E10" s="23" t="str">
        <f>'Initial Search'!N8</f>
        <v>Approved</v>
      </c>
      <c r="F10" s="389" t="s">
        <v>2117</v>
      </c>
      <c r="G10" s="23" t="str">
        <f>'Initial Search'!O8</f>
        <v>FLAME</v>
      </c>
      <c r="H10" s="55" t="s">
        <v>1623</v>
      </c>
      <c r="I10" s="55" t="s">
        <v>1621</v>
      </c>
      <c r="J10" s="55" t="s">
        <v>1623</v>
      </c>
      <c r="K10" s="55" t="s">
        <v>1621</v>
      </c>
      <c r="L10" s="55" t="s">
        <v>1623</v>
      </c>
      <c r="M10" s="55" t="s">
        <v>1624</v>
      </c>
      <c r="N10" s="55" t="s">
        <v>1623</v>
      </c>
      <c r="O10" s="55" t="s">
        <v>1621</v>
      </c>
      <c r="P10" s="55" t="s">
        <v>1623</v>
      </c>
      <c r="Q10" s="55" t="s">
        <v>1621</v>
      </c>
      <c r="R10" s="55">
        <f t="shared" si="0"/>
        <v>4.5</v>
      </c>
      <c r="S10" s="55">
        <f t="shared" si="1"/>
        <v>64.285714285714292</v>
      </c>
      <c r="T10" s="73"/>
      <c r="V10" s="17">
        <f t="shared" si="2"/>
        <v>0.20535714285714285</v>
      </c>
      <c r="W10" s="17">
        <f t="shared" si="3"/>
        <v>0.5892857142857143</v>
      </c>
      <c r="X10" s="17">
        <f>(AB10/Y10)-0.001</f>
        <v>0.20435714285714285</v>
      </c>
      <c r="Y10" s="17">
        <f t="shared" si="5"/>
        <v>112</v>
      </c>
      <c r="Z10" s="17">
        <f>COUNTIF(L3:L114,"Yes")</f>
        <v>23</v>
      </c>
      <c r="AA10" s="17">
        <f>COUNTIF(L3:L114,"Partially")</f>
        <v>66</v>
      </c>
      <c r="AB10" s="17">
        <f>COUNTIF(L3:L114,"No")</f>
        <v>23</v>
      </c>
      <c r="AC10" s="19" t="s">
        <v>2071</v>
      </c>
      <c r="AD10" t="s">
        <v>1615</v>
      </c>
      <c r="AE10" s="314" t="s">
        <v>2065</v>
      </c>
      <c r="AF10" t="s">
        <v>3100</v>
      </c>
      <c r="AH10" t="s">
        <v>2061</v>
      </c>
      <c r="AI10" t="s">
        <v>2072</v>
      </c>
    </row>
    <row r="11" spans="1:35" x14ac:dyDescent="0.25">
      <c r="A11" s="55" t="str">
        <f>'Initial Search'!D14</f>
        <v>Proactive Detection of Higher-Order Software Design Conflicts</v>
      </c>
      <c r="B11" s="22">
        <f>ROW('Initial Search'!14:14)</f>
        <v>14</v>
      </c>
      <c r="C11" s="22">
        <f>ROW('Feature Study'!18:18)</f>
        <v>18</v>
      </c>
      <c r="D11" s="23" t="str">
        <f>'Initial Search'!M14</f>
        <v>Accepted</v>
      </c>
      <c r="E11" s="23" t="str">
        <f>'Initial Search'!N14</f>
        <v>Approved</v>
      </c>
      <c r="F11" s="391"/>
      <c r="G11" s="23" t="str">
        <f>'Initial Search'!O14</f>
        <v>FLAME</v>
      </c>
      <c r="H11" s="55" t="s">
        <v>1623</v>
      </c>
      <c r="I11" s="55" t="s">
        <v>1621</v>
      </c>
      <c r="J11" s="55" t="s">
        <v>1623</v>
      </c>
      <c r="K11" s="55" t="s">
        <v>1623</v>
      </c>
      <c r="L11" s="55" t="s">
        <v>1623</v>
      </c>
      <c r="M11" s="55" t="s">
        <v>1623</v>
      </c>
      <c r="N11" s="55" t="s">
        <v>1621</v>
      </c>
      <c r="O11" s="55" t="s">
        <v>1621</v>
      </c>
      <c r="P11" s="55" t="s">
        <v>1623</v>
      </c>
      <c r="Q11" s="55" t="s">
        <v>1621</v>
      </c>
      <c r="R11" s="55">
        <f t="shared" si="0"/>
        <v>5</v>
      </c>
      <c r="S11" s="55">
        <f t="shared" si="1"/>
        <v>71.428571428571431</v>
      </c>
      <c r="T11" s="73"/>
      <c r="V11" s="17">
        <f t="shared" si="2"/>
        <v>0.6160714285714286</v>
      </c>
      <c r="W11" s="17">
        <f t="shared" si="3"/>
        <v>0.25892857142857145</v>
      </c>
      <c r="X11" s="17">
        <f>(AB11/Y11)-0.001</f>
        <v>0.124</v>
      </c>
      <c r="Y11" s="17">
        <f t="shared" si="5"/>
        <v>112</v>
      </c>
      <c r="Z11" s="16">
        <f>COUNTIF(M3:M114,"Yes")</f>
        <v>69</v>
      </c>
      <c r="AA11" s="16">
        <f>COUNTIF(M3:M114,"Partially")</f>
        <v>29</v>
      </c>
      <c r="AB11" s="17">
        <f>COUNTIF(M3:M114,"No")</f>
        <v>14</v>
      </c>
      <c r="AC11" s="19" t="s">
        <v>1626</v>
      </c>
      <c r="AD11" t="s">
        <v>1632</v>
      </c>
      <c r="AE11" s="314" t="s">
        <v>2065</v>
      </c>
      <c r="AF11" t="s">
        <v>2069</v>
      </c>
      <c r="AH11" t="s">
        <v>2056</v>
      </c>
    </row>
    <row r="12" spans="1:35" x14ac:dyDescent="0.25">
      <c r="A12" s="55" t="str">
        <f>'Initial Search'!D86</f>
        <v>Continuous Analysis of Collaborative Design</v>
      </c>
      <c r="B12" s="22">
        <f>ROW('Initial Search'!86:86)</f>
        <v>86</v>
      </c>
      <c r="C12" s="22">
        <f>ROW('Feature Study'!19:19)</f>
        <v>19</v>
      </c>
      <c r="D12" s="23" t="str">
        <f>'Initial Search'!M86</f>
        <v>Accepted</v>
      </c>
      <c r="E12" s="23" t="str">
        <f>'Initial Search'!N86</f>
        <v>Approved</v>
      </c>
      <c r="F12" s="390"/>
      <c r="G12" s="23" t="str">
        <f>'Initial Search'!O86</f>
        <v>FLAME</v>
      </c>
      <c r="H12" s="55" t="s">
        <v>1623</v>
      </c>
      <c r="I12" s="55" t="s">
        <v>1621</v>
      </c>
      <c r="J12" s="55" t="s">
        <v>1623</v>
      </c>
      <c r="K12" s="55" t="s">
        <v>1623</v>
      </c>
      <c r="L12" s="55" t="s">
        <v>1623</v>
      </c>
      <c r="M12" s="55" t="s">
        <v>1623</v>
      </c>
      <c r="N12" s="55" t="s">
        <v>1621</v>
      </c>
      <c r="O12" s="55" t="s">
        <v>1621</v>
      </c>
      <c r="P12" s="55" t="s">
        <v>1623</v>
      </c>
      <c r="Q12" s="55" t="s">
        <v>1621</v>
      </c>
      <c r="R12" s="55">
        <f t="shared" si="0"/>
        <v>5</v>
      </c>
      <c r="S12" s="55">
        <f t="shared" si="1"/>
        <v>71.428571428571431</v>
      </c>
      <c r="T12" s="73"/>
      <c r="V12" s="17">
        <f t="shared" si="2"/>
        <v>0.4732142857142857</v>
      </c>
      <c r="W12" s="17">
        <f t="shared" si="3"/>
        <v>0.4107142857142857</v>
      </c>
      <c r="X12" s="17">
        <f>AB12/Y12</f>
        <v>0.11607142857142858</v>
      </c>
      <c r="Y12" s="17">
        <f t="shared" si="5"/>
        <v>112</v>
      </c>
      <c r="Z12" s="16">
        <f>COUNTIF(N3:N114,"Yes")</f>
        <v>53</v>
      </c>
      <c r="AA12" s="16">
        <f>COUNTIF(N3:N114,"Partially")</f>
        <v>46</v>
      </c>
      <c r="AB12" s="17">
        <f>COUNTIF(N3:N114,"No")</f>
        <v>13</v>
      </c>
      <c r="AC12" s="19" t="s">
        <v>1628</v>
      </c>
      <c r="AD12" t="s">
        <v>1633</v>
      </c>
      <c r="AE12" s="314" t="s">
        <v>2065</v>
      </c>
      <c r="AF12" t="s">
        <v>2063</v>
      </c>
    </row>
    <row r="13" spans="1:35" x14ac:dyDescent="0.25">
      <c r="A13" s="55" t="str">
        <f>'Initial Search'!D10</f>
        <v>Inconsistency Resolution in Merging Versions of Architectural Models</v>
      </c>
      <c r="B13" s="22">
        <f>ROW('Initial Search'!10:10)</f>
        <v>10</v>
      </c>
      <c r="C13" s="22">
        <f>ROW('Feature Study'!21:21)</f>
        <v>21</v>
      </c>
      <c r="D13" s="23" t="str">
        <f>'Initial Search'!M10</f>
        <v>Accepted</v>
      </c>
      <c r="E13" s="23" t="str">
        <f>'Initial Search'!N10</f>
        <v>Approved</v>
      </c>
      <c r="F13" s="389" t="s">
        <v>2116</v>
      </c>
      <c r="G13" s="23" t="str">
        <f>'Initial Search'!O10</f>
        <v>Dam et al.</v>
      </c>
      <c r="H13" s="55" t="s">
        <v>1623</v>
      </c>
      <c r="I13" s="55" t="s">
        <v>1623</v>
      </c>
      <c r="J13" s="55" t="s">
        <v>1623</v>
      </c>
      <c r="K13" s="55" t="s">
        <v>1623</v>
      </c>
      <c r="L13" s="55" t="s">
        <v>1624</v>
      </c>
      <c r="M13" s="55" t="s">
        <v>1623</v>
      </c>
      <c r="N13" s="55" t="s">
        <v>1623</v>
      </c>
      <c r="O13" s="55" t="s">
        <v>1621</v>
      </c>
      <c r="P13" s="55" t="s">
        <v>1624</v>
      </c>
      <c r="Q13" s="55" t="s">
        <v>1624</v>
      </c>
      <c r="R13" s="55">
        <f t="shared" si="0"/>
        <v>6.5</v>
      </c>
      <c r="S13" s="55">
        <f t="shared" si="1"/>
        <v>92.857142857142861</v>
      </c>
      <c r="T13" s="73"/>
      <c r="V13" s="17">
        <f t="shared" si="2"/>
        <v>1.7857142857142856E-2</v>
      </c>
      <c r="W13" s="17">
        <f t="shared" si="3"/>
        <v>8.9285714285714281E-3</v>
      </c>
      <c r="X13" s="17">
        <f t="shared" si="4"/>
        <v>0.9732142857142857</v>
      </c>
      <c r="Y13" s="17">
        <f t="shared" si="5"/>
        <v>112</v>
      </c>
      <c r="Z13" s="16">
        <f>COUNTIF(O3:O114,"Yes")</f>
        <v>2</v>
      </c>
      <c r="AA13" s="16">
        <f>COUNTIF(O3:O114,"Partially")</f>
        <v>1</v>
      </c>
      <c r="AB13" s="16">
        <f>COUNTIF(O3:O114,"No")</f>
        <v>109</v>
      </c>
      <c r="AC13" s="63" t="s">
        <v>1627</v>
      </c>
      <c r="AD13" t="s">
        <v>1634</v>
      </c>
      <c r="AE13" s="314" t="s">
        <v>2066</v>
      </c>
      <c r="AF13" t="s">
        <v>2058</v>
      </c>
      <c r="AH13" t="s">
        <v>2077</v>
      </c>
    </row>
    <row r="14" spans="1:35" x14ac:dyDescent="0.25">
      <c r="A14" s="55" t="str">
        <f>'Initial Search'!D172</f>
        <v>Consistent merging of model versions</v>
      </c>
      <c r="B14" s="22">
        <f>ROW('Initial Search'!172:172)</f>
        <v>172</v>
      </c>
      <c r="C14" s="22">
        <f>ROW('Feature Study'!22:22)</f>
        <v>22</v>
      </c>
      <c r="D14" s="23" t="str">
        <f>'Initial Search'!M172</f>
        <v>Accepted</v>
      </c>
      <c r="E14" s="23" t="str">
        <f>'Initial Search'!N172</f>
        <v>Approved</v>
      </c>
      <c r="F14" s="390"/>
      <c r="G14" s="23" t="str">
        <f>'Initial Search'!O172</f>
        <v>Dam et al.</v>
      </c>
      <c r="H14" s="55" t="s">
        <v>1623</v>
      </c>
      <c r="I14" s="55" t="s">
        <v>1623</v>
      </c>
      <c r="J14" s="55" t="s">
        <v>1623</v>
      </c>
      <c r="K14" s="55" t="s">
        <v>1623</v>
      </c>
      <c r="L14" s="55" t="s">
        <v>1623</v>
      </c>
      <c r="M14" s="55" t="s">
        <v>1623</v>
      </c>
      <c r="N14" s="55" t="s">
        <v>1623</v>
      </c>
      <c r="O14" s="55" t="s">
        <v>1621</v>
      </c>
      <c r="P14" s="55" t="s">
        <v>1623</v>
      </c>
      <c r="Q14" s="55" t="s">
        <v>1624</v>
      </c>
      <c r="R14" s="55">
        <f t="shared" si="0"/>
        <v>7</v>
      </c>
      <c r="S14" s="55">
        <f t="shared" si="1"/>
        <v>100</v>
      </c>
      <c r="T14" s="73"/>
      <c r="V14" s="17">
        <f t="shared" si="2"/>
        <v>0.5267857142857143</v>
      </c>
      <c r="W14" s="17">
        <f t="shared" si="3"/>
        <v>0.36607142857142855</v>
      </c>
      <c r="X14" s="17">
        <f t="shared" si="4"/>
        <v>0.10714285714285714</v>
      </c>
      <c r="Y14" s="17">
        <f t="shared" si="5"/>
        <v>112</v>
      </c>
      <c r="Z14" s="16">
        <f>COUNTIF(P3:P114,"Yes")</f>
        <v>59</v>
      </c>
      <c r="AA14" s="16">
        <f>COUNTIF(P3:P114,"Partially")</f>
        <v>41</v>
      </c>
      <c r="AB14" s="16">
        <f>COUNTIF(P3:P114,"No")</f>
        <v>12</v>
      </c>
      <c r="AC14" s="63" t="s">
        <v>1639</v>
      </c>
      <c r="AD14" t="s">
        <v>1635</v>
      </c>
      <c r="AE14" s="314" t="s">
        <v>2066</v>
      </c>
      <c r="AF14" t="s">
        <v>2060</v>
      </c>
    </row>
    <row r="15" spans="1:35" x14ac:dyDescent="0.25">
      <c r="A15" s="55" t="str">
        <f>'Initial Search'!D11</f>
        <v>Handling Concurrent Changes in Collaborative Process Model Development: A Change-Pattern Based Approach</v>
      </c>
      <c r="B15" s="22">
        <f>ROW('Initial Search'!11:11)</f>
        <v>11</v>
      </c>
      <c r="C15" s="22">
        <f>ROW('Feature Study'!23:23)</f>
        <v>23</v>
      </c>
      <c r="D15" s="23" t="str">
        <f>'Initial Search'!M11</f>
        <v>Accepted</v>
      </c>
      <c r="E15" s="23" t="str">
        <f>'Initial Search'!N11</f>
        <v>Approved</v>
      </c>
      <c r="F15" s="288" t="s">
        <v>2115</v>
      </c>
      <c r="G15" s="23" t="str">
        <f>'Initial Search'!O11</f>
        <v>xoWiki</v>
      </c>
      <c r="H15" s="55" t="s">
        <v>1623</v>
      </c>
      <c r="I15" s="55" t="s">
        <v>1624</v>
      </c>
      <c r="J15" s="55" t="s">
        <v>1623</v>
      </c>
      <c r="K15" s="55" t="s">
        <v>1621</v>
      </c>
      <c r="L15" s="55" t="s">
        <v>1623</v>
      </c>
      <c r="M15" s="55" t="s">
        <v>1624</v>
      </c>
      <c r="N15" s="55" t="s">
        <v>1624</v>
      </c>
      <c r="O15" s="55" t="s">
        <v>1621</v>
      </c>
      <c r="P15" s="55" t="s">
        <v>1623</v>
      </c>
      <c r="Q15" s="55" t="s">
        <v>1624</v>
      </c>
      <c r="R15" s="55">
        <f t="shared" si="0"/>
        <v>4.5</v>
      </c>
      <c r="S15" s="55">
        <f t="shared" si="1"/>
        <v>64.285714285714292</v>
      </c>
      <c r="T15" s="73"/>
      <c r="V15" s="17">
        <f t="shared" si="2"/>
        <v>0.10714285714285714</v>
      </c>
      <c r="W15" s="17">
        <f t="shared" si="3"/>
        <v>0.26785714285714285</v>
      </c>
      <c r="X15" s="17">
        <f t="shared" si="4"/>
        <v>0.625</v>
      </c>
      <c r="Y15" s="17">
        <f t="shared" si="5"/>
        <v>112</v>
      </c>
      <c r="Z15" s="16">
        <f>COUNTIF(Q3:Q114,"Yes")</f>
        <v>12</v>
      </c>
      <c r="AA15" s="16">
        <f>COUNTIF(Q3:Q114,"Partially")</f>
        <v>30</v>
      </c>
      <c r="AB15" s="16">
        <f>COUNTIF(Q3:Q114,"No")</f>
        <v>70</v>
      </c>
      <c r="AC15" s="63" t="s">
        <v>2074</v>
      </c>
      <c r="AD15" t="s">
        <v>2075</v>
      </c>
      <c r="AE15" s="314" t="s">
        <v>2066</v>
      </c>
      <c r="AF15" t="s">
        <v>2070</v>
      </c>
    </row>
    <row r="16" spans="1:35" x14ac:dyDescent="0.25">
      <c r="A16" s="55" t="str">
        <f>'Initial Search'!D104</f>
        <v>Property-based locking in collaborative modeling</v>
      </c>
      <c r="B16" s="22">
        <f>ROW('Initial Search'!104:104)</f>
        <v>104</v>
      </c>
      <c r="C16" s="22">
        <f>ROW('Feature Study'!26:26)</f>
        <v>26</v>
      </c>
      <c r="D16" s="23" t="str">
        <f>'Initial Search'!M104</f>
        <v>Accepted</v>
      </c>
      <c r="E16" s="23" t="str">
        <f>'Initial Search'!N104</f>
        <v>Approved</v>
      </c>
      <c r="F16" s="389" t="s">
        <v>2114</v>
      </c>
      <c r="G16" s="23" t="str">
        <f>'Initial Search'!O104</f>
        <v>MONDO</v>
      </c>
      <c r="H16" s="55" t="s">
        <v>1623</v>
      </c>
      <c r="I16" s="55" t="s">
        <v>1623</v>
      </c>
      <c r="J16" s="55" t="s">
        <v>1623</v>
      </c>
      <c r="K16" s="55" t="s">
        <v>1623</v>
      </c>
      <c r="L16" s="55" t="s">
        <v>1624</v>
      </c>
      <c r="M16" s="55" t="s">
        <v>1624</v>
      </c>
      <c r="N16" s="55" t="s">
        <v>1624</v>
      </c>
      <c r="O16" s="55" t="s">
        <v>1621</v>
      </c>
      <c r="P16" s="55" t="s">
        <v>1623</v>
      </c>
      <c r="Q16" s="55" t="s">
        <v>1623</v>
      </c>
      <c r="R16" s="55">
        <f t="shared" si="0"/>
        <v>5.5</v>
      </c>
      <c r="S16" s="55">
        <f t="shared" si="1"/>
        <v>78.571428571428569</v>
      </c>
      <c r="T16" s="73"/>
    </row>
    <row r="17" spans="1:20" x14ac:dyDescent="0.25">
      <c r="A17" s="55" t="str">
        <f>'Initial Search'!D235</f>
        <v>Automated Model Merge by Design Space Exploration</v>
      </c>
      <c r="B17" s="22">
        <f>ROW('Initial Search'!235:235)</f>
        <v>235</v>
      </c>
      <c r="C17" s="22">
        <f>ROW('Feature Study'!29:29)</f>
        <v>29</v>
      </c>
      <c r="D17" s="23" t="str">
        <f>'Initial Search'!M235</f>
        <v>Accepted</v>
      </c>
      <c r="E17" s="23" t="str">
        <f>'Initial Search'!N235</f>
        <v>Approved</v>
      </c>
      <c r="F17" s="390"/>
      <c r="G17" s="23" t="str">
        <f>'Initial Search'!O235</f>
        <v>MONDO</v>
      </c>
      <c r="H17" s="55" t="s">
        <v>1623</v>
      </c>
      <c r="I17" s="55" t="s">
        <v>1623</v>
      </c>
      <c r="J17" s="55" t="s">
        <v>1623</v>
      </c>
      <c r="K17" s="55" t="s">
        <v>1624</v>
      </c>
      <c r="L17" s="55" t="s">
        <v>1623</v>
      </c>
      <c r="M17" s="55" t="s">
        <v>1623</v>
      </c>
      <c r="N17" s="55" t="s">
        <v>1623</v>
      </c>
      <c r="O17" s="55" t="s">
        <v>1621</v>
      </c>
      <c r="P17" s="55" t="s">
        <v>1623</v>
      </c>
      <c r="Q17" s="55" t="s">
        <v>1621</v>
      </c>
      <c r="R17" s="55">
        <f t="shared" si="0"/>
        <v>6.5</v>
      </c>
      <c r="S17" s="55">
        <f t="shared" si="1"/>
        <v>92.857142857142861</v>
      </c>
      <c r="T17" s="73"/>
    </row>
    <row r="18" spans="1:20" x14ac:dyDescent="0.25">
      <c r="A18" s="55" t="str">
        <f>'Initial Search'!D224</f>
        <v>Detection and resolution of conflicting change operations in version management of process models</v>
      </c>
      <c r="B18" s="22">
        <f>ROW('Initial Search'!224:224)</f>
        <v>224</v>
      </c>
      <c r="C18" s="22">
        <f>ROW('Feature Study'!32:32)</f>
        <v>32</v>
      </c>
      <c r="D18" s="23" t="str">
        <f>'Initial Search'!M224</f>
        <v>Accepted</v>
      </c>
      <c r="E18" s="23" t="str">
        <f>'Initial Search'!N224</f>
        <v>Approved</v>
      </c>
      <c r="F18" s="389" t="s">
        <v>2113</v>
      </c>
      <c r="G18" s="23" t="str">
        <f>'Initial Search'!O224</f>
        <v>Gerth et al.</v>
      </c>
      <c r="H18" s="55" t="s">
        <v>1623</v>
      </c>
      <c r="I18" s="55" t="s">
        <v>1623</v>
      </c>
      <c r="J18" s="55" t="s">
        <v>1623</v>
      </c>
      <c r="K18" s="55" t="s">
        <v>1624</v>
      </c>
      <c r="L18" s="55" t="s">
        <v>1621</v>
      </c>
      <c r="M18" s="55" t="s">
        <v>1623</v>
      </c>
      <c r="N18" s="55" t="s">
        <v>1623</v>
      </c>
      <c r="O18" s="55" t="s">
        <v>1621</v>
      </c>
      <c r="P18" s="55" t="s">
        <v>1623</v>
      </c>
      <c r="Q18" s="55" t="s">
        <v>1624</v>
      </c>
      <c r="R18" s="55">
        <f t="shared" si="0"/>
        <v>5.5</v>
      </c>
      <c r="S18" s="55">
        <f t="shared" si="1"/>
        <v>78.571428571428569</v>
      </c>
      <c r="T18" s="73"/>
    </row>
    <row r="19" spans="1:20" x14ac:dyDescent="0.25">
      <c r="A19" s="55" t="str">
        <f>'Initial Search'!D239</f>
        <v>Precise Detection of Conflicting Change Operations Using Process Model Terms</v>
      </c>
      <c r="B19" s="22">
        <f>ROW('Initial Search'!239:239)</f>
        <v>239</v>
      </c>
      <c r="C19" s="22">
        <f>ROW('Feature Study'!33:33)</f>
        <v>33</v>
      </c>
      <c r="D19" s="23" t="str">
        <f>'Initial Search'!M239</f>
        <v>Accepted</v>
      </c>
      <c r="E19" s="23" t="str">
        <f>'Initial Search'!N239</f>
        <v>Approved</v>
      </c>
      <c r="F19" s="391"/>
      <c r="G19" s="23" t="str">
        <f>'Initial Search'!O239</f>
        <v>Gerth et al.</v>
      </c>
      <c r="H19" s="55" t="s">
        <v>1623</v>
      </c>
      <c r="I19" s="55" t="s">
        <v>1623</v>
      </c>
      <c r="J19" s="55" t="s">
        <v>1623</v>
      </c>
      <c r="K19" s="55" t="s">
        <v>1624</v>
      </c>
      <c r="L19" s="55" t="s">
        <v>1621</v>
      </c>
      <c r="M19" s="55" t="s">
        <v>1623</v>
      </c>
      <c r="N19" s="55" t="s">
        <v>1623</v>
      </c>
      <c r="O19" s="55" t="s">
        <v>1621</v>
      </c>
      <c r="P19" s="55" t="s">
        <v>1624</v>
      </c>
      <c r="Q19" s="55" t="s">
        <v>1621</v>
      </c>
      <c r="R19" s="55">
        <f t="shared" si="0"/>
        <v>5.5</v>
      </c>
      <c r="S19" s="55">
        <f t="shared" si="1"/>
        <v>78.571428571428569</v>
      </c>
      <c r="T19" s="73"/>
    </row>
    <row r="20" spans="1:20" x14ac:dyDescent="0.25">
      <c r="A20" s="55" t="str">
        <f>'Initial Search'!D256</f>
        <v>Dependent and Conflicting Change Operations of Process Models</v>
      </c>
      <c r="B20" s="22">
        <f>ROW('Initial Search'!256:256)</f>
        <v>256</v>
      </c>
      <c r="C20" s="22">
        <f>ROW('Feature Study'!35:35)</f>
        <v>35</v>
      </c>
      <c r="D20" s="23" t="str">
        <f>'Initial Search'!M256</f>
        <v>Accepted</v>
      </c>
      <c r="E20" s="23" t="str">
        <f>'Initial Search'!N256</f>
        <v>Approved</v>
      </c>
      <c r="F20" s="390"/>
      <c r="G20" s="23" t="str">
        <f>'Initial Search'!O256</f>
        <v>Gerth et al.</v>
      </c>
      <c r="H20" s="55" t="s">
        <v>1623</v>
      </c>
      <c r="I20" s="55" t="s">
        <v>1623</v>
      </c>
      <c r="J20" s="55" t="s">
        <v>1623</v>
      </c>
      <c r="K20" s="55" t="s">
        <v>1624</v>
      </c>
      <c r="L20" s="55" t="s">
        <v>1624</v>
      </c>
      <c r="M20" s="55" t="s">
        <v>1623</v>
      </c>
      <c r="N20" s="55" t="s">
        <v>1623</v>
      </c>
      <c r="O20" s="55" t="s">
        <v>1621</v>
      </c>
      <c r="P20" s="55" t="s">
        <v>1624</v>
      </c>
      <c r="Q20" s="55" t="s">
        <v>1621</v>
      </c>
      <c r="R20" s="55">
        <f t="shared" si="0"/>
        <v>6</v>
      </c>
      <c r="S20" s="55">
        <f t="shared" si="1"/>
        <v>85.714285714285708</v>
      </c>
      <c r="T20" s="73"/>
    </row>
    <row r="21" spans="1:20" x14ac:dyDescent="0.25">
      <c r="A21" s="55" t="str">
        <f>'Initial Search'!D17</f>
        <v>Conflict Analysis at Collaborative Development of Domain Specific Models using Description Logics</v>
      </c>
      <c r="B21" s="22">
        <f>ROW('Initial Search'!17:17)</f>
        <v>17</v>
      </c>
      <c r="C21" s="22">
        <f>ROW('Feature Study'!36:36)</f>
        <v>36</v>
      </c>
      <c r="D21" s="23" t="str">
        <f>'Initial Search'!M17</f>
        <v>Accepted</v>
      </c>
      <c r="E21" s="23" t="str">
        <f>'Initial Search'!N17</f>
        <v>Approved</v>
      </c>
      <c r="F21" s="23" t="s">
        <v>2112</v>
      </c>
      <c r="G21" s="23" t="str">
        <f>'Initial Search'!O17</f>
        <v>Bartelt</v>
      </c>
      <c r="H21" s="55" t="s">
        <v>1623</v>
      </c>
      <c r="I21" s="55" t="s">
        <v>1623</v>
      </c>
      <c r="J21" s="55" t="s">
        <v>1623</v>
      </c>
      <c r="K21" s="55" t="s">
        <v>1621</v>
      </c>
      <c r="L21" s="55" t="s">
        <v>1624</v>
      </c>
      <c r="M21" s="55" t="s">
        <v>1621</v>
      </c>
      <c r="N21" s="55" t="s">
        <v>1623</v>
      </c>
      <c r="O21" s="55" t="s">
        <v>1621</v>
      </c>
      <c r="P21" s="55" t="s">
        <v>1624</v>
      </c>
      <c r="Q21" s="55" t="s">
        <v>1621</v>
      </c>
      <c r="R21" s="55">
        <f t="shared" si="0"/>
        <v>4.5</v>
      </c>
      <c r="S21" s="55">
        <f t="shared" si="1"/>
        <v>64.285714285714292</v>
      </c>
      <c r="T21" s="73"/>
    </row>
    <row r="22" spans="1:20" x14ac:dyDescent="0.25">
      <c r="A22" s="55" t="str">
        <f>'Initial Search'!D30</f>
        <v>Technology Support for Collaborative Inconsistency Management in Model Driven Engineering</v>
      </c>
      <c r="B22" s="22">
        <f>ROW('Initial Search'!30:30)</f>
        <v>30</v>
      </c>
      <c r="C22" s="22">
        <f>ROW('Feature Study'!37:37)</f>
        <v>37</v>
      </c>
      <c r="D22" s="23" t="str">
        <f>'Initial Search'!M30</f>
        <v>Accepted</v>
      </c>
      <c r="E22" s="23" t="str">
        <f>'Initial Search'!N30</f>
        <v>Approved</v>
      </c>
      <c r="F22" s="389" t="s">
        <v>2111</v>
      </c>
      <c r="G22" s="23" t="str">
        <f>'Initial Search'!O30</f>
        <v>Jazz</v>
      </c>
      <c r="H22" s="55" t="s">
        <v>1623</v>
      </c>
      <c r="I22" s="55" t="s">
        <v>1623</v>
      </c>
      <c r="J22" s="55" t="s">
        <v>1624</v>
      </c>
      <c r="K22" s="55" t="s">
        <v>1621</v>
      </c>
      <c r="L22" s="55" t="s">
        <v>1624</v>
      </c>
      <c r="M22" s="55" t="s">
        <v>1621</v>
      </c>
      <c r="N22" s="55" t="s">
        <v>1623</v>
      </c>
      <c r="O22" s="55" t="s">
        <v>1621</v>
      </c>
      <c r="P22" s="55" t="s">
        <v>1621</v>
      </c>
      <c r="Q22" s="55" t="s">
        <v>1621</v>
      </c>
      <c r="R22" s="55">
        <f t="shared" si="0"/>
        <v>4</v>
      </c>
      <c r="S22" s="55">
        <f t="shared" si="1"/>
        <v>57.142857142857139</v>
      </c>
      <c r="T22" s="73"/>
    </row>
    <row r="23" spans="1:20" x14ac:dyDescent="0.25">
      <c r="A23" s="55" t="str">
        <f>'Initial Search'!D107</f>
        <v>Consistence preserving model merge in collaborative development processes</v>
      </c>
      <c r="B23" s="22">
        <f>ROW('Initial Search'!107:107)</f>
        <v>107</v>
      </c>
      <c r="C23" s="22">
        <f>ROW('Feature Study'!39:39)</f>
        <v>39</v>
      </c>
      <c r="D23" s="23" t="str">
        <f>'Initial Search'!M107</f>
        <v>Accepted</v>
      </c>
      <c r="E23" s="23" t="str">
        <f>'Initial Search'!N107</f>
        <v>Disapproved</v>
      </c>
      <c r="F23" s="390"/>
      <c r="G23" s="23" t="str">
        <f>'Initial Search'!O107</f>
        <v>Jazz</v>
      </c>
      <c r="H23" s="55" t="s">
        <v>1624</v>
      </c>
      <c r="I23" s="55" t="s">
        <v>1624</v>
      </c>
      <c r="J23" s="55" t="s">
        <v>1624</v>
      </c>
      <c r="K23" s="55" t="s">
        <v>1621</v>
      </c>
      <c r="L23" s="55" t="s">
        <v>1624</v>
      </c>
      <c r="M23" s="55" t="s">
        <v>1621</v>
      </c>
      <c r="N23" s="55" t="s">
        <v>1624</v>
      </c>
      <c r="O23" s="55" t="s">
        <v>1621</v>
      </c>
      <c r="P23" s="55" t="s">
        <v>1623</v>
      </c>
      <c r="Q23" s="55" t="s">
        <v>1624</v>
      </c>
      <c r="R23" s="55">
        <f t="shared" si="0"/>
        <v>2.5</v>
      </c>
      <c r="S23" s="81">
        <f t="shared" si="1"/>
        <v>35.714285714285715</v>
      </c>
      <c r="T23" s="73"/>
    </row>
    <row r="24" spans="1:20" x14ac:dyDescent="0.25">
      <c r="A24" s="55" t="str">
        <f>'Initial Search'!D18</f>
        <v>Consistency-preserving edit scripts in model versioning</v>
      </c>
      <c r="B24" s="22">
        <f>ROW('Initial Search'!18:18)</f>
        <v>18</v>
      </c>
      <c r="C24" s="22">
        <f>ROW('Feature Study'!40:40)</f>
        <v>40</v>
      </c>
      <c r="D24" s="23" t="str">
        <f>'Initial Search'!M18</f>
        <v>Accepted</v>
      </c>
      <c r="E24" s="23" t="str">
        <f>'Initial Search'!N18</f>
        <v>Approved</v>
      </c>
      <c r="F24" s="23" t="s">
        <v>2110</v>
      </c>
      <c r="G24" s="23" t="str">
        <f>'Initial Search'!O18</f>
        <v>Kehrer et al.</v>
      </c>
      <c r="H24" s="55" t="s">
        <v>1623</v>
      </c>
      <c r="I24" s="55" t="s">
        <v>1623</v>
      </c>
      <c r="J24" s="55" t="s">
        <v>1623</v>
      </c>
      <c r="K24" s="55" t="s">
        <v>1623</v>
      </c>
      <c r="L24" s="55" t="s">
        <v>1623</v>
      </c>
      <c r="M24" s="55" t="s">
        <v>1623</v>
      </c>
      <c r="N24" s="55" t="s">
        <v>1624</v>
      </c>
      <c r="O24" s="55" t="s">
        <v>1621</v>
      </c>
      <c r="P24" s="55" t="s">
        <v>1623</v>
      </c>
      <c r="Q24" s="55" t="s">
        <v>1621</v>
      </c>
      <c r="R24" s="55">
        <f t="shared" si="0"/>
        <v>6.5</v>
      </c>
      <c r="S24" s="55">
        <f t="shared" si="1"/>
        <v>92.857142857142861</v>
      </c>
      <c r="T24" s="73"/>
    </row>
    <row r="25" spans="1:20" x14ac:dyDescent="0.25">
      <c r="A25" s="55" t="str">
        <f>'Initial Search'!D19</f>
        <v>Supporting Collaborative Development in an Open MDA Environment</v>
      </c>
      <c r="B25" s="22">
        <f>ROW('Initial Search'!19:19)</f>
        <v>19</v>
      </c>
      <c r="C25" s="22">
        <f>ROW('Feature Study'!42:42)</f>
        <v>42</v>
      </c>
      <c r="D25" s="23" t="str">
        <f>'Initial Search'!M19</f>
        <v>Accepted</v>
      </c>
      <c r="E25" s="23" t="str">
        <f>'Initial Search'!N19</f>
        <v>Approved</v>
      </c>
      <c r="F25" s="23" t="s">
        <v>2109</v>
      </c>
      <c r="G25" s="23" t="str">
        <f>'Initial Search'!O19</f>
        <v>ModelBus</v>
      </c>
      <c r="H25" s="55" t="s">
        <v>1623</v>
      </c>
      <c r="I25" s="55" t="s">
        <v>1623</v>
      </c>
      <c r="J25" s="55" t="s">
        <v>1623</v>
      </c>
      <c r="K25" s="55" t="s">
        <v>1621</v>
      </c>
      <c r="L25" s="55" t="s">
        <v>1624</v>
      </c>
      <c r="M25" s="55" t="s">
        <v>1624</v>
      </c>
      <c r="N25" s="55" t="s">
        <v>1623</v>
      </c>
      <c r="O25" s="55" t="s">
        <v>1621</v>
      </c>
      <c r="P25" s="55" t="s">
        <v>1623</v>
      </c>
      <c r="Q25" s="55" t="s">
        <v>1623</v>
      </c>
      <c r="R25" s="55">
        <f t="shared" si="0"/>
        <v>5</v>
      </c>
      <c r="S25" s="55">
        <f t="shared" si="1"/>
        <v>71.428571428571431</v>
      </c>
      <c r="T25" s="73"/>
    </row>
    <row r="26" spans="1:20" x14ac:dyDescent="0.25">
      <c r="A26" s="55" t="str">
        <f>'Initial Search'!D130</f>
        <v>A semantically rich approach for collaborative model edition</v>
      </c>
      <c r="B26" s="22">
        <f>ROW('Initial Search'!130:130)</f>
        <v>130</v>
      </c>
      <c r="C26" s="22">
        <f>ROW('Feature Study'!44:44)</f>
        <v>44</v>
      </c>
      <c r="D26" s="23" t="str">
        <f>'Initial Search'!M130</f>
        <v>Accepted</v>
      </c>
      <c r="E26" s="23" t="str">
        <f>'Initial Search'!N130</f>
        <v>Disapproved</v>
      </c>
      <c r="F26" s="389" t="s">
        <v>2108</v>
      </c>
      <c r="G26" s="23" t="str">
        <f>'Initial Search'!O130</f>
        <v>D-PRAXIS</v>
      </c>
      <c r="H26" s="55" t="s">
        <v>1624</v>
      </c>
      <c r="I26" s="55" t="s">
        <v>1621</v>
      </c>
      <c r="J26" s="55" t="s">
        <v>1624</v>
      </c>
      <c r="K26" s="55" t="s">
        <v>1624</v>
      </c>
      <c r="L26" s="55" t="s">
        <v>1624</v>
      </c>
      <c r="M26" s="55" t="s">
        <v>1624</v>
      </c>
      <c r="N26" s="55" t="s">
        <v>1621</v>
      </c>
      <c r="O26" s="55" t="s">
        <v>1621</v>
      </c>
      <c r="P26" s="55" t="s">
        <v>1624</v>
      </c>
      <c r="Q26" s="55" t="s">
        <v>1621</v>
      </c>
      <c r="R26" s="55">
        <f t="shared" si="0"/>
        <v>2.5</v>
      </c>
      <c r="S26" s="81">
        <f t="shared" si="1"/>
        <v>35.714285714285715</v>
      </c>
      <c r="T26" s="73"/>
    </row>
    <row r="27" spans="1:20" x14ac:dyDescent="0.25">
      <c r="A27" s="55" t="str">
        <f>'Initial Search'!D261</f>
        <v>D-Praxis : A Peer-to-Peer Collaborative Model Editing Framework</v>
      </c>
      <c r="B27" s="22">
        <f>ROW('Initial Search'!261:261)</f>
        <v>261</v>
      </c>
      <c r="C27" s="22">
        <f>ROW('Feature Study'!45:45)</f>
        <v>45</v>
      </c>
      <c r="D27" s="23" t="str">
        <f>'Initial Search'!M261</f>
        <v>Accepted</v>
      </c>
      <c r="E27" s="23" t="str">
        <f>'Initial Search'!N261</f>
        <v>Approved</v>
      </c>
      <c r="F27" s="390"/>
      <c r="G27" s="23" t="str">
        <f>'Initial Search'!O261</f>
        <v>D-PRAXIS</v>
      </c>
      <c r="H27" s="55" t="s">
        <v>1623</v>
      </c>
      <c r="I27" s="55" t="s">
        <v>1624</v>
      </c>
      <c r="J27" s="55" t="s">
        <v>1623</v>
      </c>
      <c r="K27" s="55" t="s">
        <v>1624</v>
      </c>
      <c r="L27" s="55" t="s">
        <v>1624</v>
      </c>
      <c r="M27" s="55" t="s">
        <v>1624</v>
      </c>
      <c r="N27" s="55" t="s">
        <v>1621</v>
      </c>
      <c r="O27" s="55" t="s">
        <v>1621</v>
      </c>
      <c r="P27" s="55" t="s">
        <v>1623</v>
      </c>
      <c r="Q27" s="55" t="s">
        <v>1621</v>
      </c>
      <c r="R27" s="55">
        <f t="shared" si="0"/>
        <v>4</v>
      </c>
      <c r="S27" s="55">
        <f t="shared" si="1"/>
        <v>57.142857142857139</v>
      </c>
      <c r="T27" s="73"/>
    </row>
    <row r="28" spans="1:20" x14ac:dyDescent="0.25">
      <c r="A28" s="55" t="str">
        <f>'Initial Search'!D20</f>
        <v>A UML profile for modeling the conflicts in model merging</v>
      </c>
      <c r="B28" s="22">
        <f>ROW('Initial Search'!20:20)</f>
        <v>20</v>
      </c>
      <c r="C28" s="22">
        <f>ROW('Feature Study'!46:46)</f>
        <v>46</v>
      </c>
      <c r="D28" s="23" t="str">
        <f>'Initial Search'!M20</f>
        <v>Accepted</v>
      </c>
      <c r="E28" s="23" t="str">
        <f>'Initial Search'!N20</f>
        <v>Approved</v>
      </c>
      <c r="F28" s="23" t="s">
        <v>2107</v>
      </c>
      <c r="G28" s="23" t="str">
        <f>'Initial Search'!O20</f>
        <v>Conflict UML Profile</v>
      </c>
      <c r="H28" s="55" t="s">
        <v>1623</v>
      </c>
      <c r="I28" s="55" t="s">
        <v>1623</v>
      </c>
      <c r="J28" s="55" t="s">
        <v>1623</v>
      </c>
      <c r="K28" s="55" t="s">
        <v>1624</v>
      </c>
      <c r="L28" s="55" t="s">
        <v>1624</v>
      </c>
      <c r="M28" s="55" t="s">
        <v>1623</v>
      </c>
      <c r="N28" s="55" t="s">
        <v>1623</v>
      </c>
      <c r="O28" s="55" t="s">
        <v>1621</v>
      </c>
      <c r="P28" s="55" t="s">
        <v>1624</v>
      </c>
      <c r="Q28" s="55" t="s">
        <v>1621</v>
      </c>
      <c r="R28" s="55">
        <f t="shared" si="0"/>
        <v>6</v>
      </c>
      <c r="S28" s="55">
        <f t="shared" si="1"/>
        <v>85.714285714285708</v>
      </c>
    </row>
    <row r="29" spans="1:20" x14ac:dyDescent="0.25">
      <c r="A29" s="55" t="str">
        <f>'Initial Search'!D205</f>
        <v>Configurable three‐way model merging</v>
      </c>
      <c r="B29" s="22">
        <f>ROW('Initial Search'!205:205)</f>
        <v>205</v>
      </c>
      <c r="C29" s="22">
        <f>ROW('Feature Study'!47:47)</f>
        <v>47</v>
      </c>
      <c r="D29" s="23" t="str">
        <f>'Initial Search'!M205</f>
        <v>Accepted</v>
      </c>
      <c r="E29" s="23" t="str">
        <f>'Initial Search'!N205</f>
        <v>Approved</v>
      </c>
      <c r="F29" s="23" t="s">
        <v>2106</v>
      </c>
      <c r="G29" s="23" t="str">
        <f>'Initial Search'!O205</f>
        <v>E3MP</v>
      </c>
      <c r="H29" s="55" t="s">
        <v>1623</v>
      </c>
      <c r="I29" s="55" t="s">
        <v>1623</v>
      </c>
      <c r="J29" s="55" t="s">
        <v>1623</v>
      </c>
      <c r="K29" s="55" t="s">
        <v>1623</v>
      </c>
      <c r="L29" s="55" t="s">
        <v>1624</v>
      </c>
      <c r="M29" s="55" t="s">
        <v>1623</v>
      </c>
      <c r="N29" s="55" t="s">
        <v>1623</v>
      </c>
      <c r="O29" s="55" t="s">
        <v>1621</v>
      </c>
      <c r="P29" s="55" t="s">
        <v>1623</v>
      </c>
      <c r="Q29" s="55" t="s">
        <v>1624</v>
      </c>
      <c r="R29" s="55">
        <f t="shared" si="0"/>
        <v>6.5</v>
      </c>
      <c r="S29" s="55">
        <f t="shared" si="1"/>
        <v>92.857142857142861</v>
      </c>
    </row>
    <row r="30" spans="1:20" x14ac:dyDescent="0.25">
      <c r="A30" s="55" t="str">
        <f>'Initial Search'!D220</f>
        <v>Table-Driven Detection and Resolution of Operation-Based Merge Conflicts with Mirador</v>
      </c>
      <c r="B30" s="22">
        <f>ROW('Initial Search'!220:220)</f>
        <v>220</v>
      </c>
      <c r="C30" s="22">
        <f>ROW('Feature Study'!50:50)</f>
        <v>50</v>
      </c>
      <c r="D30" s="23" t="str">
        <f>'Initial Search'!M220</f>
        <v>Accepted</v>
      </c>
      <c r="E30" s="23" t="str">
        <f>'Initial Search'!N220</f>
        <v>Approved</v>
      </c>
      <c r="F30" s="23" t="s">
        <v>2105</v>
      </c>
      <c r="G30" s="23" t="str">
        <f>'Initial Search'!O220</f>
        <v>Mirador</v>
      </c>
      <c r="H30" s="55" t="s">
        <v>1623</v>
      </c>
      <c r="I30" s="55" t="s">
        <v>1623</v>
      </c>
      <c r="J30" s="55" t="s">
        <v>1623</v>
      </c>
      <c r="K30" s="55" t="s">
        <v>1621</v>
      </c>
      <c r="L30" s="55" t="s">
        <v>1624</v>
      </c>
      <c r="M30" s="55" t="s">
        <v>1623</v>
      </c>
      <c r="N30" s="55" t="s">
        <v>1623</v>
      </c>
      <c r="O30" s="55" t="s">
        <v>1621</v>
      </c>
      <c r="P30" s="55" t="s">
        <v>1623</v>
      </c>
      <c r="Q30" s="55" t="s">
        <v>1621</v>
      </c>
      <c r="R30" s="55">
        <f t="shared" si="0"/>
        <v>5.5</v>
      </c>
      <c r="S30" s="55">
        <f t="shared" si="1"/>
        <v>78.571428571428569</v>
      </c>
      <c r="T30" s="73"/>
    </row>
    <row r="31" spans="1:20" x14ac:dyDescent="0.25">
      <c r="A31" s="55" t="str">
        <f>'Initial Search'!D39</f>
        <v>Managing Model Conflicts in Collaborative Modeling Using Constraint Programming</v>
      </c>
      <c r="B31" s="22">
        <f>ROW('Initial Search'!39:39)</f>
        <v>39</v>
      </c>
      <c r="C31" s="22">
        <f>ROW('Feature Study'!54:54)</f>
        <v>54</v>
      </c>
      <c r="D31" s="23" t="str">
        <f>'Initial Search'!M39</f>
        <v>Accepted</v>
      </c>
      <c r="E31" s="23" t="str">
        <f>'Initial Search'!N39</f>
        <v>Approved</v>
      </c>
      <c r="F31" s="389" t="s">
        <v>2104</v>
      </c>
      <c r="G31" s="23" t="str">
        <f>'Initial Search'!O39</f>
        <v>CSP</v>
      </c>
      <c r="H31" s="55" t="s">
        <v>1623</v>
      </c>
      <c r="I31" s="55" t="s">
        <v>1623</v>
      </c>
      <c r="J31" s="55" t="s">
        <v>1623</v>
      </c>
      <c r="K31" s="55" t="s">
        <v>1621</v>
      </c>
      <c r="L31" s="55" t="s">
        <v>1621</v>
      </c>
      <c r="M31" s="55" t="s">
        <v>1624</v>
      </c>
      <c r="N31" s="55" t="s">
        <v>1624</v>
      </c>
      <c r="O31" s="55" t="s">
        <v>1621</v>
      </c>
      <c r="P31" s="55" t="s">
        <v>1623</v>
      </c>
      <c r="Q31" s="55" t="s">
        <v>1621</v>
      </c>
      <c r="R31" s="55">
        <f t="shared" si="0"/>
        <v>4</v>
      </c>
      <c r="S31" s="55">
        <f t="shared" si="1"/>
        <v>57.142857142857139</v>
      </c>
      <c r="T31" s="73"/>
    </row>
    <row r="32" spans="1:20" x14ac:dyDescent="0.25">
      <c r="A32" s="55" t="str">
        <f>'Initial Search'!D40</f>
        <v>Collaborative modelling: An MDE-oriented process to manage large-scale models</v>
      </c>
      <c r="B32" s="22">
        <f>ROW('Initial Search'!40:40)</f>
        <v>40</v>
      </c>
      <c r="C32" s="22">
        <f>ROW('Feature Study'!55:55)</f>
        <v>55</v>
      </c>
      <c r="D32" s="23" t="str">
        <f>'Initial Search'!M40</f>
        <v>Accepted</v>
      </c>
      <c r="E32" s="23" t="str">
        <f>'Initial Search'!N40</f>
        <v>Disapproved</v>
      </c>
      <c r="F32" s="390"/>
      <c r="G32" s="23" t="str">
        <f>'Initial Search'!O40</f>
        <v>CSP</v>
      </c>
      <c r="H32" s="55" t="s">
        <v>1624</v>
      </c>
      <c r="I32" s="55" t="s">
        <v>1624</v>
      </c>
      <c r="J32" s="55" t="s">
        <v>1624</v>
      </c>
      <c r="K32" s="55" t="s">
        <v>1621</v>
      </c>
      <c r="L32" s="55" t="s">
        <v>1621</v>
      </c>
      <c r="M32" s="55" t="s">
        <v>1624</v>
      </c>
      <c r="N32" s="55" t="s">
        <v>1624</v>
      </c>
      <c r="O32" s="55" t="s">
        <v>1621</v>
      </c>
      <c r="P32" s="55" t="s">
        <v>1623</v>
      </c>
      <c r="Q32" s="55" t="s">
        <v>1621</v>
      </c>
      <c r="R32" s="55">
        <f t="shared" si="0"/>
        <v>2.5</v>
      </c>
      <c r="S32" s="81">
        <f t="shared" si="1"/>
        <v>35.714285714285715</v>
      </c>
      <c r="T32" s="73"/>
    </row>
    <row r="33" spans="1:23" x14ac:dyDescent="0.25">
      <c r="A33" s="55" t="str">
        <f>'Initial Search'!D63</f>
        <v>Concurrent Fine-Grained Versioning of UML Models</v>
      </c>
      <c r="B33" s="22">
        <f>ROW('Initial Search'!63:63)</f>
        <v>63</v>
      </c>
      <c r="C33" s="22">
        <f>ROW('Feature Study'!57:57)</f>
        <v>57</v>
      </c>
      <c r="D33" s="23" t="str">
        <f>'Initial Search'!M63</f>
        <v>Accepted</v>
      </c>
      <c r="E33" s="23" t="str">
        <f>'Initial Search'!N63</f>
        <v>Approved</v>
      </c>
      <c r="F33" s="23" t="s">
        <v>2103</v>
      </c>
      <c r="G33" s="23" t="str">
        <f>'Initial Search'!O63</f>
        <v>ArgoEclipse+ADAMS</v>
      </c>
      <c r="H33" s="55" t="s">
        <v>1623</v>
      </c>
      <c r="I33" s="55" t="s">
        <v>1623</v>
      </c>
      <c r="J33" s="55" t="s">
        <v>1623</v>
      </c>
      <c r="K33" s="55" t="s">
        <v>1624</v>
      </c>
      <c r="L33" s="55" t="s">
        <v>1624</v>
      </c>
      <c r="M33" s="55" t="s">
        <v>1624</v>
      </c>
      <c r="N33" s="55" t="s">
        <v>1624</v>
      </c>
      <c r="O33" s="55" t="s">
        <v>1621</v>
      </c>
      <c r="P33" s="55" t="s">
        <v>1624</v>
      </c>
      <c r="Q33" s="55" t="s">
        <v>1621</v>
      </c>
      <c r="R33" s="55">
        <f t="shared" si="0"/>
        <v>5</v>
      </c>
      <c r="S33" s="55">
        <f t="shared" si="1"/>
        <v>71.428571428571431</v>
      </c>
    </row>
    <row r="34" spans="1:23" x14ac:dyDescent="0.25">
      <c r="A34" s="55" t="str">
        <f>'Initial Search'!D177</f>
        <v>Enhancing collaborative synchronous UML modelling with fine-grained versioning of software artefacts</v>
      </c>
      <c r="B34" s="22">
        <f>ROW('Initial Search'!177:177)</f>
        <v>177</v>
      </c>
      <c r="C34" s="22">
        <f>ROW('Feature Study'!58:58)</f>
        <v>58</v>
      </c>
      <c r="D34" s="23" t="str">
        <f>'Initial Search'!M177</f>
        <v>Accepted</v>
      </c>
      <c r="E34" s="23" t="str">
        <f>'Initial Search'!N177</f>
        <v>Disapproved</v>
      </c>
      <c r="F34" s="23"/>
      <c r="G34" s="23" t="str">
        <f>'Initial Search'!O177</f>
        <v>STEVE</v>
      </c>
      <c r="H34" s="55" t="s">
        <v>1624</v>
      </c>
      <c r="I34" s="55" t="s">
        <v>1621</v>
      </c>
      <c r="J34" s="55" t="s">
        <v>1624</v>
      </c>
      <c r="K34" s="55" t="s">
        <v>1621</v>
      </c>
      <c r="L34" s="55" t="s">
        <v>1624</v>
      </c>
      <c r="M34" s="55" t="s">
        <v>1624</v>
      </c>
      <c r="N34" s="55" t="s">
        <v>1624</v>
      </c>
      <c r="O34" s="55" t="s">
        <v>1621</v>
      </c>
      <c r="P34" s="55" t="s">
        <v>1624</v>
      </c>
      <c r="Q34" s="55" t="s">
        <v>1621</v>
      </c>
      <c r="R34" s="55">
        <f t="shared" si="0"/>
        <v>2.5</v>
      </c>
      <c r="S34" s="81">
        <f t="shared" si="1"/>
        <v>35.714285714285715</v>
      </c>
      <c r="T34" s="73"/>
    </row>
    <row r="35" spans="1:23" x14ac:dyDescent="0.25">
      <c r="A35" s="55" t="str">
        <f>'Initial Search'!D75</f>
        <v>CAMEL: A Tool for Collaborative Distributed Software Design</v>
      </c>
      <c r="B35" s="22">
        <f>ROW('Initial Search'!75:75)</f>
        <v>75</v>
      </c>
      <c r="C35" s="22">
        <f>ROW('Feature Study'!60:60)</f>
        <v>60</v>
      </c>
      <c r="D35" s="23" t="str">
        <f>'Initial Search'!M75</f>
        <v>Accepted</v>
      </c>
      <c r="E35" s="23" t="str">
        <f>'Initial Search'!N75</f>
        <v>Approved</v>
      </c>
      <c r="F35" s="23" t="s">
        <v>2102</v>
      </c>
      <c r="G35" s="23" t="str">
        <f>'Initial Search'!O75</f>
        <v>CAMEL</v>
      </c>
      <c r="H35" s="55" t="s">
        <v>1623</v>
      </c>
      <c r="I35" s="55" t="s">
        <v>1621</v>
      </c>
      <c r="J35" s="55" t="s">
        <v>1623</v>
      </c>
      <c r="K35" s="55" t="s">
        <v>1624</v>
      </c>
      <c r="L35" s="55" t="s">
        <v>1624</v>
      </c>
      <c r="M35" s="55" t="s">
        <v>1624</v>
      </c>
      <c r="N35" s="55" t="s">
        <v>1624</v>
      </c>
      <c r="O35" s="55" t="s">
        <v>1621</v>
      </c>
      <c r="P35" s="55" t="s">
        <v>1623</v>
      </c>
      <c r="Q35" s="55" t="s">
        <v>1623</v>
      </c>
      <c r="R35" s="55">
        <f t="shared" si="0"/>
        <v>4</v>
      </c>
      <c r="S35" s="55">
        <f t="shared" si="1"/>
        <v>57.142857142857139</v>
      </c>
      <c r="T35" s="73"/>
    </row>
    <row r="36" spans="1:23" x14ac:dyDescent="0.25">
      <c r="A36" s="55" t="str">
        <f>'Initial Search'!D102</f>
        <v>Search-based model merging</v>
      </c>
      <c r="B36" s="22">
        <f>ROW('Initial Search'!102:102)</f>
        <v>102</v>
      </c>
      <c r="C36" s="22">
        <f>ROW('Feature Study'!63:63)</f>
        <v>63</v>
      </c>
      <c r="D36" s="23" t="str">
        <f>'Initial Search'!M102</f>
        <v>Accepted</v>
      </c>
      <c r="E36" s="23" t="str">
        <f>'Initial Search'!N102</f>
        <v>Approved</v>
      </c>
      <c r="F36" s="389" t="s">
        <v>2101</v>
      </c>
      <c r="G36" s="23" t="str">
        <f>'Initial Search'!O102</f>
        <v>MOMM</v>
      </c>
      <c r="H36" s="55" t="s">
        <v>1623</v>
      </c>
      <c r="I36" s="55" t="s">
        <v>1623</v>
      </c>
      <c r="J36" s="55" t="s">
        <v>1623</v>
      </c>
      <c r="K36" s="55" t="s">
        <v>1623</v>
      </c>
      <c r="L36" s="55" t="s">
        <v>1624</v>
      </c>
      <c r="M36" s="55" t="s">
        <v>1623</v>
      </c>
      <c r="N36" s="55" t="s">
        <v>1623</v>
      </c>
      <c r="O36" s="55" t="s">
        <v>1621</v>
      </c>
      <c r="P36" s="55" t="s">
        <v>1623</v>
      </c>
      <c r="Q36" s="55" t="s">
        <v>1621</v>
      </c>
      <c r="R36" s="55">
        <f t="shared" si="0"/>
        <v>6.5</v>
      </c>
      <c r="S36" s="55">
        <f t="shared" si="1"/>
        <v>92.857142857142861</v>
      </c>
      <c r="T36" s="73"/>
    </row>
    <row r="37" spans="1:23" x14ac:dyDescent="0.25">
      <c r="A37" s="55" t="str">
        <f>'Initial Search'!D170</f>
        <v>MOMM: Multi-objective model merging</v>
      </c>
      <c r="B37" s="22">
        <f>ROW('Initial Search'!170:170)</f>
        <v>170</v>
      </c>
      <c r="C37" s="22">
        <f>ROW('Feature Study'!64:64)</f>
        <v>64</v>
      </c>
      <c r="D37" s="23" t="str">
        <f>'Initial Search'!M170</f>
        <v>Accepted</v>
      </c>
      <c r="E37" s="23" t="str">
        <f>'Initial Search'!N170</f>
        <v>Approved</v>
      </c>
      <c r="F37" s="390"/>
      <c r="G37" s="23" t="str">
        <f>'Initial Search'!O170</f>
        <v>MOMM</v>
      </c>
      <c r="H37" s="55" t="s">
        <v>1623</v>
      </c>
      <c r="I37" s="55" t="s">
        <v>1623</v>
      </c>
      <c r="J37" s="55" t="s">
        <v>1623</v>
      </c>
      <c r="K37" s="55" t="s">
        <v>1623</v>
      </c>
      <c r="L37" s="55" t="s">
        <v>1624</v>
      </c>
      <c r="M37" s="55" t="s">
        <v>1623</v>
      </c>
      <c r="N37" s="55" t="s">
        <v>1623</v>
      </c>
      <c r="O37" s="55" t="s">
        <v>1621</v>
      </c>
      <c r="P37" s="55" t="s">
        <v>1623</v>
      </c>
      <c r="Q37" s="55" t="s">
        <v>1624</v>
      </c>
      <c r="R37" s="55">
        <f t="shared" si="0"/>
        <v>6.5</v>
      </c>
      <c r="S37" s="55">
        <f t="shared" si="1"/>
        <v>92.857142857142861</v>
      </c>
      <c r="T37" s="73"/>
      <c r="V37" t="s">
        <v>1629</v>
      </c>
      <c r="W37">
        <f>AVERAGE(R3:R114)</f>
        <v>4.9107142857142856</v>
      </c>
    </row>
    <row r="38" spans="1:23" x14ac:dyDescent="0.25">
      <c r="A38" s="55" t="str">
        <f>'Initial Search'!D106</f>
        <v>Colex: a web-based collaborative conflict lexicon</v>
      </c>
      <c r="B38" s="22">
        <f>ROW('Initial Search'!106:106)</f>
        <v>106</v>
      </c>
      <c r="C38" s="22">
        <f>ROW('Feature Study'!65:65)</f>
        <v>65</v>
      </c>
      <c r="D38" s="23" t="str">
        <f>'Initial Search'!M106</f>
        <v>Accepted</v>
      </c>
      <c r="E38" s="23" t="str">
        <f>'Initial Search'!N106</f>
        <v>Approved</v>
      </c>
      <c r="F38" s="23" t="s">
        <v>2100</v>
      </c>
      <c r="G38" s="23" t="str">
        <f>'Initial Search'!O106</f>
        <v>Colex</v>
      </c>
      <c r="H38" s="55" t="s">
        <v>1623</v>
      </c>
      <c r="I38" s="55" t="s">
        <v>1623</v>
      </c>
      <c r="J38" s="55" t="s">
        <v>1623</v>
      </c>
      <c r="K38" s="55" t="s">
        <v>1621</v>
      </c>
      <c r="L38" s="55" t="s">
        <v>1624</v>
      </c>
      <c r="M38" s="55" t="s">
        <v>1621</v>
      </c>
      <c r="N38" s="55" t="s">
        <v>1623</v>
      </c>
      <c r="O38" s="55" t="s">
        <v>1621</v>
      </c>
      <c r="P38" s="55" t="s">
        <v>1623</v>
      </c>
      <c r="Q38" s="55" t="s">
        <v>1623</v>
      </c>
      <c r="R38" s="55">
        <f t="shared" si="0"/>
        <v>4.5</v>
      </c>
      <c r="S38" s="55">
        <f t="shared" si="1"/>
        <v>64.285714285714292</v>
      </c>
      <c r="T38" s="73"/>
      <c r="V38" t="s">
        <v>1630</v>
      </c>
      <c r="W38">
        <f>STDEV(R3:R114)</f>
        <v>1.0249462427438811</v>
      </c>
    </row>
    <row r="39" spans="1:23" x14ac:dyDescent="0.25">
      <c r="A39" s="55" t="str">
        <f>'Initial Search'!D150</f>
        <v>Conflicts as first-class entities: a UML profile for model versioning</v>
      </c>
      <c r="B39" s="22">
        <f>ROW('Initial Search'!150:150)</f>
        <v>150</v>
      </c>
      <c r="C39" s="22">
        <f>ROW('Feature Study'!66:66)</f>
        <v>66</v>
      </c>
      <c r="D39" s="23" t="str">
        <f>'Initial Search'!M150</f>
        <v>Accepted</v>
      </c>
      <c r="E39" s="23" t="str">
        <f>'Initial Search'!N150</f>
        <v>Approved</v>
      </c>
      <c r="F39" s="389" t="s">
        <v>2099</v>
      </c>
      <c r="G39" s="23" t="str">
        <f>'Initial Search'!O150</f>
        <v>AMOR</v>
      </c>
      <c r="H39" s="55" t="s">
        <v>1623</v>
      </c>
      <c r="I39" s="55" t="s">
        <v>1623</v>
      </c>
      <c r="J39" s="55" t="s">
        <v>1623</v>
      </c>
      <c r="K39" s="55" t="s">
        <v>1621</v>
      </c>
      <c r="L39" s="55" t="s">
        <v>1624</v>
      </c>
      <c r="M39" s="55" t="s">
        <v>1621</v>
      </c>
      <c r="N39" s="55" t="s">
        <v>1623</v>
      </c>
      <c r="O39" s="55" t="s">
        <v>1621</v>
      </c>
      <c r="P39" s="55" t="s">
        <v>1623</v>
      </c>
      <c r="Q39" s="55" t="s">
        <v>1624</v>
      </c>
      <c r="R39" s="55">
        <f t="shared" si="0"/>
        <v>4.5</v>
      </c>
      <c r="S39" s="55">
        <f t="shared" si="1"/>
        <v>64.285714285714292</v>
      </c>
      <c r="T39" s="73"/>
    </row>
    <row r="40" spans="1:23" x14ac:dyDescent="0.25">
      <c r="A40" s="55" t="str">
        <f>'Initial Search'!D160</f>
        <v>A recommender for conflict resolution support in optimistic model versioning</v>
      </c>
      <c r="B40" s="22">
        <f>ROW('Initial Search'!160:160)</f>
        <v>160</v>
      </c>
      <c r="C40" s="22">
        <f>ROW('Feature Study'!67:67)</f>
        <v>67</v>
      </c>
      <c r="D40" s="23" t="str">
        <f>'Initial Search'!M160</f>
        <v>Accepted</v>
      </c>
      <c r="E40" s="23" t="str">
        <f>'Initial Search'!N160</f>
        <v>Approved</v>
      </c>
      <c r="F40" s="391"/>
      <c r="G40" s="23" t="str">
        <f>'Initial Search'!O160</f>
        <v>AMOR</v>
      </c>
      <c r="H40" s="55" t="s">
        <v>1623</v>
      </c>
      <c r="I40" s="55" t="s">
        <v>1623</v>
      </c>
      <c r="J40" s="55" t="s">
        <v>1623</v>
      </c>
      <c r="K40" s="55" t="s">
        <v>1624</v>
      </c>
      <c r="L40" s="55" t="s">
        <v>1624</v>
      </c>
      <c r="M40" s="55" t="s">
        <v>1621</v>
      </c>
      <c r="N40" s="55" t="s">
        <v>1623</v>
      </c>
      <c r="O40" s="55" t="s">
        <v>1621</v>
      </c>
      <c r="P40" s="55" t="s">
        <v>1623</v>
      </c>
      <c r="Q40" s="55" t="s">
        <v>1624</v>
      </c>
      <c r="R40" s="55">
        <f t="shared" si="0"/>
        <v>5</v>
      </c>
      <c r="S40" s="55">
        <f t="shared" si="1"/>
        <v>71.428571428571431</v>
      </c>
      <c r="T40" s="73"/>
    </row>
    <row r="41" spans="1:23" x14ac:dyDescent="0.25">
      <c r="A41" s="55" t="str">
        <f>'Initial Search'!D219</f>
        <v>An Introduction to Model Versioning</v>
      </c>
      <c r="B41" s="22">
        <f>ROW('Initial Search'!219:219)</f>
        <v>219</v>
      </c>
      <c r="C41" s="22">
        <f>ROW('Feature Study'!68:68)</f>
        <v>68</v>
      </c>
      <c r="D41" s="23" t="str">
        <f>'Initial Search'!M219</f>
        <v>Accepted</v>
      </c>
      <c r="E41" s="23" t="str">
        <f>'Initial Search'!N219</f>
        <v>Approved</v>
      </c>
      <c r="F41" s="391"/>
      <c r="G41" s="23" t="str">
        <f>'Initial Search'!O219</f>
        <v>AMOR</v>
      </c>
      <c r="H41" s="55" t="s">
        <v>1624</v>
      </c>
      <c r="I41" s="55" t="s">
        <v>1623</v>
      </c>
      <c r="J41" s="55" t="s">
        <v>1623</v>
      </c>
      <c r="K41" s="55" t="s">
        <v>1621</v>
      </c>
      <c r="L41" s="55" t="s">
        <v>1624</v>
      </c>
      <c r="M41" s="55" t="s">
        <v>1623</v>
      </c>
      <c r="N41" s="55" t="s">
        <v>1624</v>
      </c>
      <c r="O41" s="55" t="s">
        <v>1621</v>
      </c>
      <c r="P41" s="55" t="s">
        <v>1624</v>
      </c>
      <c r="Q41" s="55" t="s">
        <v>1623</v>
      </c>
      <c r="R41" s="55">
        <f t="shared" si="0"/>
        <v>4.5</v>
      </c>
      <c r="S41" s="55">
        <f t="shared" si="1"/>
        <v>64.285714285714292</v>
      </c>
      <c r="T41" s="73"/>
    </row>
    <row r="42" spans="1:23" x14ac:dyDescent="0.25">
      <c r="A42" s="55" t="str">
        <f>'Initial Search'!D257</f>
        <v>Towards Semantics-Aware Merge Support in Optimistic Model Versioning</v>
      </c>
      <c r="B42" s="22">
        <f>ROW('Initial Search'!257:257)</f>
        <v>257</v>
      </c>
      <c r="C42" s="22">
        <f>ROW('Feature Study'!70:70)</f>
        <v>70</v>
      </c>
      <c r="D42" s="23" t="str">
        <f>'Initial Search'!M257</f>
        <v>Accepted</v>
      </c>
      <c r="E42" s="23" t="str">
        <f>'Initial Search'!N257</f>
        <v>Approved</v>
      </c>
      <c r="F42" s="391"/>
      <c r="G42" s="23" t="str">
        <f>'Initial Search'!O257</f>
        <v>AMOR</v>
      </c>
      <c r="H42" s="55" t="s">
        <v>1623</v>
      </c>
      <c r="I42" s="55" t="s">
        <v>1623</v>
      </c>
      <c r="J42" s="55" t="s">
        <v>1623</v>
      </c>
      <c r="K42" s="55" t="s">
        <v>1621</v>
      </c>
      <c r="L42" s="55" t="s">
        <v>1624</v>
      </c>
      <c r="M42" s="55" t="s">
        <v>1623</v>
      </c>
      <c r="N42" s="55" t="s">
        <v>1623</v>
      </c>
      <c r="O42" s="55" t="s">
        <v>1621</v>
      </c>
      <c r="P42" s="55" t="s">
        <v>1623</v>
      </c>
      <c r="Q42" s="55" t="s">
        <v>1623</v>
      </c>
      <c r="R42" s="55">
        <f t="shared" si="0"/>
        <v>5.5</v>
      </c>
      <c r="S42" s="55">
        <f t="shared" si="1"/>
        <v>78.571428571428569</v>
      </c>
      <c r="T42" s="73"/>
    </row>
    <row r="43" spans="1:23" x14ac:dyDescent="0.25">
      <c r="A43" s="55" t="str">
        <f>'Initial Search'!D293</f>
        <v>Conflict Visualization for Evolving UML Models</v>
      </c>
      <c r="B43" s="22">
        <f>ROW('Initial Search'!293:293)</f>
        <v>293</v>
      </c>
      <c r="C43" s="22">
        <f>ROW('Feature Study'!146:146)</f>
        <v>146</v>
      </c>
      <c r="D43" s="23" t="str">
        <f>'Initial Search'!M293</f>
        <v>Accepted</v>
      </c>
      <c r="E43" s="23" t="str">
        <f>'Initial Search'!N293</f>
        <v>Approved</v>
      </c>
      <c r="F43" s="390"/>
      <c r="G43" s="287" t="str">
        <f>'Initial Search'!O293</f>
        <v>AMOR</v>
      </c>
      <c r="H43" s="55" t="s">
        <v>1623</v>
      </c>
      <c r="I43" s="55" t="s">
        <v>1623</v>
      </c>
      <c r="J43" s="55" t="s">
        <v>1623</v>
      </c>
      <c r="K43" s="55" t="s">
        <v>1624</v>
      </c>
      <c r="L43" s="55" t="s">
        <v>1624</v>
      </c>
      <c r="M43" s="55" t="s">
        <v>1623</v>
      </c>
      <c r="N43" s="55" t="s">
        <v>1624</v>
      </c>
      <c r="O43" s="55" t="s">
        <v>1621</v>
      </c>
      <c r="P43" s="55" t="s">
        <v>1623</v>
      </c>
      <c r="Q43" s="55" t="s">
        <v>1621</v>
      </c>
      <c r="R43" s="55">
        <f t="shared" si="0"/>
        <v>5.5</v>
      </c>
      <c r="S43" s="55">
        <f t="shared" si="1"/>
        <v>78.571428571428569</v>
      </c>
      <c r="T43" s="73"/>
    </row>
    <row r="44" spans="1:23" x14ac:dyDescent="0.25">
      <c r="A44" s="55" t="str">
        <f>'Initial Search'!D218</f>
        <v>Turning Conflicts into Collaboration</v>
      </c>
      <c r="B44" s="22">
        <f>ROW('Initial Search'!218:218)</f>
        <v>218</v>
      </c>
      <c r="C44" s="22">
        <f>ROW('Feature Study'!71:71)</f>
        <v>71</v>
      </c>
      <c r="D44" s="23" t="str">
        <f>'Initial Search'!M218</f>
        <v>Accepted</v>
      </c>
      <c r="E44" s="23" t="str">
        <f>'Initial Search'!N218</f>
        <v>Approved</v>
      </c>
      <c r="F44" s="23" t="s">
        <v>2124</v>
      </c>
      <c r="G44" s="23" t="str">
        <f>'Initial Search'!O218</f>
        <v>Wieland et al.</v>
      </c>
      <c r="H44" s="55" t="s">
        <v>1623</v>
      </c>
      <c r="I44" s="55" t="s">
        <v>1623</v>
      </c>
      <c r="J44" s="55" t="s">
        <v>1623</v>
      </c>
      <c r="K44" s="55" t="s">
        <v>1623</v>
      </c>
      <c r="L44" s="55" t="s">
        <v>1624</v>
      </c>
      <c r="M44" s="55" t="s">
        <v>1623</v>
      </c>
      <c r="N44" s="55" t="s">
        <v>1623</v>
      </c>
      <c r="O44" s="55" t="s">
        <v>1623</v>
      </c>
      <c r="P44" s="55" t="s">
        <v>1624</v>
      </c>
      <c r="Q44" s="55" t="s">
        <v>1623</v>
      </c>
      <c r="R44" s="55">
        <f t="shared" si="0"/>
        <v>6.5</v>
      </c>
      <c r="S44" s="55">
        <f t="shared" si="1"/>
        <v>92.857142857142861</v>
      </c>
      <c r="T44" s="73"/>
    </row>
    <row r="45" spans="1:23" x14ac:dyDescent="0.25">
      <c r="A45" s="55" t="str">
        <f>'Initial Search'!D225</f>
        <v>A fundamental approach to model versioning based on graph modifications: from theory to implementation</v>
      </c>
      <c r="B45" s="22">
        <f>ROW('Initial Search'!225:225)</f>
        <v>225</v>
      </c>
      <c r="C45" s="22">
        <f>ROW('Feature Study'!72:72)</f>
        <v>72</v>
      </c>
      <c r="D45" s="23" t="str">
        <f>'Initial Search'!M225</f>
        <v>Accepted</v>
      </c>
      <c r="E45" s="23" t="str">
        <f>'Initial Search'!N225</f>
        <v>Approved</v>
      </c>
      <c r="F45" s="389" t="s">
        <v>2129</v>
      </c>
      <c r="G45" s="23" t="str">
        <f>'Initial Search'!O225</f>
        <v>Taentzer et al.</v>
      </c>
      <c r="H45" s="55" t="s">
        <v>1623</v>
      </c>
      <c r="I45" s="55" t="s">
        <v>1623</v>
      </c>
      <c r="J45" s="55" t="s">
        <v>1623</v>
      </c>
      <c r="K45" s="55" t="s">
        <v>1621</v>
      </c>
      <c r="L45" s="55" t="s">
        <v>1624</v>
      </c>
      <c r="M45" s="55" t="s">
        <v>1623</v>
      </c>
      <c r="N45" s="55" t="s">
        <v>1623</v>
      </c>
      <c r="O45" s="55" t="s">
        <v>1621</v>
      </c>
      <c r="P45" s="55" t="s">
        <v>1623</v>
      </c>
      <c r="Q45" s="55" t="s">
        <v>1624</v>
      </c>
      <c r="R45" s="55">
        <f t="shared" si="0"/>
        <v>5.5</v>
      </c>
      <c r="S45" s="55">
        <f t="shared" si="1"/>
        <v>78.571428571428569</v>
      </c>
      <c r="T45" s="73"/>
    </row>
    <row r="46" spans="1:23" x14ac:dyDescent="0.25">
      <c r="A46" s="55" t="str">
        <f>'Initial Search'!D241</f>
        <v>Conflict Detection for Model Versioning Based on Graph Modifications</v>
      </c>
      <c r="B46" s="22">
        <f>ROW('Initial Search'!241:241)</f>
        <v>241</v>
      </c>
      <c r="C46" s="22">
        <f>ROW('Feature Study'!73:73)</f>
        <v>73</v>
      </c>
      <c r="D46" s="23" t="str">
        <f>'Initial Search'!M241</f>
        <v>Accepted</v>
      </c>
      <c r="E46" s="23" t="str">
        <f>'Initial Search'!N241</f>
        <v>Approved</v>
      </c>
      <c r="F46" s="391"/>
      <c r="G46" s="23" t="str">
        <f>'Initial Search'!O241</f>
        <v>Taentzer et al.</v>
      </c>
      <c r="H46" s="55" t="s">
        <v>1623</v>
      </c>
      <c r="I46" s="55" t="s">
        <v>1624</v>
      </c>
      <c r="J46" s="55" t="s">
        <v>1623</v>
      </c>
      <c r="K46" s="55" t="s">
        <v>1621</v>
      </c>
      <c r="L46" s="55" t="s">
        <v>1621</v>
      </c>
      <c r="M46" s="55" t="s">
        <v>1623</v>
      </c>
      <c r="N46" s="55" t="s">
        <v>1623</v>
      </c>
      <c r="O46" s="55" t="s">
        <v>1621</v>
      </c>
      <c r="P46" s="55" t="s">
        <v>1623</v>
      </c>
      <c r="Q46" s="55" t="s">
        <v>1624</v>
      </c>
      <c r="R46" s="55">
        <f t="shared" si="0"/>
        <v>4.5</v>
      </c>
      <c r="S46" s="55">
        <f t="shared" si="1"/>
        <v>64.285714285714292</v>
      </c>
      <c r="T46" s="73"/>
    </row>
    <row r="47" spans="1:23" x14ac:dyDescent="0.25">
      <c r="A47" s="55" t="str">
        <f>'Initial Search'!D246</f>
        <v>A Formal Resolution Strategy for Operation-Based Conflicts in Model Versioning Using Graph Modifications</v>
      </c>
      <c r="B47" s="22">
        <f>ROW('Initial Search'!246:246)</f>
        <v>246</v>
      </c>
      <c r="C47" s="22">
        <f>ROW('Feature Study'!80:80)</f>
        <v>80</v>
      </c>
      <c r="D47" s="23" t="str">
        <f>'Initial Search'!M246</f>
        <v>Accepted</v>
      </c>
      <c r="E47" s="23" t="str">
        <f>'Initial Search'!N246</f>
        <v>Approved</v>
      </c>
      <c r="F47" s="390"/>
      <c r="G47" s="23" t="str">
        <f>'Initial Search'!O241</f>
        <v>Taentzer et al.</v>
      </c>
      <c r="H47" s="55" t="s">
        <v>1623</v>
      </c>
      <c r="I47" s="55" t="s">
        <v>1623</v>
      </c>
      <c r="J47" s="55" t="s">
        <v>1623</v>
      </c>
      <c r="K47" s="55" t="s">
        <v>1621</v>
      </c>
      <c r="L47" s="55" t="s">
        <v>1621</v>
      </c>
      <c r="M47" s="55" t="s">
        <v>1624</v>
      </c>
      <c r="N47" s="55" t="s">
        <v>1624</v>
      </c>
      <c r="O47" s="55" t="s">
        <v>1621</v>
      </c>
      <c r="P47" s="55" t="s">
        <v>1623</v>
      </c>
      <c r="Q47" s="55" t="s">
        <v>1621</v>
      </c>
      <c r="R47" s="55">
        <f t="shared" si="0"/>
        <v>4</v>
      </c>
      <c r="S47" s="55">
        <f t="shared" si="1"/>
        <v>57.142857142857139</v>
      </c>
      <c r="T47" s="73"/>
    </row>
    <row r="48" spans="1:23" x14ac:dyDescent="0.25">
      <c r="A48" s="55" t="str">
        <f>'Initial Search'!D115</f>
        <v>Model-based tool support for consistent three-way merging of EMF models</v>
      </c>
      <c r="B48" s="22">
        <f>ROW('Initial Search'!115:115)</f>
        <v>115</v>
      </c>
      <c r="C48" s="22">
        <f>ROW('Feature Study'!81:81)</f>
        <v>81</v>
      </c>
      <c r="D48" s="23" t="str">
        <f>'Initial Search'!M115</f>
        <v>Accepted</v>
      </c>
      <c r="E48" s="23" t="str">
        <f>'Initial Search'!N115</f>
        <v>Approved</v>
      </c>
      <c r="F48" s="389" t="s">
        <v>2130</v>
      </c>
      <c r="G48" s="23" t="str">
        <f>'Initial Search'!O115</f>
        <v>BTMerge</v>
      </c>
      <c r="H48" s="55" t="s">
        <v>1623</v>
      </c>
      <c r="I48" s="55" t="s">
        <v>1623</v>
      </c>
      <c r="J48" s="55" t="s">
        <v>1623</v>
      </c>
      <c r="K48" s="55" t="s">
        <v>1624</v>
      </c>
      <c r="L48" s="55" t="s">
        <v>1624</v>
      </c>
      <c r="M48" s="55" t="s">
        <v>1623</v>
      </c>
      <c r="N48" s="55" t="s">
        <v>1623</v>
      </c>
      <c r="O48" s="55" t="s">
        <v>1621</v>
      </c>
      <c r="P48" s="55" t="s">
        <v>1624</v>
      </c>
      <c r="Q48" s="55" t="s">
        <v>1624</v>
      </c>
      <c r="R48" s="55">
        <f t="shared" si="0"/>
        <v>6</v>
      </c>
      <c r="S48" s="55">
        <f t="shared" si="1"/>
        <v>85.714285714285708</v>
      </c>
      <c r="T48" s="73"/>
    </row>
    <row r="49" spans="1:20" x14ac:dyDescent="0.25">
      <c r="A49" s="55" t="str">
        <f>'Initial Search'!D182</f>
        <v>A graph-based algorithm for three-way merging of ordered collections in EMF models</v>
      </c>
      <c r="B49" s="22">
        <f>ROW('Initial Search'!182:182)</f>
        <v>182</v>
      </c>
      <c r="C49" s="22">
        <f>ROW('Feature Study'!82:82)</f>
        <v>82</v>
      </c>
      <c r="D49" s="23" t="str">
        <f>'Initial Search'!M182</f>
        <v>Accepted</v>
      </c>
      <c r="E49" s="23" t="str">
        <f>'Initial Search'!N182</f>
        <v>Approved</v>
      </c>
      <c r="F49" s="391"/>
      <c r="G49" s="23" t="str">
        <f>'Initial Search'!O182</f>
        <v>BTMerge</v>
      </c>
      <c r="H49" s="55" t="s">
        <v>1623</v>
      </c>
      <c r="I49" s="55" t="s">
        <v>1623</v>
      </c>
      <c r="J49" s="55" t="s">
        <v>1623</v>
      </c>
      <c r="K49" s="55" t="s">
        <v>1623</v>
      </c>
      <c r="L49" s="55" t="s">
        <v>1624</v>
      </c>
      <c r="M49" s="55" t="s">
        <v>1623</v>
      </c>
      <c r="N49" s="55" t="s">
        <v>1623</v>
      </c>
      <c r="O49" s="55" t="s">
        <v>1621</v>
      </c>
      <c r="P49" s="55" t="s">
        <v>1623</v>
      </c>
      <c r="Q49" s="55" t="s">
        <v>1624</v>
      </c>
      <c r="R49" s="55">
        <f t="shared" si="0"/>
        <v>6.5</v>
      </c>
      <c r="S49" s="55">
        <f t="shared" si="1"/>
        <v>92.857142857142861</v>
      </c>
      <c r="T49" s="73"/>
    </row>
    <row r="50" spans="1:20" x14ac:dyDescent="0.25">
      <c r="A50" s="55" t="str">
        <f>'Initial Search'!D221</f>
        <v>Merging of EMF models - Formal foundations</v>
      </c>
      <c r="B50" s="22">
        <f>ROW('Initial Search'!221:221)</f>
        <v>221</v>
      </c>
      <c r="C50" s="22">
        <f>ROW('Feature Study'!87:87)</f>
        <v>87</v>
      </c>
      <c r="D50" s="23" t="str">
        <f>'Initial Search'!M221</f>
        <v>Accepted</v>
      </c>
      <c r="E50" s="23" t="str">
        <f>'Initial Search'!N221</f>
        <v>Approved</v>
      </c>
      <c r="F50" s="391"/>
      <c r="G50" s="23" t="str">
        <f>'Initial Search'!O221</f>
        <v>BTMerge</v>
      </c>
      <c r="H50" s="55" t="s">
        <v>1623</v>
      </c>
      <c r="I50" s="55" t="s">
        <v>1623</v>
      </c>
      <c r="J50" s="55" t="s">
        <v>1623</v>
      </c>
      <c r="K50" s="55" t="s">
        <v>1624</v>
      </c>
      <c r="L50" s="55" t="s">
        <v>1621</v>
      </c>
      <c r="M50" s="55" t="s">
        <v>1623</v>
      </c>
      <c r="N50" s="55" t="s">
        <v>1623</v>
      </c>
      <c r="O50" s="55" t="s">
        <v>1621</v>
      </c>
      <c r="P50" s="55" t="s">
        <v>1623</v>
      </c>
      <c r="Q50" s="55" t="s">
        <v>1624</v>
      </c>
      <c r="R50" s="55">
        <f t="shared" si="0"/>
        <v>5.5</v>
      </c>
      <c r="S50" s="55">
        <f t="shared" si="1"/>
        <v>78.571428571428569</v>
      </c>
      <c r="T50" s="73"/>
    </row>
    <row r="51" spans="1:20" x14ac:dyDescent="0.25">
      <c r="A51" s="55" t="str">
        <f>'Initial Search'!D108</f>
        <v>A formal approach to three-way merging of EMF models</v>
      </c>
      <c r="B51" s="22">
        <f>ROW('Initial Search'!108:108)</f>
        <v>108</v>
      </c>
      <c r="C51" s="22">
        <f>ROW('Feature Study'!89:89)</f>
        <v>89</v>
      </c>
      <c r="D51" s="23" t="str">
        <f>'Initial Search'!M108</f>
        <v>Accepted</v>
      </c>
      <c r="E51" s="23" t="str">
        <f>'Initial Search'!N108</f>
        <v>Approved</v>
      </c>
      <c r="F51" s="390"/>
      <c r="G51" s="23" t="str">
        <f>'Initial Search'!O108</f>
        <v>BTMerge</v>
      </c>
      <c r="H51" s="55" t="s">
        <v>1623</v>
      </c>
      <c r="I51" s="55" t="s">
        <v>1623</v>
      </c>
      <c r="J51" s="55" t="s">
        <v>1623</v>
      </c>
      <c r="K51" s="55" t="s">
        <v>1621</v>
      </c>
      <c r="L51" s="55" t="s">
        <v>1621</v>
      </c>
      <c r="M51" s="55" t="s">
        <v>1623</v>
      </c>
      <c r="N51" s="55" t="s">
        <v>1621</v>
      </c>
      <c r="O51" s="55" t="s">
        <v>1621</v>
      </c>
      <c r="P51" s="55" t="s">
        <v>1623</v>
      </c>
      <c r="Q51" s="55" t="s">
        <v>1624</v>
      </c>
      <c r="R51" s="55">
        <f t="shared" si="0"/>
        <v>4</v>
      </c>
      <c r="S51" s="55">
        <f t="shared" si="1"/>
        <v>57.142857142857139</v>
      </c>
      <c r="T51" s="73"/>
    </row>
    <row r="52" spans="1:20" x14ac:dyDescent="0.25">
      <c r="A52" s="55" t="str">
        <f>'Initial Search'!D229</f>
        <v>Managing Model Conflicts in Distributed Development</v>
      </c>
      <c r="B52" s="22">
        <f>ROW('Initial Search'!229:229)</f>
        <v>229</v>
      </c>
      <c r="C52" s="22">
        <f>ROW('Feature Study'!91:91)</f>
        <v>91</v>
      </c>
      <c r="D52" s="23" t="str">
        <f>'Initial Search'!M229</f>
        <v>Accepted</v>
      </c>
      <c r="E52" s="23" t="str">
        <f>'Initial Search'!N229</f>
        <v>Approved</v>
      </c>
      <c r="F52" s="23" t="s">
        <v>2168</v>
      </c>
      <c r="G52" s="23" t="str">
        <f>'Initial Search'!O229</f>
        <v>Cicchetti et al.</v>
      </c>
      <c r="H52" s="55" t="s">
        <v>1623</v>
      </c>
      <c r="I52" s="55" t="s">
        <v>1623</v>
      </c>
      <c r="J52" s="55" t="s">
        <v>1623</v>
      </c>
      <c r="K52" s="55" t="s">
        <v>1621</v>
      </c>
      <c r="L52" s="55" t="s">
        <v>1624</v>
      </c>
      <c r="M52" s="55" t="s">
        <v>1623</v>
      </c>
      <c r="N52" s="55" t="s">
        <v>1623</v>
      </c>
      <c r="O52" s="55" t="s">
        <v>1621</v>
      </c>
      <c r="P52" s="55" t="s">
        <v>1623</v>
      </c>
      <c r="Q52" s="55" t="s">
        <v>1621</v>
      </c>
      <c r="R52" s="55">
        <f t="shared" si="0"/>
        <v>5.5</v>
      </c>
      <c r="S52" s="55">
        <f t="shared" si="1"/>
        <v>78.571428571428569</v>
      </c>
      <c r="T52" s="73"/>
    </row>
    <row r="53" spans="1:20" x14ac:dyDescent="0.25">
      <c r="A53" s="55" t="str">
        <f>'Initial Search'!D111</f>
        <v>Foundations of Collaborative, Real-Time Feature Modeling</v>
      </c>
      <c r="B53" s="22">
        <f>ROW('Initial Search'!111:111)</f>
        <v>111</v>
      </c>
      <c r="C53" s="22">
        <f>ROW('Feature Study'!93:93)</f>
        <v>93</v>
      </c>
      <c r="D53" s="23" t="str">
        <f>'Initial Search'!M111</f>
        <v>Accepted</v>
      </c>
      <c r="E53" s="23" t="str">
        <f>'Initial Search'!N111</f>
        <v>Approved</v>
      </c>
      <c r="F53" s="389" t="s">
        <v>2173</v>
      </c>
      <c r="G53" s="23" t="str">
        <f>'Initial Search'!O111</f>
        <v>variED</v>
      </c>
      <c r="H53" s="55" t="s">
        <v>1623</v>
      </c>
      <c r="I53" s="55" t="s">
        <v>1621</v>
      </c>
      <c r="J53" s="55" t="s">
        <v>1623</v>
      </c>
      <c r="K53" s="55" t="s">
        <v>1624</v>
      </c>
      <c r="L53" s="55" t="s">
        <v>1624</v>
      </c>
      <c r="M53" s="55" t="s">
        <v>1623</v>
      </c>
      <c r="N53" s="55" t="s">
        <v>1624</v>
      </c>
      <c r="O53" s="55" t="s">
        <v>1621</v>
      </c>
      <c r="P53" s="55" t="s">
        <v>1623</v>
      </c>
      <c r="Q53" s="55" t="s">
        <v>1621</v>
      </c>
      <c r="R53" s="55">
        <f>COUNTIF(H53:N53,"Yes") + 0.5 * COUNTIF(H53:N53,"partially")</f>
        <v>4.5</v>
      </c>
      <c r="S53" s="55">
        <f>R53/7*100</f>
        <v>64.285714285714292</v>
      </c>
      <c r="T53" s="73"/>
    </row>
    <row r="54" spans="1:20" x14ac:dyDescent="0.25">
      <c r="A54" s="55" t="str">
        <f>'Initial Search'!D365</f>
        <v>variED: an editor for collaborative, real-time feature modeling</v>
      </c>
      <c r="B54" s="22">
        <f>ROW('Initial Search'!365:365)</f>
        <v>365</v>
      </c>
      <c r="C54" s="22">
        <f>ROW('Feature Study'!181:181)</f>
        <v>181</v>
      </c>
      <c r="D54" s="23" t="str">
        <f>'Initial Search'!M365</f>
        <v>Accepted</v>
      </c>
      <c r="E54" s="23" t="str">
        <f>'Initial Search'!N365</f>
        <v>Approved</v>
      </c>
      <c r="F54" s="390"/>
      <c r="G54" s="23" t="str">
        <f>'Initial Search'!O365</f>
        <v>variED</v>
      </c>
      <c r="H54" s="55" t="s">
        <v>1623</v>
      </c>
      <c r="I54" s="55" t="s">
        <v>1621</v>
      </c>
      <c r="J54" s="55" t="s">
        <v>1623</v>
      </c>
      <c r="K54" s="55" t="s">
        <v>1623</v>
      </c>
      <c r="L54" s="55" t="s">
        <v>1623</v>
      </c>
      <c r="M54" s="55" t="s">
        <v>1623</v>
      </c>
      <c r="N54" s="55" t="s">
        <v>1624</v>
      </c>
      <c r="O54" s="55" t="s">
        <v>1621</v>
      </c>
      <c r="P54" s="55" t="s">
        <v>1623</v>
      </c>
      <c r="Q54" s="55" t="s">
        <v>1621</v>
      </c>
      <c r="R54" s="55">
        <f t="shared" si="0"/>
        <v>5.5</v>
      </c>
      <c r="S54" s="55">
        <f t="shared" si="1"/>
        <v>78.571428571428569</v>
      </c>
      <c r="T54" s="73"/>
    </row>
    <row r="55" spans="1:20" x14ac:dyDescent="0.25">
      <c r="A55" s="55" t="str">
        <f>'Initial Search'!D238</f>
        <v>Models in Conflict – Towards a Semantically Enhanced Version Control System for Models</v>
      </c>
      <c r="B55" s="22">
        <f>ROW('Initial Search'!238:238)</f>
        <v>238</v>
      </c>
      <c r="C55" s="22">
        <f>ROW('Feature Study'!95:95)</f>
        <v>95</v>
      </c>
      <c r="D55" s="23" t="str">
        <f>'Initial Search'!M238</f>
        <v>Accepted</v>
      </c>
      <c r="E55" s="23" t="str">
        <f>'Initial Search'!N238</f>
        <v>Approved</v>
      </c>
      <c r="F55" s="391" t="s">
        <v>2183</v>
      </c>
      <c r="G55" s="23" t="str">
        <f>'Initial Search'!O238</f>
        <v>SMoVer</v>
      </c>
      <c r="H55" s="55" t="s">
        <v>1623</v>
      </c>
      <c r="I55" s="55" t="s">
        <v>1621</v>
      </c>
      <c r="J55" s="55" t="s">
        <v>1624</v>
      </c>
      <c r="K55" s="55" t="s">
        <v>1624</v>
      </c>
      <c r="L55" s="55" t="s">
        <v>1624</v>
      </c>
      <c r="M55" s="55" t="s">
        <v>1623</v>
      </c>
      <c r="N55" s="55" t="s">
        <v>1623</v>
      </c>
      <c r="O55" s="55" t="s">
        <v>1621</v>
      </c>
      <c r="P55" s="55" t="s">
        <v>1624</v>
      </c>
      <c r="Q55" s="55" t="s">
        <v>1623</v>
      </c>
      <c r="R55" s="55">
        <f t="shared" si="0"/>
        <v>4.5</v>
      </c>
      <c r="S55" s="55">
        <f t="shared" si="1"/>
        <v>64.285714285714292</v>
      </c>
      <c r="T55" s="73"/>
    </row>
    <row r="56" spans="1:20" x14ac:dyDescent="0.25">
      <c r="A56" s="55" t="str">
        <f>'Initial Search'!D290</f>
        <v>Semantically enhanced conflict detection between model versions in SMoVer by example</v>
      </c>
      <c r="B56" s="22">
        <f>ROW('Initial Search'!290:290)</f>
        <v>290</v>
      </c>
      <c r="C56" s="22">
        <f>ROW('Feature Study'!96:96)</f>
        <v>96</v>
      </c>
      <c r="D56" s="23" t="str">
        <f>'Initial Search'!M290</f>
        <v>Accepted</v>
      </c>
      <c r="E56" s="23" t="str">
        <f>'Initial Search'!N290</f>
        <v>Approved</v>
      </c>
      <c r="F56" s="391"/>
      <c r="G56" s="287" t="str">
        <f>'Initial Search'!O290</f>
        <v>SMoVer</v>
      </c>
      <c r="H56" s="55" t="s">
        <v>1623</v>
      </c>
      <c r="I56" s="55" t="s">
        <v>1623</v>
      </c>
      <c r="J56" s="55" t="s">
        <v>1623</v>
      </c>
      <c r="K56" s="55" t="s">
        <v>1621</v>
      </c>
      <c r="L56" s="55" t="s">
        <v>1624</v>
      </c>
      <c r="M56" s="55" t="s">
        <v>1623</v>
      </c>
      <c r="N56" s="55" t="s">
        <v>1623</v>
      </c>
      <c r="O56" s="55" t="s">
        <v>1621</v>
      </c>
      <c r="P56" s="55" t="s">
        <v>1623</v>
      </c>
      <c r="Q56" s="55" t="s">
        <v>1621</v>
      </c>
      <c r="R56" s="55">
        <f t="shared" si="0"/>
        <v>5.5</v>
      </c>
      <c r="S56" s="55">
        <f t="shared" si="1"/>
        <v>78.571428571428569</v>
      </c>
      <c r="T56" s="73"/>
    </row>
    <row r="57" spans="1:20" x14ac:dyDescent="0.25">
      <c r="A57" s="55" t="str">
        <f>'Initial Search'!D298</f>
        <v>Semantics for Accurate Conflict Detection in SMoVer: Specification, Detection and Presentation by Example</v>
      </c>
      <c r="B57" s="22">
        <f>ROW('Initial Search'!298:298)</f>
        <v>298</v>
      </c>
      <c r="C57" s="22">
        <f>ROW('Feature Study'!150:150)</f>
        <v>150</v>
      </c>
      <c r="D57" s="23" t="str">
        <f>'Initial Search'!M298</f>
        <v>Accepted</v>
      </c>
      <c r="E57" s="23" t="str">
        <f>'Initial Search'!N298</f>
        <v>Approved</v>
      </c>
      <c r="F57" s="390"/>
      <c r="G57" s="287" t="str">
        <f>'Initial Search'!O298</f>
        <v>SMoVer</v>
      </c>
      <c r="H57" s="55" t="s">
        <v>1623</v>
      </c>
      <c r="I57" s="55" t="s">
        <v>1623</v>
      </c>
      <c r="J57" s="55" t="s">
        <v>1623</v>
      </c>
      <c r="K57" s="55" t="s">
        <v>1621</v>
      </c>
      <c r="L57" s="55" t="s">
        <v>1624</v>
      </c>
      <c r="M57" s="55" t="s">
        <v>1623</v>
      </c>
      <c r="N57" s="55" t="s">
        <v>1623</v>
      </c>
      <c r="O57" s="55" t="s">
        <v>1621</v>
      </c>
      <c r="P57" s="55" t="s">
        <v>1623</v>
      </c>
      <c r="Q57" s="55" t="s">
        <v>1621</v>
      </c>
      <c r="R57" s="55">
        <f t="shared" si="0"/>
        <v>5.5</v>
      </c>
      <c r="S57" s="55">
        <f t="shared" si="1"/>
        <v>78.571428571428569</v>
      </c>
      <c r="T57" s="73"/>
    </row>
    <row r="58" spans="1:20" x14ac:dyDescent="0.25">
      <c r="A58" s="55" t="str">
        <f>'Initial Search'!D131</f>
        <v>A New Approach for Meaningful XML Schema Merging</v>
      </c>
      <c r="B58" s="22">
        <f>ROW('Initial Search'!131:131)</f>
        <v>131</v>
      </c>
      <c r="C58" s="22">
        <f>ROW('Feature Study'!101:101)</f>
        <v>101</v>
      </c>
      <c r="D58" s="23" t="str">
        <f>'Initial Search'!M131</f>
        <v>Accepted</v>
      </c>
      <c r="E58" s="23" t="str">
        <f>'Initial Search'!N131</f>
        <v>Approved</v>
      </c>
      <c r="F58" s="23" t="s">
        <v>2200</v>
      </c>
      <c r="G58" s="23" t="str">
        <f>'Initial Search'!O131</f>
        <v>XSD-aware (XSM)</v>
      </c>
      <c r="H58" s="55" t="s">
        <v>1623</v>
      </c>
      <c r="I58" s="55" t="s">
        <v>1624</v>
      </c>
      <c r="J58" s="55" t="s">
        <v>1623</v>
      </c>
      <c r="K58" s="55" t="s">
        <v>1623</v>
      </c>
      <c r="L58" s="55" t="s">
        <v>1624</v>
      </c>
      <c r="M58" s="55" t="s">
        <v>1623</v>
      </c>
      <c r="N58" s="55" t="s">
        <v>1623</v>
      </c>
      <c r="O58" s="55" t="s">
        <v>1621</v>
      </c>
      <c r="P58" s="55" t="s">
        <v>1623</v>
      </c>
      <c r="Q58" s="55" t="s">
        <v>1621</v>
      </c>
      <c r="R58" s="55">
        <f t="shared" si="0"/>
        <v>6</v>
      </c>
      <c r="S58" s="55">
        <f t="shared" si="1"/>
        <v>85.714285714285708</v>
      </c>
      <c r="T58" s="73"/>
    </row>
    <row r="59" spans="1:20" x14ac:dyDescent="0.25">
      <c r="A59" s="55" t="str">
        <f>'Initial Search'!D154</f>
        <v>Conflict resolution for on-the-fly change propagation in business processes</v>
      </c>
      <c r="B59" s="22">
        <f>ROW('Initial Search'!154:154)</f>
        <v>154</v>
      </c>
      <c r="C59" s="22">
        <f>ROW('Feature Study'!106:106)</f>
        <v>106</v>
      </c>
      <c r="D59" s="23" t="str">
        <f>'Initial Search'!M154</f>
        <v>Accepted</v>
      </c>
      <c r="E59" s="23" t="str">
        <f>'Initial Search'!N154</f>
        <v>Approved</v>
      </c>
      <c r="F59" s="389" t="s">
        <v>2215</v>
      </c>
      <c r="G59" s="23" t="str">
        <f>'Initial Search'!O154</f>
        <v>Mafazi et al.</v>
      </c>
      <c r="H59" s="55" t="s">
        <v>1623</v>
      </c>
      <c r="I59" s="55" t="s">
        <v>1623</v>
      </c>
      <c r="J59" s="55" t="s">
        <v>1623</v>
      </c>
      <c r="K59" s="55" t="s">
        <v>1621</v>
      </c>
      <c r="L59" s="55" t="s">
        <v>1621</v>
      </c>
      <c r="M59" s="55" t="s">
        <v>1623</v>
      </c>
      <c r="N59" s="55" t="s">
        <v>1623</v>
      </c>
      <c r="O59" s="55" t="s">
        <v>1621</v>
      </c>
      <c r="P59" s="55" t="s">
        <v>1624</v>
      </c>
      <c r="Q59" s="55" t="s">
        <v>1621</v>
      </c>
      <c r="R59" s="55">
        <f t="shared" si="0"/>
        <v>5</v>
      </c>
      <c r="S59" s="55">
        <f t="shared" si="1"/>
        <v>71.428571428571431</v>
      </c>
      <c r="T59" s="73"/>
    </row>
    <row r="60" spans="1:20" x14ac:dyDescent="0.25">
      <c r="A60" s="55" t="str">
        <f>'Initial Search'!D303</f>
        <v>Change Propagation and Conflict Resolution for the Co-Evolution of Business Processes</v>
      </c>
      <c r="B60" s="22">
        <f>ROW('Initial Search'!303:303)</f>
        <v>303</v>
      </c>
      <c r="C60" s="22">
        <f>ROW('Feature Study'!153:153)</f>
        <v>153</v>
      </c>
      <c r="D60" s="23" t="str">
        <f>'Initial Search'!M303</f>
        <v>Accepted</v>
      </c>
      <c r="E60" s="23" t="str">
        <f>'Initial Search'!N303</f>
        <v>Approved</v>
      </c>
      <c r="F60" s="390"/>
      <c r="G60" s="287" t="str">
        <f>'Initial Search'!O303</f>
        <v>Mafazi et al.</v>
      </c>
      <c r="H60" s="55" t="s">
        <v>1623</v>
      </c>
      <c r="I60" s="55" t="s">
        <v>1623</v>
      </c>
      <c r="J60" s="55" t="s">
        <v>1623</v>
      </c>
      <c r="K60" s="55" t="s">
        <v>1624</v>
      </c>
      <c r="L60" s="55" t="s">
        <v>1624</v>
      </c>
      <c r="M60" s="55" t="s">
        <v>1623</v>
      </c>
      <c r="N60" s="55" t="s">
        <v>1624</v>
      </c>
      <c r="O60" s="55" t="s">
        <v>1621</v>
      </c>
      <c r="P60" s="55" t="s">
        <v>1623</v>
      </c>
      <c r="Q60" s="55" t="s">
        <v>1621</v>
      </c>
      <c r="R60" s="55">
        <f t="shared" si="0"/>
        <v>5.5</v>
      </c>
      <c r="S60" s="55">
        <f t="shared" si="1"/>
        <v>78.571428571428569</v>
      </c>
      <c r="T60" s="73"/>
    </row>
    <row r="61" spans="1:20" x14ac:dyDescent="0.25">
      <c r="A61" s="55" t="str">
        <f>'Initial Search'!D183</f>
        <v>Formal Model Merging Applied to Class Diagram Integration</v>
      </c>
      <c r="B61" s="22">
        <f>ROW('Initial Search'!183:183)</f>
        <v>183</v>
      </c>
      <c r="C61" s="22">
        <f>ROW('Feature Study'!109:109)</f>
        <v>109</v>
      </c>
      <c r="D61" s="23" t="str">
        <f>'Initial Search'!M183</f>
        <v>Accepted</v>
      </c>
      <c r="E61" s="23" t="str">
        <f>'Initial Search'!N183</f>
        <v>Approved</v>
      </c>
      <c r="F61" s="23" t="s">
        <v>2222</v>
      </c>
      <c r="G61" s="23" t="str">
        <f>'Initial Search'!O183</f>
        <v>MOMENT</v>
      </c>
      <c r="H61" s="55" t="s">
        <v>1623</v>
      </c>
      <c r="I61" s="55" t="s">
        <v>1624</v>
      </c>
      <c r="J61" s="55" t="s">
        <v>1623</v>
      </c>
      <c r="K61" s="55" t="s">
        <v>1621</v>
      </c>
      <c r="L61" s="55" t="s">
        <v>1624</v>
      </c>
      <c r="M61" s="55" t="s">
        <v>1623</v>
      </c>
      <c r="N61" s="55" t="s">
        <v>1624</v>
      </c>
      <c r="O61" s="55" t="s">
        <v>1621</v>
      </c>
      <c r="P61" s="55" t="s">
        <v>1624</v>
      </c>
      <c r="Q61" s="55" t="s">
        <v>1621</v>
      </c>
      <c r="R61" s="55">
        <f t="shared" si="0"/>
        <v>4.5</v>
      </c>
      <c r="S61" s="55">
        <f t="shared" si="1"/>
        <v>64.285714285714292</v>
      </c>
      <c r="T61" s="73"/>
    </row>
    <row r="62" spans="1:20" x14ac:dyDescent="0.25">
      <c r="A62" s="55" t="str">
        <f>'Initial Search'!D184</f>
        <v>Near real-time collaborative modeling for view-based Web information systems engineering</v>
      </c>
      <c r="B62" s="22">
        <f>ROW('Initial Search'!184:184)</f>
        <v>184</v>
      </c>
      <c r="C62" s="22">
        <f>ROW('Feature Study'!110:110)</f>
        <v>110</v>
      </c>
      <c r="D62" s="23" t="str">
        <f>'Initial Search'!M184</f>
        <v>Accepted</v>
      </c>
      <c r="E62" s="23" t="str">
        <f>'Initial Search'!N184</f>
        <v>Approved</v>
      </c>
      <c r="F62" s="389" t="s">
        <v>2229</v>
      </c>
      <c r="G62" s="23" t="str">
        <f>'Initial Search'!O184</f>
        <v>SyncMeta</v>
      </c>
      <c r="H62" s="55" t="s">
        <v>1623</v>
      </c>
      <c r="I62" s="55" t="s">
        <v>1624</v>
      </c>
      <c r="J62" s="55" t="s">
        <v>1623</v>
      </c>
      <c r="K62" s="55" t="s">
        <v>1623</v>
      </c>
      <c r="L62" s="55" t="s">
        <v>1624</v>
      </c>
      <c r="M62" s="55" t="s">
        <v>1623</v>
      </c>
      <c r="N62" s="55" t="s">
        <v>1623</v>
      </c>
      <c r="O62" s="55" t="s">
        <v>1623</v>
      </c>
      <c r="P62" s="55" t="s">
        <v>1623</v>
      </c>
      <c r="Q62" s="55" t="s">
        <v>1623</v>
      </c>
      <c r="R62" s="55">
        <f t="shared" si="0"/>
        <v>6</v>
      </c>
      <c r="S62" s="55">
        <f t="shared" si="1"/>
        <v>85.714285714285708</v>
      </c>
      <c r="T62" s="73"/>
    </row>
    <row r="63" spans="1:20" x14ac:dyDescent="0.25">
      <c r="A63" s="55" t="str">
        <f>'Initial Search'!D283</f>
        <v>Near Real-Time Collaborative Conceptual Modeling on the Web</v>
      </c>
      <c r="B63" s="22">
        <f>ROW('Initial Search'!283:283)</f>
        <v>283</v>
      </c>
      <c r="C63" s="22">
        <f>ROW('Feature Study'!116:116)</f>
        <v>116</v>
      </c>
      <c r="D63" s="23" t="str">
        <f>'Initial Search'!M283</f>
        <v>Accepted</v>
      </c>
      <c r="E63" s="23" t="str">
        <f>'Initial Search'!N283</f>
        <v>Approved</v>
      </c>
      <c r="F63" s="391"/>
      <c r="G63" s="23" t="str">
        <f>'Initial Search'!O283</f>
        <v>SyncMeta</v>
      </c>
      <c r="H63" s="55" t="s">
        <v>1623</v>
      </c>
      <c r="I63" s="55" t="s">
        <v>1621</v>
      </c>
      <c r="J63" s="55" t="s">
        <v>1623</v>
      </c>
      <c r="K63" s="55" t="s">
        <v>1624</v>
      </c>
      <c r="L63" s="55" t="s">
        <v>1624</v>
      </c>
      <c r="M63" s="55" t="s">
        <v>1623</v>
      </c>
      <c r="N63" s="55" t="s">
        <v>1623</v>
      </c>
      <c r="O63" s="55" t="s">
        <v>1621</v>
      </c>
      <c r="P63" s="55" t="s">
        <v>1623</v>
      </c>
      <c r="Q63" s="55" t="s">
        <v>1624</v>
      </c>
      <c r="R63" s="55">
        <f t="shared" si="0"/>
        <v>5</v>
      </c>
      <c r="S63" s="55">
        <f t="shared" si="1"/>
        <v>71.428571428571431</v>
      </c>
      <c r="T63" s="73"/>
    </row>
    <row r="64" spans="1:20" x14ac:dyDescent="0.25">
      <c r="A64" s="55" t="str">
        <f>'Initial Search'!D286</f>
        <v>View-based near real-time collaborative modeling for information systems engineering</v>
      </c>
      <c r="B64" s="22">
        <f>ROW('Initial Search'!286:286)</f>
        <v>286</v>
      </c>
      <c r="C64" s="22">
        <f>ROW('Feature Study'!117:117)</f>
        <v>117</v>
      </c>
      <c r="D64" s="23" t="str">
        <f>'Initial Search'!M286</f>
        <v>Accepted</v>
      </c>
      <c r="E64" s="23" t="str">
        <f>'Initial Search'!N286</f>
        <v>Approved</v>
      </c>
      <c r="F64" s="390"/>
      <c r="G64" s="23" t="str">
        <f>'Initial Search'!O286</f>
        <v>SyncMeta</v>
      </c>
      <c r="H64" s="55" t="s">
        <v>1623</v>
      </c>
      <c r="I64" s="55" t="s">
        <v>1621</v>
      </c>
      <c r="J64" s="55" t="s">
        <v>1623</v>
      </c>
      <c r="K64" s="55" t="s">
        <v>1624</v>
      </c>
      <c r="L64" s="55" t="s">
        <v>1624</v>
      </c>
      <c r="M64" s="55" t="s">
        <v>1623</v>
      </c>
      <c r="N64" s="55" t="s">
        <v>1623</v>
      </c>
      <c r="O64" s="55" t="s">
        <v>1621</v>
      </c>
      <c r="P64" s="55" t="s">
        <v>1623</v>
      </c>
      <c r="Q64" s="55" t="s">
        <v>1624</v>
      </c>
      <c r="R64" s="55">
        <f t="shared" si="0"/>
        <v>5</v>
      </c>
      <c r="S64" s="55">
        <f t="shared" si="1"/>
        <v>71.428571428571431</v>
      </c>
      <c r="T64" s="73"/>
    </row>
    <row r="65" spans="1:20" x14ac:dyDescent="0.25">
      <c r="A65" s="55" t="str">
        <f>'Initial Search'!D199</f>
        <v>Odyssey-SCM: An integrated software configuration management infrastructure for UML models</v>
      </c>
      <c r="B65" s="22">
        <f>ROW('Initial Search'!199:199)</f>
        <v>199</v>
      </c>
      <c r="C65" s="22">
        <f>ROW('Feature Study'!118:118)</f>
        <v>118</v>
      </c>
      <c r="D65" s="23" t="str">
        <f>'Initial Search'!M199</f>
        <v>Accepted</v>
      </c>
      <c r="E65" s="23" t="str">
        <f>'Initial Search'!N199</f>
        <v>Approved</v>
      </c>
      <c r="F65" s="23" t="s">
        <v>2240</v>
      </c>
      <c r="G65" s="23" t="str">
        <f>'Initial Search'!O199</f>
        <v>Odyssey</v>
      </c>
      <c r="H65" s="55" t="s">
        <v>1624</v>
      </c>
      <c r="I65" s="55" t="s">
        <v>1623</v>
      </c>
      <c r="J65" s="55" t="s">
        <v>1623</v>
      </c>
      <c r="K65" s="55" t="s">
        <v>1623</v>
      </c>
      <c r="L65" s="55" t="s">
        <v>1624</v>
      </c>
      <c r="M65" s="55" t="s">
        <v>1623</v>
      </c>
      <c r="N65" s="55" t="s">
        <v>1623</v>
      </c>
      <c r="O65" s="55" t="s">
        <v>1621</v>
      </c>
      <c r="P65" s="55" t="s">
        <v>1624</v>
      </c>
      <c r="Q65" s="55" t="s">
        <v>1623</v>
      </c>
      <c r="R65" s="55">
        <f t="shared" si="0"/>
        <v>6</v>
      </c>
      <c r="S65" s="55">
        <f t="shared" si="1"/>
        <v>85.714285714285708</v>
      </c>
      <c r="T65" s="73"/>
    </row>
    <row r="66" spans="1:20" x14ac:dyDescent="0.25">
      <c r="A66" s="55" t="str">
        <f>'Initial Search'!D232</f>
        <v>A Graph-Pattern Based Approach for Meta-Model Specific Conflict Detection in a General-Purpose Model Versioning System</v>
      </c>
      <c r="B66" s="22">
        <f>ROW('Initial Search'!232:232)</f>
        <v>232</v>
      </c>
      <c r="C66" s="22">
        <f>ROW('Feature Study'!124:124)</f>
        <v>124</v>
      </c>
      <c r="D66" s="23" t="str">
        <f>'Initial Search'!M232</f>
        <v>Accepted</v>
      </c>
      <c r="E66" s="23" t="str">
        <f>'Initial Search'!N232</f>
        <v>Approved</v>
      </c>
      <c r="F66" s="23" t="s">
        <v>2245</v>
      </c>
      <c r="G66" s="23" t="str">
        <f>'Initial Search'!O232</f>
        <v>Diff-Merge</v>
      </c>
      <c r="H66" s="55" t="s">
        <v>1623</v>
      </c>
      <c r="I66" s="55" t="s">
        <v>1621</v>
      </c>
      <c r="J66" s="55" t="s">
        <v>1623</v>
      </c>
      <c r="K66" s="55" t="s">
        <v>1624</v>
      </c>
      <c r="L66" s="55" t="s">
        <v>1623</v>
      </c>
      <c r="M66" s="55" t="s">
        <v>1624</v>
      </c>
      <c r="N66" s="55" t="s">
        <v>1621</v>
      </c>
      <c r="O66" s="55" t="s">
        <v>1621</v>
      </c>
      <c r="P66" s="55" t="s">
        <v>1624</v>
      </c>
      <c r="Q66" s="55" t="s">
        <v>1621</v>
      </c>
      <c r="R66" s="55">
        <f t="shared" si="0"/>
        <v>4</v>
      </c>
      <c r="S66" s="55">
        <f t="shared" si="1"/>
        <v>57.142857142857139</v>
      </c>
      <c r="T66" s="73"/>
    </row>
    <row r="67" spans="1:20" x14ac:dyDescent="0.25">
      <c r="A67" s="55" t="str">
        <f>'Initial Search'!D243</f>
        <v>Supporting Collaborative Work by Preserving Model Meaning When Merging Graphical Models</v>
      </c>
      <c r="B67" s="22">
        <f>ROW('Initial Search'!243:243)</f>
        <v>243</v>
      </c>
      <c r="C67" s="22">
        <f>ROW('Feature Study'!126:126)</f>
        <v>126</v>
      </c>
      <c r="D67" s="23" t="str">
        <f>'Initial Search'!M243</f>
        <v>Accepted</v>
      </c>
      <c r="E67" s="23" t="str">
        <f>'Initial Search'!N243</f>
        <v>Approved</v>
      </c>
      <c r="F67" s="23" t="s">
        <v>2246</v>
      </c>
      <c r="G67" s="23" t="str">
        <f>'Initial Search'!O243</f>
        <v>Phalp et al.</v>
      </c>
      <c r="H67" s="55" t="s">
        <v>1623</v>
      </c>
      <c r="I67" s="55" t="s">
        <v>1623</v>
      </c>
      <c r="J67" s="55" t="s">
        <v>1623</v>
      </c>
      <c r="K67" s="55" t="s">
        <v>1624</v>
      </c>
      <c r="L67" s="55" t="s">
        <v>1624</v>
      </c>
      <c r="M67" s="55" t="s">
        <v>1621</v>
      </c>
      <c r="N67" s="55" t="s">
        <v>1621</v>
      </c>
      <c r="O67" s="55" t="s">
        <v>1621</v>
      </c>
      <c r="P67" s="55" t="s">
        <v>1624</v>
      </c>
      <c r="Q67" s="55" t="s">
        <v>1621</v>
      </c>
      <c r="R67" s="55">
        <f t="shared" ref="R67:R114" si="6">COUNTIF(H67:N67,"Yes") + 0.5 * COUNTIF(H67:N67,"partially")</f>
        <v>4</v>
      </c>
      <c r="S67" s="55">
        <f t="shared" si="1"/>
        <v>57.142857142857139</v>
      </c>
      <c r="T67" s="73"/>
    </row>
    <row r="68" spans="1:20" x14ac:dyDescent="0.25">
      <c r="A68" s="55" t="str">
        <f>'Initial Search'!D251</f>
        <v>Model Consistency for Distributed Collaborative Modeling</v>
      </c>
      <c r="B68" s="22">
        <f>ROW('Initial Search'!251:251)</f>
        <v>251</v>
      </c>
      <c r="C68" s="22">
        <f>ROW('Feature Study'!128:128)</f>
        <v>128</v>
      </c>
      <c r="D68" s="23" t="str">
        <f>'Initial Search'!M251</f>
        <v>Accepted</v>
      </c>
      <c r="E68" s="23" t="str">
        <f>'Initial Search'!N251</f>
        <v>Approved</v>
      </c>
      <c r="F68" s="23" t="s">
        <v>2255</v>
      </c>
      <c r="G68" s="23" t="str">
        <f>'Initial Search'!O251</f>
        <v>Model Consistency</v>
      </c>
      <c r="H68" s="55" t="s">
        <v>1623</v>
      </c>
      <c r="I68" s="55" t="s">
        <v>1623</v>
      </c>
      <c r="J68" s="55" t="s">
        <v>1623</v>
      </c>
      <c r="K68" s="55" t="s">
        <v>1621</v>
      </c>
      <c r="L68" s="55" t="s">
        <v>1624</v>
      </c>
      <c r="M68" s="55" t="s">
        <v>1624</v>
      </c>
      <c r="N68" s="55" t="s">
        <v>1623</v>
      </c>
      <c r="O68" s="55" t="s">
        <v>1621</v>
      </c>
      <c r="P68" s="55" t="s">
        <v>1623</v>
      </c>
      <c r="Q68" s="55" t="s">
        <v>1623</v>
      </c>
      <c r="R68" s="55">
        <f t="shared" si="6"/>
        <v>5</v>
      </c>
      <c r="S68" s="55">
        <f t="shared" si="1"/>
        <v>71.428571428571431</v>
      </c>
      <c r="T68" s="73"/>
    </row>
    <row r="69" spans="1:20" x14ac:dyDescent="0.25">
      <c r="A69" s="55" t="str">
        <f>'Initial Search'!D202</f>
        <v>A formalisation of the copy-modify-merge approach to version control in MDE</v>
      </c>
      <c r="B69" s="22">
        <f>ROW('Initial Search'!202:202)</f>
        <v>202</v>
      </c>
      <c r="C69" s="22">
        <f>ROW('Feature Study'!129:129)</f>
        <v>129</v>
      </c>
      <c r="D69" s="23" t="str">
        <f>'Initial Search'!M202</f>
        <v>Accepted</v>
      </c>
      <c r="E69" s="23" t="str">
        <f>'Initial Search'!N202</f>
        <v>Approved</v>
      </c>
      <c r="F69" s="389" t="s">
        <v>2268</v>
      </c>
      <c r="G69" s="23" t="str">
        <f>'Initial Search'!O202</f>
        <v>DPF</v>
      </c>
      <c r="H69" s="55" t="s">
        <v>1623</v>
      </c>
      <c r="I69" s="55" t="s">
        <v>1623</v>
      </c>
      <c r="J69" s="55" t="s">
        <v>1623</v>
      </c>
      <c r="K69" s="55" t="s">
        <v>1621</v>
      </c>
      <c r="L69" s="55" t="s">
        <v>1621</v>
      </c>
      <c r="M69" s="55" t="s">
        <v>1623</v>
      </c>
      <c r="N69" s="55" t="s">
        <v>1623</v>
      </c>
      <c r="O69" s="55" t="s">
        <v>1621</v>
      </c>
      <c r="P69" s="55" t="s">
        <v>1623</v>
      </c>
      <c r="Q69" s="55" t="s">
        <v>1621</v>
      </c>
      <c r="R69" s="55">
        <f t="shared" si="6"/>
        <v>5</v>
      </c>
      <c r="S69" s="55">
        <f t="shared" si="1"/>
        <v>71.428571428571431</v>
      </c>
      <c r="T69" s="73"/>
    </row>
    <row r="70" spans="1:20" x14ac:dyDescent="0.25">
      <c r="A70" s="55" t="str">
        <f>'Initial Search'!D252</f>
        <v>A Category-Theoretical Approach to the Formalisation of Version Control in MDE</v>
      </c>
      <c r="B70" s="22">
        <f>ROW('Initial Search'!252:252)</f>
        <v>252</v>
      </c>
      <c r="C70" s="22">
        <f>ROW('Feature Study'!130:130)</f>
        <v>130</v>
      </c>
      <c r="D70" s="23" t="str">
        <f>'Initial Search'!M252</f>
        <v>Accepted</v>
      </c>
      <c r="E70" s="23" t="str">
        <f>'Initial Search'!N252</f>
        <v>Approved</v>
      </c>
      <c r="F70" s="391"/>
      <c r="G70" s="23" t="str">
        <f>'Initial Search'!O252</f>
        <v>DPF</v>
      </c>
      <c r="H70" s="55" t="s">
        <v>1623</v>
      </c>
      <c r="I70" s="55" t="s">
        <v>1624</v>
      </c>
      <c r="J70" s="55" t="s">
        <v>1623</v>
      </c>
      <c r="K70" s="55" t="s">
        <v>1621</v>
      </c>
      <c r="L70" s="55" t="s">
        <v>1621</v>
      </c>
      <c r="M70" s="55" t="s">
        <v>1624</v>
      </c>
      <c r="N70" s="55" t="s">
        <v>1623</v>
      </c>
      <c r="O70" s="55" t="s">
        <v>1621</v>
      </c>
      <c r="P70" s="55" t="s">
        <v>1623</v>
      </c>
      <c r="Q70" s="55" t="s">
        <v>1624</v>
      </c>
      <c r="R70" s="55">
        <f t="shared" si="6"/>
        <v>4</v>
      </c>
      <c r="S70" s="55">
        <f t="shared" si="1"/>
        <v>57.142857142857139</v>
      </c>
      <c r="T70" s="73"/>
    </row>
    <row r="71" spans="1:20" x14ac:dyDescent="0.25">
      <c r="A71" s="55" t="str">
        <f>'Initial Search'!D296</f>
        <v>Handling constraints in model versioning</v>
      </c>
      <c r="B71" s="22">
        <f>ROW('Initial Search'!296:296)</f>
        <v>296</v>
      </c>
      <c r="C71" s="22">
        <f>ROW('Feature Study'!147:147)</f>
        <v>147</v>
      </c>
      <c r="D71" s="23" t="str">
        <f>'Initial Search'!M296</f>
        <v>Accepted</v>
      </c>
      <c r="E71" s="23" t="str">
        <f>'Initial Search'!N296</f>
        <v>Approved</v>
      </c>
      <c r="F71" s="390"/>
      <c r="G71" s="287" t="str">
        <f>'Initial Search'!O296</f>
        <v>DPF</v>
      </c>
      <c r="H71" s="55" t="s">
        <v>1623</v>
      </c>
      <c r="I71" s="55" t="s">
        <v>1623</v>
      </c>
      <c r="J71" s="55" t="s">
        <v>1623</v>
      </c>
      <c r="K71" s="55" t="s">
        <v>1621</v>
      </c>
      <c r="L71" s="55" t="s">
        <v>1621</v>
      </c>
      <c r="M71" s="55" t="s">
        <v>1623</v>
      </c>
      <c r="N71" s="55" t="s">
        <v>1624</v>
      </c>
      <c r="O71" s="55" t="s">
        <v>1621</v>
      </c>
      <c r="P71" s="55" t="s">
        <v>1624</v>
      </c>
      <c r="Q71" s="55" t="s">
        <v>1621</v>
      </c>
      <c r="R71" s="55">
        <f t="shared" si="6"/>
        <v>4.5</v>
      </c>
      <c r="S71" s="55">
        <f t="shared" si="1"/>
        <v>64.285714285714292</v>
      </c>
      <c r="T71" s="73"/>
    </row>
    <row r="72" spans="1:20" x14ac:dyDescent="0.25">
      <c r="A72" s="55" t="str">
        <f>'Initial Search'!D277</f>
        <v>Research of Consistency Maintenance Mechanism in Real-Time Collaborative Multi-View Business Modeling</v>
      </c>
      <c r="B72" s="22">
        <f>ROW('Initial Search'!277:277)</f>
        <v>277</v>
      </c>
      <c r="C72" s="22">
        <f>ROW('Feature Study'!139:139)</f>
        <v>139</v>
      </c>
      <c r="D72" s="23" t="str">
        <f>'Initial Search'!M277</f>
        <v>Accepted</v>
      </c>
      <c r="E72" s="23" t="str">
        <f>'Initial Search'!N277</f>
        <v>Approved</v>
      </c>
      <c r="F72" s="23" t="s">
        <v>2269</v>
      </c>
      <c r="G72" s="23" t="str">
        <f>'Initial Search'!O277</f>
        <v>CoMBM</v>
      </c>
      <c r="H72" s="55" t="s">
        <v>1623</v>
      </c>
      <c r="I72" s="55" t="s">
        <v>1623</v>
      </c>
      <c r="J72" s="55" t="s">
        <v>1624</v>
      </c>
      <c r="K72" s="55" t="s">
        <v>1624</v>
      </c>
      <c r="L72" s="55" t="s">
        <v>1624</v>
      </c>
      <c r="M72" s="55" t="s">
        <v>1621</v>
      </c>
      <c r="N72" s="55" t="s">
        <v>1624</v>
      </c>
      <c r="O72" s="55" t="s">
        <v>1621</v>
      </c>
      <c r="P72" s="55" t="s">
        <v>1624</v>
      </c>
      <c r="Q72" s="55" t="s">
        <v>1621</v>
      </c>
      <c r="R72" s="55">
        <f t="shared" si="6"/>
        <v>4</v>
      </c>
      <c r="S72" s="55">
        <f t="shared" si="1"/>
        <v>57.142857142857139</v>
      </c>
      <c r="T72" s="73"/>
    </row>
    <row r="73" spans="1:20" x14ac:dyDescent="0.25">
      <c r="A73" s="55" t="str">
        <f>'Initial Search'!D280</f>
        <v>Pyro: Generating Domain-Specific Collaborative Online Modeling Environments</v>
      </c>
      <c r="B73" s="22">
        <f>ROW('Initial Search'!280:280)</f>
        <v>280</v>
      </c>
      <c r="C73" s="22">
        <f>ROW('Feature Study'!140:140)</f>
        <v>140</v>
      </c>
      <c r="D73" s="23" t="str">
        <f>'Initial Search'!M280</f>
        <v>Accepted</v>
      </c>
      <c r="E73" s="23" t="str">
        <f>'Initial Search'!N280</f>
        <v>Approved</v>
      </c>
      <c r="F73" s="23" t="s">
        <v>2288</v>
      </c>
      <c r="G73" s="23" t="str">
        <f>'Initial Search'!O280</f>
        <v>Pyro</v>
      </c>
      <c r="H73" s="55" t="s">
        <v>1623</v>
      </c>
      <c r="I73" s="55" t="s">
        <v>1621</v>
      </c>
      <c r="J73" s="55" t="s">
        <v>1623</v>
      </c>
      <c r="K73" s="55" t="s">
        <v>1621</v>
      </c>
      <c r="L73" s="55" t="s">
        <v>1623</v>
      </c>
      <c r="M73" s="55" t="s">
        <v>1624</v>
      </c>
      <c r="N73" s="55" t="s">
        <v>1624</v>
      </c>
      <c r="O73" s="55" t="s">
        <v>1621</v>
      </c>
      <c r="P73" s="55" t="s">
        <v>1624</v>
      </c>
      <c r="Q73" s="55" t="s">
        <v>1621</v>
      </c>
      <c r="R73" s="55">
        <f t="shared" si="6"/>
        <v>4</v>
      </c>
      <c r="S73" s="55">
        <f t="shared" si="1"/>
        <v>57.142857142857139</v>
      </c>
    </row>
    <row r="74" spans="1:20" x14ac:dyDescent="0.25">
      <c r="A74" s="55" t="str">
        <f>'Initial Search'!D284</f>
        <v>Collaborative Modelling with Version Control</v>
      </c>
      <c r="B74" s="22">
        <f>ROW('Initial Search'!284:284)</f>
        <v>284</v>
      </c>
      <c r="C74" s="22">
        <f>ROW('Feature Study'!141:141)</f>
        <v>141</v>
      </c>
      <c r="D74" s="23" t="str">
        <f>'Initial Search'!M284</f>
        <v>Accepted</v>
      </c>
      <c r="E74" s="23" t="str">
        <f>'Initial Search'!N284</f>
        <v>Approved</v>
      </c>
      <c r="F74" s="23" t="s">
        <v>2435</v>
      </c>
      <c r="G74" s="23" t="str">
        <f>'Initial Search'!O284</f>
        <v>MetaEdit+</v>
      </c>
      <c r="H74" s="55" t="s">
        <v>1623</v>
      </c>
      <c r="I74" s="55" t="s">
        <v>1621</v>
      </c>
      <c r="J74" s="55" t="s">
        <v>1623</v>
      </c>
      <c r="K74" s="55" t="s">
        <v>1621</v>
      </c>
      <c r="L74" s="55" t="s">
        <v>1623</v>
      </c>
      <c r="M74" s="55" t="s">
        <v>1624</v>
      </c>
      <c r="N74" s="55" t="s">
        <v>1624</v>
      </c>
      <c r="O74" s="55" t="s">
        <v>1621</v>
      </c>
      <c r="P74" s="55" t="s">
        <v>1624</v>
      </c>
      <c r="Q74" s="55" t="s">
        <v>1621</v>
      </c>
      <c r="R74" s="55">
        <f t="shared" si="6"/>
        <v>4</v>
      </c>
      <c r="S74" s="55">
        <f t="shared" si="1"/>
        <v>57.142857142857139</v>
      </c>
    </row>
    <row r="75" spans="1:20" x14ac:dyDescent="0.25">
      <c r="A75" s="55" t="str">
        <f>'Initial Search'!D164</f>
        <v>A Formalism for Specifying Model Merging Conflicts</v>
      </c>
      <c r="B75" s="22">
        <f>ROW('Initial Search'!164:164)</f>
        <v>164</v>
      </c>
      <c r="C75" s="22">
        <f>ROW('Feature Study'!142:142)</f>
        <v>142</v>
      </c>
      <c r="D75" s="23" t="str">
        <f>'Initial Search'!M164</f>
        <v>Accepted</v>
      </c>
      <c r="E75" s="23" t="str">
        <f>'Initial Search'!N164</f>
        <v>Approved</v>
      </c>
      <c r="F75" s="23" t="s">
        <v>2463</v>
      </c>
      <c r="G75" s="23" t="str">
        <f>'Initial Search'!O164</f>
        <v>CPL</v>
      </c>
      <c r="H75" s="55" t="s">
        <v>1623</v>
      </c>
      <c r="I75" s="55" t="s">
        <v>1623</v>
      </c>
      <c r="J75" s="55" t="s">
        <v>1623</v>
      </c>
      <c r="K75" s="55" t="s">
        <v>1623</v>
      </c>
      <c r="L75" s="55" t="s">
        <v>1624</v>
      </c>
      <c r="M75" s="55" t="s">
        <v>1623</v>
      </c>
      <c r="N75" s="55" t="s">
        <v>1623</v>
      </c>
      <c r="O75" s="55" t="s">
        <v>1621</v>
      </c>
      <c r="P75" s="55" t="s">
        <v>1623</v>
      </c>
      <c r="Q75" s="55" t="s">
        <v>1624</v>
      </c>
      <c r="R75" s="55">
        <f t="shared" si="6"/>
        <v>6.5</v>
      </c>
      <c r="S75" s="55">
        <f t="shared" si="1"/>
        <v>92.857142857142861</v>
      </c>
    </row>
    <row r="76" spans="1:20" x14ac:dyDescent="0.25">
      <c r="A76" s="55" t="str">
        <f>'Initial Search'!D98</f>
        <v>Consistency Control for Model Versions in Evolving Model-Driven Software Product Lines</v>
      </c>
      <c r="B76" s="22">
        <f>ROW('Initial Search'!98:98)</f>
        <v>98</v>
      </c>
      <c r="C76" s="22">
        <f>ROW('Feature Study'!90:90)</f>
        <v>90</v>
      </c>
      <c r="D76" s="23" t="str">
        <f>'Initial Search'!M98</f>
        <v>Accepted</v>
      </c>
      <c r="E76" s="23" t="str">
        <f>'Initial Search'!N98</f>
        <v>Approved</v>
      </c>
      <c r="F76" s="23" t="s">
        <v>2481</v>
      </c>
      <c r="G76" s="23" t="str">
        <f>'Initial Search'!O98</f>
        <v>SuperMod</v>
      </c>
      <c r="H76" s="55" t="s">
        <v>1623</v>
      </c>
      <c r="I76" s="55" t="s">
        <v>1624</v>
      </c>
      <c r="J76" s="55" t="s">
        <v>1623</v>
      </c>
      <c r="K76" s="55" t="s">
        <v>1624</v>
      </c>
      <c r="L76" s="55" t="s">
        <v>1623</v>
      </c>
      <c r="M76" s="55" t="s">
        <v>1623</v>
      </c>
      <c r="N76" s="55" t="s">
        <v>1621</v>
      </c>
      <c r="O76" s="55" t="s">
        <v>1621</v>
      </c>
      <c r="P76" s="55" t="s">
        <v>1624</v>
      </c>
      <c r="Q76" s="55" t="s">
        <v>1621</v>
      </c>
      <c r="R76" s="55">
        <f t="shared" si="6"/>
        <v>5</v>
      </c>
      <c r="S76" s="55">
        <f>R76/7*100</f>
        <v>71.428571428571431</v>
      </c>
      <c r="T76" s="73"/>
    </row>
    <row r="77" spans="1:20" x14ac:dyDescent="0.25">
      <c r="A77" s="55" t="str">
        <f>'Initial Search'!D204</f>
        <v>Detecting structural refactoring conflicts using critical pair analysis</v>
      </c>
      <c r="B77" s="22">
        <f>ROW('Initial Search'!204:204)</f>
        <v>204</v>
      </c>
      <c r="C77" s="22">
        <f>ROW('Feature Study'!74:74)</f>
        <v>74</v>
      </c>
      <c r="D77" s="23" t="str">
        <f>'Initial Search'!M204</f>
        <v>Accepted</v>
      </c>
      <c r="E77" s="23" t="str">
        <f>'Initial Search'!N204</f>
        <v>Approved</v>
      </c>
      <c r="F77" s="23" t="s">
        <v>2499</v>
      </c>
      <c r="G77" s="23" t="str">
        <f>'Initial Search'!O204</f>
        <v>Mens et al. (AGG)</v>
      </c>
      <c r="H77" s="55" t="s">
        <v>1623</v>
      </c>
      <c r="I77" s="55" t="s">
        <v>1623</v>
      </c>
      <c r="J77" s="55" t="s">
        <v>1623</v>
      </c>
      <c r="K77" s="55" t="s">
        <v>1621</v>
      </c>
      <c r="L77" s="55" t="s">
        <v>1624</v>
      </c>
      <c r="M77" s="55" t="s">
        <v>1624</v>
      </c>
      <c r="N77" s="55" t="s">
        <v>1624</v>
      </c>
      <c r="O77" s="55" t="s">
        <v>1621</v>
      </c>
      <c r="P77" s="55" t="s">
        <v>1623</v>
      </c>
      <c r="Q77" s="55" t="s">
        <v>1623</v>
      </c>
      <c r="R77" s="55">
        <f t="shared" si="6"/>
        <v>4.5</v>
      </c>
      <c r="S77" s="55">
        <f>R77/7*100</f>
        <v>64.285714285714292</v>
      </c>
      <c r="T77" s="73"/>
    </row>
    <row r="78" spans="1:20" x14ac:dyDescent="0.25">
      <c r="A78" s="55" t="str">
        <f>'Initial Search'!D291</f>
        <v>Composite-level conflict detection in uml model versioning</v>
      </c>
      <c r="B78" s="22">
        <f>ROW('Initial Search'!291:291)</f>
        <v>291</v>
      </c>
      <c r="C78" s="22">
        <f>ROW('Feature Study'!143:143)</f>
        <v>143</v>
      </c>
      <c r="D78" s="23" t="str">
        <f>'Initial Search'!M291</f>
        <v>Accepted</v>
      </c>
      <c r="E78" s="23" t="str">
        <f>'Initial Search'!N291</f>
        <v>Approved</v>
      </c>
      <c r="F78" s="23" t="s">
        <v>2500</v>
      </c>
      <c r="G78" s="287" t="str">
        <f>'Initial Search'!O291</f>
        <v>Zhang et al.</v>
      </c>
      <c r="H78" s="55" t="s">
        <v>1623</v>
      </c>
      <c r="I78" s="55" t="s">
        <v>1623</v>
      </c>
      <c r="J78" s="55" t="s">
        <v>1623</v>
      </c>
      <c r="K78" s="55" t="s">
        <v>1624</v>
      </c>
      <c r="L78" s="55" t="s">
        <v>1624</v>
      </c>
      <c r="M78" s="55" t="s">
        <v>1624</v>
      </c>
      <c r="N78" s="55" t="s">
        <v>1624</v>
      </c>
      <c r="O78" s="55" t="s">
        <v>1621</v>
      </c>
      <c r="P78" s="55" t="s">
        <v>1623</v>
      </c>
      <c r="Q78" s="55" t="s">
        <v>1621</v>
      </c>
      <c r="R78" s="55">
        <f t="shared" si="6"/>
        <v>5</v>
      </c>
      <c r="S78" s="55">
        <f t="shared" si="1"/>
        <v>71.428571428571431</v>
      </c>
    </row>
    <row r="79" spans="1:20" x14ac:dyDescent="0.25">
      <c r="A79" s="55" t="str">
        <f>'Initial Search'!D299</f>
        <v>Semantic Conflicts Detection in Model-driven Engineering</v>
      </c>
      <c r="B79" s="22">
        <f>ROW('Initial Search'!299:299)</f>
        <v>299</v>
      </c>
      <c r="C79" s="22">
        <f>ROW('Feature Study'!149:149)</f>
        <v>149</v>
      </c>
      <c r="D79" s="23" t="str">
        <f>'Initial Search'!M299</f>
        <v>Accepted</v>
      </c>
      <c r="E79" s="23" t="str">
        <f>'Initial Search'!N299</f>
        <v>Approved</v>
      </c>
      <c r="F79" s="23" t="s">
        <v>2521</v>
      </c>
      <c r="G79" s="287" t="str">
        <f>'Initial Search'!O299</f>
        <v>Costa et al.</v>
      </c>
      <c r="H79" s="55" t="s">
        <v>1623</v>
      </c>
      <c r="I79" s="55" t="s">
        <v>1623</v>
      </c>
      <c r="J79" s="55" t="s">
        <v>1624</v>
      </c>
      <c r="K79" s="55" t="s">
        <v>1621</v>
      </c>
      <c r="L79" s="55" t="s">
        <v>1624</v>
      </c>
      <c r="M79" s="55" t="s">
        <v>1623</v>
      </c>
      <c r="N79" s="55" t="s">
        <v>1623</v>
      </c>
      <c r="O79" s="55" t="s">
        <v>1621</v>
      </c>
      <c r="P79" s="55" t="s">
        <v>1623</v>
      </c>
      <c r="Q79" s="55" t="s">
        <v>1621</v>
      </c>
      <c r="R79" s="55">
        <f t="shared" si="6"/>
        <v>5</v>
      </c>
      <c r="S79" s="55">
        <f t="shared" si="1"/>
        <v>71.428571428571431</v>
      </c>
    </row>
    <row r="80" spans="1:20" x14ac:dyDescent="0.25">
      <c r="A80" s="55" t="str">
        <f>'Initial Search'!D300</f>
        <v>Merging software architectures with conflicts detections</v>
      </c>
      <c r="B80" s="22">
        <f>ROW('Initial Search'!300:300)</f>
        <v>300</v>
      </c>
      <c r="C80" s="22">
        <f>ROW('Feature Study'!150:150)</f>
        <v>150</v>
      </c>
      <c r="D80" s="23" t="str">
        <f>'Initial Search'!M300</f>
        <v>Accepted</v>
      </c>
      <c r="E80" s="23" t="str">
        <f>'Initial Search'!N300</f>
        <v>Disapproved</v>
      </c>
      <c r="F80" s="23"/>
      <c r="G80" s="287" t="str">
        <f>'Initial Search'!O300</f>
        <v>SAD</v>
      </c>
      <c r="H80" s="55" t="s">
        <v>1624</v>
      </c>
      <c r="I80" s="55" t="s">
        <v>1623</v>
      </c>
      <c r="J80" s="55" t="s">
        <v>1624</v>
      </c>
      <c r="K80" s="55" t="s">
        <v>1621</v>
      </c>
      <c r="L80" s="55" t="s">
        <v>1621</v>
      </c>
      <c r="M80" s="55" t="s">
        <v>1624</v>
      </c>
      <c r="N80" s="55" t="s">
        <v>1621</v>
      </c>
      <c r="O80" s="55" t="s">
        <v>1621</v>
      </c>
      <c r="P80" s="55" t="s">
        <v>1621</v>
      </c>
      <c r="Q80" s="55" t="s">
        <v>1621</v>
      </c>
      <c r="R80" s="55">
        <f t="shared" si="6"/>
        <v>2.5</v>
      </c>
      <c r="S80" s="81">
        <f t="shared" si="1"/>
        <v>35.714285714285715</v>
      </c>
    </row>
    <row r="81" spans="1:20" x14ac:dyDescent="0.25">
      <c r="A81" s="55" t="str">
        <f>'Initial Search'!D301</f>
        <v>Model-Driven Software Engineering in the Resource Description Framework: a way to version control</v>
      </c>
      <c r="B81" s="22">
        <f>ROW('Initial Search'!301:301)</f>
        <v>301</v>
      </c>
      <c r="C81" s="22">
        <f>ROW('Feature Study'!151:151)</f>
        <v>151</v>
      </c>
      <c r="D81" s="23" t="str">
        <f>'Initial Search'!M301</f>
        <v>Accepted</v>
      </c>
      <c r="E81" s="23" t="str">
        <f>'Initial Search'!N301</f>
        <v>Approved</v>
      </c>
      <c r="F81" s="23" t="s">
        <v>2740</v>
      </c>
      <c r="G81" s="287" t="str">
        <f>'Initial Search'!O301</f>
        <v>DPF as RDF</v>
      </c>
      <c r="H81" s="55" t="s">
        <v>1623</v>
      </c>
      <c r="I81" s="55" t="s">
        <v>1624</v>
      </c>
      <c r="J81" s="55" t="s">
        <v>1623</v>
      </c>
      <c r="K81" s="55" t="s">
        <v>1621</v>
      </c>
      <c r="L81" s="55" t="s">
        <v>1621</v>
      </c>
      <c r="M81" s="55" t="s">
        <v>1623</v>
      </c>
      <c r="N81" s="55" t="s">
        <v>1623</v>
      </c>
      <c r="O81" s="55" t="s">
        <v>1621</v>
      </c>
      <c r="P81" s="55" t="s">
        <v>1623</v>
      </c>
      <c r="Q81" s="55" t="s">
        <v>1624</v>
      </c>
      <c r="R81" s="55">
        <f t="shared" si="6"/>
        <v>4.5</v>
      </c>
      <c r="S81" s="55">
        <f t="shared" si="1"/>
        <v>64.285714285714292</v>
      </c>
    </row>
    <row r="82" spans="1:20" x14ac:dyDescent="0.25">
      <c r="A82" s="55" t="str">
        <f>'Initial Search'!D302</f>
        <v>Improvement of Adaptable Model Versioning (AMOR) framework for software model versioning using critical pair analysis</v>
      </c>
      <c r="B82" s="22">
        <f>ROW('Initial Search'!302:302)</f>
        <v>302</v>
      </c>
      <c r="C82" s="22">
        <f>ROW('Feature Study'!152:152)</f>
        <v>152</v>
      </c>
      <c r="D82" s="23" t="str">
        <f>'Initial Search'!M302</f>
        <v>Accepted</v>
      </c>
      <c r="E82" s="23" t="str">
        <f>'Initial Search'!N302</f>
        <v>Approved</v>
      </c>
      <c r="F82" s="23" t="s">
        <v>2800</v>
      </c>
      <c r="G82" s="287" t="str">
        <f>'Initial Search'!O302</f>
        <v>AMOR+</v>
      </c>
      <c r="H82" s="55" t="s">
        <v>1623</v>
      </c>
      <c r="I82" s="55" t="s">
        <v>1621</v>
      </c>
      <c r="J82" s="55" t="s">
        <v>1624</v>
      </c>
      <c r="K82" s="55" t="s">
        <v>1624</v>
      </c>
      <c r="L82" s="55" t="s">
        <v>1624</v>
      </c>
      <c r="M82" s="55" t="s">
        <v>1624</v>
      </c>
      <c r="N82" s="55" t="s">
        <v>1623</v>
      </c>
      <c r="O82" s="55" t="s">
        <v>1624</v>
      </c>
      <c r="P82" s="55" t="s">
        <v>1624</v>
      </c>
      <c r="Q82" s="55" t="s">
        <v>1621</v>
      </c>
      <c r="R82" s="55">
        <f t="shared" si="6"/>
        <v>4</v>
      </c>
      <c r="S82" s="55">
        <f t="shared" si="1"/>
        <v>57.142857142857139</v>
      </c>
    </row>
    <row r="83" spans="1:20" x14ac:dyDescent="0.25">
      <c r="A83" s="55" t="str">
        <f>'Initial Search'!D271</f>
        <v>On the benefits of file-level modularity for EMF models</v>
      </c>
      <c r="B83" s="22">
        <f>ROW('Initial Search'!271:271)</f>
        <v>271</v>
      </c>
      <c r="C83" s="22">
        <f>ROW('Feature Study'!154:154)</f>
        <v>154</v>
      </c>
      <c r="D83" s="23" t="str">
        <f>'Initial Search'!M271</f>
        <v>Accepted</v>
      </c>
      <c r="E83" s="23" t="str">
        <f>'Initial Search'!N271</f>
        <v>Approved</v>
      </c>
      <c r="F83" s="23" t="s">
        <v>2801</v>
      </c>
      <c r="G83" s="247" t="str">
        <f>'Initial Search'!O271</f>
        <v>Jahed et al.</v>
      </c>
      <c r="H83" s="55" t="s">
        <v>1623</v>
      </c>
      <c r="I83" s="55" t="s">
        <v>1623</v>
      </c>
      <c r="J83" s="55" t="s">
        <v>1623</v>
      </c>
      <c r="K83" s="55" t="s">
        <v>1623</v>
      </c>
      <c r="L83" s="55" t="s">
        <v>1624</v>
      </c>
      <c r="M83" s="55" t="s">
        <v>1623</v>
      </c>
      <c r="N83" s="55" t="s">
        <v>1621</v>
      </c>
      <c r="O83" s="55" t="s">
        <v>1621</v>
      </c>
      <c r="P83" s="55" t="s">
        <v>1623</v>
      </c>
      <c r="Q83" s="55" t="s">
        <v>1621</v>
      </c>
      <c r="R83" s="55">
        <f t="shared" si="6"/>
        <v>5.5</v>
      </c>
      <c r="S83" s="55">
        <f t="shared" ref="S83:S114" si="7">R83/7*100</f>
        <v>78.571428571428569</v>
      </c>
      <c r="T83" s="73"/>
    </row>
    <row r="84" spans="1:20" x14ac:dyDescent="0.25">
      <c r="A84" s="55" t="str">
        <f>'Initial Search'!D312</f>
        <v>Conflict Resolution in Process Models Merging</v>
      </c>
      <c r="B84" s="22">
        <f>ROW('Initial Search'!312:312)</f>
        <v>312</v>
      </c>
      <c r="C84" s="22">
        <f>ROW('Feature Study'!155:155)</f>
        <v>155</v>
      </c>
      <c r="D84" s="23" t="str">
        <f>'Initial Search'!M312</f>
        <v>Accepted</v>
      </c>
      <c r="E84" s="23" t="str">
        <f>'Initial Search'!N312</f>
        <v>Approved</v>
      </c>
      <c r="F84" s="23" t="s">
        <v>2802</v>
      </c>
      <c r="G84" s="247" t="str">
        <f>'Initial Search'!O312</f>
        <v>Hachemi &amp; Nacer</v>
      </c>
      <c r="H84" s="55" t="s">
        <v>1623</v>
      </c>
      <c r="I84" s="55" t="s">
        <v>1623</v>
      </c>
      <c r="J84" s="55" t="s">
        <v>1623</v>
      </c>
      <c r="K84" s="55" t="s">
        <v>1624</v>
      </c>
      <c r="L84" s="55" t="s">
        <v>1621</v>
      </c>
      <c r="M84" s="55" t="s">
        <v>1623</v>
      </c>
      <c r="N84" s="55" t="s">
        <v>1624</v>
      </c>
      <c r="O84" s="55" t="s">
        <v>1621</v>
      </c>
      <c r="P84" s="55" t="s">
        <v>1624</v>
      </c>
      <c r="Q84" s="55" t="s">
        <v>1621</v>
      </c>
      <c r="R84" s="55">
        <f t="shared" si="6"/>
        <v>5</v>
      </c>
      <c r="S84" s="55">
        <f t="shared" si="7"/>
        <v>71.428571428571431</v>
      </c>
      <c r="T84" s="73"/>
    </row>
    <row r="85" spans="1:20" x14ac:dyDescent="0.25">
      <c r="A85" s="55" t="str">
        <f>'Initial Search'!D313</f>
        <v>Preference-based Conflict Resolution for Collaborative Configuration of Product Lines</v>
      </c>
      <c r="B85" s="22">
        <f>ROW('Initial Search'!313:313)</f>
        <v>313</v>
      </c>
      <c r="C85" s="22">
        <f>ROW('Feature Study'!156:156)</f>
        <v>156</v>
      </c>
      <c r="D85" s="23" t="str">
        <f>'Initial Search'!M313</f>
        <v>Accepted</v>
      </c>
      <c r="E85" s="23" t="str">
        <f>'Initial Search'!N313</f>
        <v>Approved</v>
      </c>
      <c r="F85" s="318" t="s">
        <v>3237</v>
      </c>
      <c r="G85" s="287" t="str">
        <f>'Initial Search'!O313</f>
        <v>Colla-Config</v>
      </c>
      <c r="H85" s="55" t="s">
        <v>1623</v>
      </c>
      <c r="I85" s="55" t="s">
        <v>1623</v>
      </c>
      <c r="J85" s="55" t="s">
        <v>1623</v>
      </c>
      <c r="K85" s="55" t="s">
        <v>1621</v>
      </c>
      <c r="L85" s="55" t="s">
        <v>1624</v>
      </c>
      <c r="M85" s="55" t="s">
        <v>1623</v>
      </c>
      <c r="N85" s="55" t="s">
        <v>1624</v>
      </c>
      <c r="O85" s="55" t="s">
        <v>1621</v>
      </c>
      <c r="P85" s="55" t="s">
        <v>1624</v>
      </c>
      <c r="Q85" s="55" t="s">
        <v>1621</v>
      </c>
      <c r="R85" s="55">
        <f t="shared" si="6"/>
        <v>5</v>
      </c>
      <c r="S85" s="55">
        <f t="shared" si="7"/>
        <v>71.428571428571431</v>
      </c>
      <c r="T85" s="73"/>
    </row>
    <row r="86" spans="1:20" x14ac:dyDescent="0.25">
      <c r="A86" s="55" t="str">
        <f>'Initial Search'!D83</f>
        <v>UML2Merge: a UML extension for model merging</v>
      </c>
      <c r="B86" s="22">
        <f>ROW('Initial Search'!83:83)</f>
        <v>83</v>
      </c>
      <c r="C86" s="22">
        <f>ROW('Feature Study'!77:77)</f>
        <v>77</v>
      </c>
      <c r="D86" s="23" t="str">
        <f>'Initial Search'!M83</f>
        <v>Accepted</v>
      </c>
      <c r="E86" s="23" t="str">
        <f>'Initial Search'!N83</f>
        <v>Approved</v>
      </c>
      <c r="F86" s="318" t="s">
        <v>3239</v>
      </c>
      <c r="G86" s="23" t="str">
        <f>'Initial Search'!O83</f>
        <v>UML2Merge</v>
      </c>
      <c r="H86" s="55" t="s">
        <v>1623</v>
      </c>
      <c r="I86" s="55" t="s">
        <v>1624</v>
      </c>
      <c r="J86" s="55" t="s">
        <v>1623</v>
      </c>
      <c r="K86" s="55" t="s">
        <v>1624</v>
      </c>
      <c r="L86" s="55" t="s">
        <v>1623</v>
      </c>
      <c r="M86" s="55" t="s">
        <v>1623</v>
      </c>
      <c r="N86" s="55" t="s">
        <v>1623</v>
      </c>
      <c r="O86" s="55" t="s">
        <v>1621</v>
      </c>
      <c r="P86" s="55" t="s">
        <v>1624</v>
      </c>
      <c r="Q86" s="55" t="s">
        <v>1624</v>
      </c>
      <c r="R86" s="55">
        <f t="shared" si="6"/>
        <v>6</v>
      </c>
      <c r="S86" s="55">
        <f t="shared" si="7"/>
        <v>85.714285714285708</v>
      </c>
      <c r="T86" s="73"/>
    </row>
    <row r="87" spans="1:20" x14ac:dyDescent="0.25">
      <c r="A87" s="55" t="str">
        <f>'Initial Search'!D260</f>
        <v>Towards Online Collaborative Multi-view Modelling</v>
      </c>
      <c r="B87" s="22">
        <f>ROW('Initial Search'!260:260)</f>
        <v>260</v>
      </c>
      <c r="C87" s="22">
        <f>ROW('Feature Study'!133:133)</f>
        <v>133</v>
      </c>
      <c r="D87" s="23" t="str">
        <f>'Initial Search'!M260</f>
        <v>Accepted</v>
      </c>
      <c r="E87" s="23" t="str">
        <f>'Initial Search'!N260</f>
        <v>Approved</v>
      </c>
      <c r="F87" s="318" t="s">
        <v>3256</v>
      </c>
      <c r="G87" s="23" t="str">
        <f>'Initial Search'!O260</f>
        <v>TouchCORE</v>
      </c>
      <c r="H87" s="55" t="s">
        <v>1623</v>
      </c>
      <c r="I87" s="55" t="s">
        <v>1624</v>
      </c>
      <c r="J87" s="55" t="s">
        <v>1623</v>
      </c>
      <c r="K87" s="55" t="s">
        <v>1624</v>
      </c>
      <c r="L87" s="55" t="s">
        <v>1623</v>
      </c>
      <c r="M87" s="55" t="s">
        <v>1623</v>
      </c>
      <c r="N87" s="55" t="s">
        <v>1624</v>
      </c>
      <c r="O87" s="55" t="s">
        <v>1621</v>
      </c>
      <c r="P87" s="55" t="s">
        <v>1624</v>
      </c>
      <c r="Q87" s="55" t="s">
        <v>1621</v>
      </c>
      <c r="R87" s="55">
        <f t="shared" si="6"/>
        <v>5.5</v>
      </c>
      <c r="S87" s="55">
        <f t="shared" si="7"/>
        <v>78.571428571428569</v>
      </c>
      <c r="T87" s="73"/>
    </row>
    <row r="88" spans="1:20" x14ac:dyDescent="0.25">
      <c r="A88" s="55" t="str">
        <f>'Initial Search'!D126</f>
        <v>Detection of conflicts and inconsistencies between architecture solutions</v>
      </c>
      <c r="B88" s="22">
        <f>ROW('Initial Search'!126:126)</f>
        <v>126</v>
      </c>
      <c r="C88" s="22">
        <f>ROW('Feature Study'!159:159)</f>
        <v>159</v>
      </c>
      <c r="D88" s="23" t="str">
        <f>'Initial Search'!M126</f>
        <v>Accepted</v>
      </c>
      <c r="E88" s="23" t="str">
        <f>'Initial Search'!N126</f>
        <v>Approved</v>
      </c>
      <c r="F88" s="318" t="s">
        <v>3265</v>
      </c>
      <c r="G88" s="23" t="str">
        <f>'Initial Search'!O126</f>
        <v>Kallweit et al.</v>
      </c>
      <c r="H88" s="55" t="s">
        <v>1623</v>
      </c>
      <c r="I88" s="55" t="s">
        <v>1623</v>
      </c>
      <c r="J88" s="55" t="s">
        <v>1623</v>
      </c>
      <c r="K88" s="55" t="s">
        <v>1621</v>
      </c>
      <c r="L88" s="55" t="s">
        <v>1623</v>
      </c>
      <c r="M88" s="55" t="s">
        <v>1621</v>
      </c>
      <c r="N88" s="55" t="s">
        <v>1624</v>
      </c>
      <c r="O88" s="55" t="s">
        <v>1621</v>
      </c>
      <c r="P88" s="55" t="s">
        <v>1624</v>
      </c>
      <c r="Q88" s="55" t="s">
        <v>1621</v>
      </c>
      <c r="R88" s="55">
        <f t="shared" si="6"/>
        <v>4.5</v>
      </c>
      <c r="S88" s="55">
        <f t="shared" si="7"/>
        <v>64.285714285714292</v>
      </c>
      <c r="T88" s="73"/>
    </row>
    <row r="89" spans="1:20" x14ac:dyDescent="0.25">
      <c r="A89" s="55" t="str">
        <f>'Initial Search'!D134</f>
        <v>Enhancing version control with domain-specific semantics</v>
      </c>
      <c r="B89" s="22">
        <f>ROW('Initial Search'!134:134)</f>
        <v>134</v>
      </c>
      <c r="C89" s="22">
        <f>ROW('Feature Study'!102:102)</f>
        <v>102</v>
      </c>
      <c r="D89" s="23" t="str">
        <f>'Initial Search'!M134</f>
        <v>Accepted</v>
      </c>
      <c r="E89" s="23" t="str">
        <f>'Initial Search'!N134</f>
        <v>Approved</v>
      </c>
      <c r="F89" s="318" t="s">
        <v>3271</v>
      </c>
      <c r="G89" s="23" t="str">
        <f>'Initial Search'!O134</f>
        <v>Foucault et al.</v>
      </c>
      <c r="H89" s="55" t="s">
        <v>1623</v>
      </c>
      <c r="I89" s="55" t="s">
        <v>1624</v>
      </c>
      <c r="J89" s="55" t="s">
        <v>1623</v>
      </c>
      <c r="K89" s="55" t="s">
        <v>1621</v>
      </c>
      <c r="L89" s="55" t="s">
        <v>1623</v>
      </c>
      <c r="M89" s="55" t="s">
        <v>1624</v>
      </c>
      <c r="N89" s="55" t="s">
        <v>1624</v>
      </c>
      <c r="O89" s="55" t="s">
        <v>1621</v>
      </c>
      <c r="P89" s="55" t="s">
        <v>1623</v>
      </c>
      <c r="Q89" s="55" t="s">
        <v>1621</v>
      </c>
      <c r="R89" s="55">
        <f t="shared" si="6"/>
        <v>4.5</v>
      </c>
      <c r="S89" s="55">
        <f t="shared" si="7"/>
        <v>64.285714285714292</v>
      </c>
      <c r="T89" s="73"/>
    </row>
    <row r="90" spans="1:20" x14ac:dyDescent="0.25">
      <c r="A90" s="55" t="str">
        <f>'Initial Search'!D87</f>
        <v>Multifaceted Consistency Checking of Collaborative Engineering Artifacts</v>
      </c>
      <c r="B90" s="22">
        <f>ROW('Initial Search'!87:87)</f>
        <v>87</v>
      </c>
      <c r="C90" s="22">
        <f>ROW('Feature Study'!83:83)</f>
        <v>83</v>
      </c>
      <c r="D90" s="23" t="str">
        <f>'Initial Search'!M87</f>
        <v>Accepted</v>
      </c>
      <c r="E90" s="23" t="str">
        <f>'Initial Search'!N87</f>
        <v>Approved</v>
      </c>
      <c r="F90" s="385" t="s">
        <v>3282</v>
      </c>
      <c r="G90" s="23" t="str">
        <f>'Initial Search'!O87</f>
        <v>Tröls et al.</v>
      </c>
      <c r="H90" s="55" t="s">
        <v>1623</v>
      </c>
      <c r="I90" s="55" t="s">
        <v>1621</v>
      </c>
      <c r="J90" s="55" t="s">
        <v>1623</v>
      </c>
      <c r="K90" s="55" t="s">
        <v>1623</v>
      </c>
      <c r="L90" s="55" t="s">
        <v>1624</v>
      </c>
      <c r="M90" s="55" t="s">
        <v>1623</v>
      </c>
      <c r="N90" s="55" t="s">
        <v>1624</v>
      </c>
      <c r="O90" s="55" t="s">
        <v>1621</v>
      </c>
      <c r="P90" s="55" t="s">
        <v>1621</v>
      </c>
      <c r="Q90" s="55" t="s">
        <v>1621</v>
      </c>
      <c r="R90" s="55">
        <f t="shared" si="6"/>
        <v>5</v>
      </c>
      <c r="S90" s="55">
        <f t="shared" si="7"/>
        <v>71.428571428571431</v>
      </c>
      <c r="T90" s="73"/>
    </row>
    <row r="91" spans="1:20" x14ac:dyDescent="0.25">
      <c r="A91" s="55" t="str">
        <f>'Initial Search'!D135</f>
        <v>Live and global consistency checking in a collaborative engineering environment</v>
      </c>
      <c r="B91" s="22">
        <f>ROW('Initial Search'!135:135)</f>
        <v>135</v>
      </c>
      <c r="C91" s="22">
        <f>ROW('Feature Study'!160:160)</f>
        <v>160</v>
      </c>
      <c r="D91" s="23" t="str">
        <f>'Initial Search'!M135</f>
        <v>Accepted</v>
      </c>
      <c r="E91" s="23" t="str">
        <f>'Initial Search'!N135</f>
        <v>Approved</v>
      </c>
      <c r="F91" s="392"/>
      <c r="G91" s="23" t="str">
        <f>'Initial Search'!O135</f>
        <v>Tröls et al.</v>
      </c>
      <c r="H91" s="55" t="s">
        <v>1623</v>
      </c>
      <c r="I91" s="55" t="s">
        <v>1623</v>
      </c>
      <c r="J91" s="55" t="s">
        <v>1623</v>
      </c>
      <c r="K91" s="55" t="s">
        <v>1623</v>
      </c>
      <c r="L91" s="55" t="s">
        <v>1623</v>
      </c>
      <c r="M91" s="55" t="s">
        <v>1623</v>
      </c>
      <c r="N91" s="55" t="s">
        <v>1624</v>
      </c>
      <c r="O91" s="55" t="s">
        <v>1621</v>
      </c>
      <c r="P91" s="55" t="s">
        <v>1624</v>
      </c>
      <c r="Q91" s="55" t="s">
        <v>1621</v>
      </c>
      <c r="R91" s="55">
        <f t="shared" si="6"/>
        <v>6.5</v>
      </c>
      <c r="S91" s="55">
        <f t="shared" si="7"/>
        <v>92.857142857142861</v>
      </c>
      <c r="T91" s="73"/>
    </row>
    <row r="92" spans="1:20" x14ac:dyDescent="0.25">
      <c r="A92" s="55" t="str">
        <f>'Initial Search'!D338</f>
        <v>Collaboratively enhanced consistency checking in a cloud-based engineering environment</v>
      </c>
      <c r="B92" s="22">
        <f>ROW('Initial Search'!338:338)</f>
        <v>338</v>
      </c>
      <c r="C92" s="22">
        <f>ROW('Feature Study'!173:173)</f>
        <v>173</v>
      </c>
      <c r="D92" s="23" t="str">
        <f>'Initial Search'!M338</f>
        <v>Accepted</v>
      </c>
      <c r="E92" s="23" t="str">
        <f>'Initial Search'!N338</f>
        <v>Approved</v>
      </c>
      <c r="F92" s="392"/>
      <c r="G92" s="287" t="str">
        <f>'Initial Search'!O338</f>
        <v>Tröls et al.</v>
      </c>
      <c r="H92" s="55" t="s">
        <v>1623</v>
      </c>
      <c r="I92" s="55" t="s">
        <v>1621</v>
      </c>
      <c r="J92" s="55" t="s">
        <v>1623</v>
      </c>
      <c r="K92" s="55" t="s">
        <v>1624</v>
      </c>
      <c r="L92" s="55" t="s">
        <v>1623</v>
      </c>
      <c r="M92" s="55" t="s">
        <v>1621</v>
      </c>
      <c r="N92" s="55" t="s">
        <v>1623</v>
      </c>
      <c r="O92" s="55" t="s">
        <v>1621</v>
      </c>
      <c r="P92" s="55" t="s">
        <v>1624</v>
      </c>
      <c r="Q92" s="55" t="s">
        <v>1621</v>
      </c>
      <c r="R92" s="55">
        <f t="shared" si="6"/>
        <v>4.5</v>
      </c>
      <c r="S92" s="55">
        <f t="shared" si="7"/>
        <v>64.285714285714292</v>
      </c>
      <c r="T92" s="73"/>
    </row>
    <row r="93" spans="1:20" x14ac:dyDescent="0.25">
      <c r="A93" s="55" t="str">
        <f>'Initial Search'!D353</f>
        <v>Timestamp-based Consistency Checking of Collaboratively Developed Engineering Artifacts</v>
      </c>
      <c r="B93" s="22">
        <f>ROW('Initial Search'!353:353)</f>
        <v>353</v>
      </c>
      <c r="C93" s="22">
        <f>ROW('Feature Study'!174:174)</f>
        <v>174</v>
      </c>
      <c r="D93" s="23" t="str">
        <f>'Initial Search'!M353</f>
        <v>Accepted</v>
      </c>
      <c r="E93" s="23" t="str">
        <f>'Initial Search'!N353</f>
        <v>Approved</v>
      </c>
      <c r="F93" s="392"/>
      <c r="G93" s="23" t="str">
        <f>'Initial Search'!O353</f>
        <v>Tröls et al.</v>
      </c>
      <c r="H93" s="55" t="s">
        <v>1623</v>
      </c>
      <c r="I93" s="55" t="s">
        <v>1623</v>
      </c>
      <c r="J93" s="55" t="s">
        <v>1623</v>
      </c>
      <c r="K93" s="55" t="s">
        <v>1623</v>
      </c>
      <c r="L93" s="55" t="s">
        <v>1623</v>
      </c>
      <c r="M93" s="55" t="s">
        <v>1623</v>
      </c>
      <c r="N93" s="55" t="s">
        <v>1621</v>
      </c>
      <c r="O93" s="55" t="s">
        <v>1621</v>
      </c>
      <c r="P93" s="55" t="s">
        <v>1623</v>
      </c>
      <c r="Q93" s="55" t="s">
        <v>1621</v>
      </c>
      <c r="R93" s="55">
        <f t="shared" si="6"/>
        <v>6</v>
      </c>
      <c r="S93" s="55">
        <f t="shared" si="7"/>
        <v>85.714285714285708</v>
      </c>
      <c r="T93" s="73"/>
    </row>
    <row r="94" spans="1:20" x14ac:dyDescent="0.25">
      <c r="A94" s="55" t="str">
        <f>'Initial Search'!D355</f>
        <v>Hierarchical Distribution of Consistency-relevant Changes in a Collaborative Engineering Environment</v>
      </c>
      <c r="B94" s="22">
        <f>ROW('Initial Search'!355:355)</f>
        <v>355</v>
      </c>
      <c r="C94" s="22">
        <f>ROW('Feature Study'!175:175)</f>
        <v>175</v>
      </c>
      <c r="D94" s="23" t="str">
        <f>'Initial Search'!M355</f>
        <v>Accepted</v>
      </c>
      <c r="E94" s="23" t="str">
        <f>'Initial Search'!N355</f>
        <v>Approved</v>
      </c>
      <c r="F94" s="392"/>
      <c r="G94" s="23" t="str">
        <f>'Initial Search'!O355</f>
        <v>Tröls et al.</v>
      </c>
      <c r="H94" s="55" t="s">
        <v>1623</v>
      </c>
      <c r="I94" s="55" t="s">
        <v>1623</v>
      </c>
      <c r="J94" s="55" t="s">
        <v>1623</v>
      </c>
      <c r="K94" s="55" t="s">
        <v>1623</v>
      </c>
      <c r="L94" s="55" t="s">
        <v>1623</v>
      </c>
      <c r="M94" s="55" t="s">
        <v>1623</v>
      </c>
      <c r="N94" s="55" t="s">
        <v>1624</v>
      </c>
      <c r="O94" s="55" t="s">
        <v>1621</v>
      </c>
      <c r="P94" s="55" t="s">
        <v>1623</v>
      </c>
      <c r="Q94" s="55" t="s">
        <v>1621</v>
      </c>
      <c r="R94" s="55">
        <f t="shared" si="6"/>
        <v>6.5</v>
      </c>
      <c r="S94" s="55">
        <f t="shared" si="7"/>
        <v>92.857142857142861</v>
      </c>
      <c r="T94" s="73"/>
    </row>
    <row r="95" spans="1:20" x14ac:dyDescent="0.25">
      <c r="A95" s="55" t="str">
        <f>'Initial Search'!D370</f>
        <v>Instant distribution of consistency-relevant change information in a hierarchical multi-developer engineering environment</v>
      </c>
      <c r="B95" s="22">
        <f>ROW('Initial Search'!370:370)</f>
        <v>370</v>
      </c>
      <c r="C95" s="22">
        <f>ROW('Feature Study'!183:183)</f>
        <v>183</v>
      </c>
      <c r="D95" s="23" t="str">
        <f>'Initial Search'!M370</f>
        <v>Accepted</v>
      </c>
      <c r="E95" s="23" t="str">
        <f>'Initial Search'!N370</f>
        <v>Approved</v>
      </c>
      <c r="F95" s="386"/>
      <c r="G95" s="287" t="str">
        <f>'Initial Search'!O370</f>
        <v>Tröls et al.</v>
      </c>
      <c r="H95" s="55" t="s">
        <v>1623</v>
      </c>
      <c r="I95" s="55" t="s">
        <v>1623</v>
      </c>
      <c r="J95" s="55" t="s">
        <v>1623</v>
      </c>
      <c r="K95" s="55" t="s">
        <v>1621</v>
      </c>
      <c r="L95" s="55" t="s">
        <v>1624</v>
      </c>
      <c r="M95" s="55" t="s">
        <v>1623</v>
      </c>
      <c r="N95" s="55" t="s">
        <v>1624</v>
      </c>
      <c r="O95" s="55" t="s">
        <v>1621</v>
      </c>
      <c r="P95" s="55" t="s">
        <v>1624</v>
      </c>
      <c r="Q95" s="55" t="s">
        <v>1621</v>
      </c>
      <c r="R95" s="55">
        <f t="shared" si="6"/>
        <v>5</v>
      </c>
      <c r="S95" s="55">
        <f t="shared" si="7"/>
        <v>71.428571428571431</v>
      </c>
      <c r="T95" s="73"/>
    </row>
    <row r="96" spans="1:20" x14ac:dyDescent="0.25">
      <c r="A96" s="55" t="str">
        <f>'Initial Search'!D151</f>
        <v>Merging models based on given correspondences</v>
      </c>
      <c r="B96" s="22">
        <f>ROW('Initial Search'!151:151)</f>
        <v>151</v>
      </c>
      <c r="C96" s="22">
        <f>ROW('Feature Study'!105:105)</f>
        <v>105</v>
      </c>
      <c r="D96" s="23" t="str">
        <f>'Initial Search'!M151</f>
        <v>Accepted</v>
      </c>
      <c r="E96" s="23" t="str">
        <f>'Initial Search'!N151</f>
        <v>Approved</v>
      </c>
      <c r="F96" s="347" t="s">
        <v>3283</v>
      </c>
      <c r="G96" s="23" t="str">
        <f>'Initial Search'!O151</f>
        <v>Vanilla</v>
      </c>
      <c r="H96" s="55" t="s">
        <v>1623</v>
      </c>
      <c r="I96" s="55" t="s">
        <v>1624</v>
      </c>
      <c r="J96" s="55" t="s">
        <v>1623</v>
      </c>
      <c r="K96" s="55" t="s">
        <v>1621</v>
      </c>
      <c r="L96" s="55" t="s">
        <v>1624</v>
      </c>
      <c r="M96" s="55" t="s">
        <v>1623</v>
      </c>
      <c r="N96" s="55" t="s">
        <v>1624</v>
      </c>
      <c r="O96" s="55" t="s">
        <v>1621</v>
      </c>
      <c r="P96" s="55" t="s">
        <v>1621</v>
      </c>
      <c r="Q96" s="55" t="s">
        <v>1621</v>
      </c>
      <c r="R96" s="55">
        <f t="shared" si="6"/>
        <v>4.5</v>
      </c>
      <c r="S96" s="55">
        <f t="shared" si="7"/>
        <v>64.285714285714292</v>
      </c>
      <c r="T96" s="73"/>
    </row>
    <row r="97" spans="1:20" x14ac:dyDescent="0.25">
      <c r="A97" s="55" t="str">
        <f>'Initial Search'!D248</f>
        <v>Towards Multiple Model Synchronization with Comprehensive Systems</v>
      </c>
      <c r="B97" s="22">
        <f>ROW('Initial Search'!248:248)</f>
        <v>248</v>
      </c>
      <c r="C97" s="22">
        <f>ROW('Feature Study'!161:161)</f>
        <v>161</v>
      </c>
      <c r="D97" s="23" t="str">
        <f>'Initial Search'!M248</f>
        <v>Accepted</v>
      </c>
      <c r="E97" s="23" t="str">
        <f>'Initial Search'!N248</f>
        <v>Approved</v>
      </c>
      <c r="F97" s="385" t="s">
        <v>3296</v>
      </c>
      <c r="G97" s="23" t="str">
        <f>'Initial Search'!O248</f>
        <v>Stünkel et al.</v>
      </c>
      <c r="H97" s="55" t="s">
        <v>1623</v>
      </c>
      <c r="I97" s="55" t="s">
        <v>1623</v>
      </c>
      <c r="J97" s="55" t="s">
        <v>1623</v>
      </c>
      <c r="K97" s="55" t="s">
        <v>1621</v>
      </c>
      <c r="L97" s="55" t="s">
        <v>1621</v>
      </c>
      <c r="M97" s="55" t="s">
        <v>1624</v>
      </c>
      <c r="N97" s="55" t="s">
        <v>1624</v>
      </c>
      <c r="O97" s="55" t="s">
        <v>1621</v>
      </c>
      <c r="P97" s="55" t="s">
        <v>1621</v>
      </c>
      <c r="Q97" s="55" t="s">
        <v>1621</v>
      </c>
      <c r="R97" s="55">
        <f t="shared" si="6"/>
        <v>4</v>
      </c>
      <c r="S97" s="55">
        <f t="shared" si="7"/>
        <v>57.142857142857139</v>
      </c>
      <c r="T97" s="73"/>
    </row>
    <row r="98" spans="1:20" x14ac:dyDescent="0.25">
      <c r="A98" s="55" t="str">
        <f>'Initial Search'!D340</f>
        <v>Comprehensive Systems: A formal foundation for Multi-Model Consistency Management</v>
      </c>
      <c r="B98" s="22">
        <f>ROW('Initial Search'!340:340)</f>
        <v>340</v>
      </c>
      <c r="C98" s="22">
        <f>ROW('Feature Study'!172:172)</f>
        <v>172</v>
      </c>
      <c r="D98" s="23" t="str">
        <f>'Initial Search'!M340</f>
        <v>Accepted</v>
      </c>
      <c r="E98" s="23" t="str">
        <f>'Initial Search'!N340</f>
        <v>Approved</v>
      </c>
      <c r="F98" s="386"/>
      <c r="G98" s="287" t="str">
        <f>'Initial Search'!O340</f>
        <v>Stünkel et al.</v>
      </c>
      <c r="H98" s="55" t="s">
        <v>1623</v>
      </c>
      <c r="I98" s="55" t="s">
        <v>1621</v>
      </c>
      <c r="J98" s="55" t="s">
        <v>1623</v>
      </c>
      <c r="K98" s="55" t="s">
        <v>1624</v>
      </c>
      <c r="L98" s="55" t="s">
        <v>1621</v>
      </c>
      <c r="M98" s="55" t="s">
        <v>1623</v>
      </c>
      <c r="N98" s="55" t="s">
        <v>1623</v>
      </c>
      <c r="O98" s="55" t="s">
        <v>1621</v>
      </c>
      <c r="P98" s="55" t="s">
        <v>1624</v>
      </c>
      <c r="Q98" s="55" t="s">
        <v>1624</v>
      </c>
      <c r="R98" s="55">
        <f t="shared" si="6"/>
        <v>4.5</v>
      </c>
      <c r="S98" s="55">
        <f t="shared" si="7"/>
        <v>64.285714285714292</v>
      </c>
      <c r="T98" s="73"/>
    </row>
    <row r="99" spans="1:20" x14ac:dyDescent="0.25">
      <c r="A99" s="55" t="str">
        <f>'Initial Search'!D268</f>
        <v>Discovering Software Architectures with Search-Based Merge of UML Model Variants</v>
      </c>
      <c r="B99" s="22">
        <f>ROW('Initial Search'!268:268)</f>
        <v>268</v>
      </c>
      <c r="C99" s="22">
        <f>ROW('Feature Study'!137:137)</f>
        <v>137</v>
      </c>
      <c r="D99" s="23" t="str">
        <f>'Initial Search'!M268</f>
        <v>Accepted</v>
      </c>
      <c r="E99" s="23" t="str">
        <f>'Initial Search'!N268</f>
        <v>Approved</v>
      </c>
      <c r="F99" s="347" t="s">
        <v>3307</v>
      </c>
      <c r="G99" s="23" t="str">
        <f>'Initial Search'!O268</f>
        <v>Assunção et al.</v>
      </c>
      <c r="H99" s="55" t="s">
        <v>1623</v>
      </c>
      <c r="I99" s="55" t="s">
        <v>1623</v>
      </c>
      <c r="J99" s="55" t="s">
        <v>1623</v>
      </c>
      <c r="K99" s="55" t="s">
        <v>1624</v>
      </c>
      <c r="L99" s="55" t="s">
        <v>1624</v>
      </c>
      <c r="M99" s="55" t="s">
        <v>1623</v>
      </c>
      <c r="N99" s="55" t="s">
        <v>1624</v>
      </c>
      <c r="O99" s="55" t="s">
        <v>1621</v>
      </c>
      <c r="P99" s="55" t="s">
        <v>1621</v>
      </c>
      <c r="Q99" s="55" t="s">
        <v>1621</v>
      </c>
      <c r="R99" s="55">
        <f t="shared" si="6"/>
        <v>5.5</v>
      </c>
      <c r="S99" s="55">
        <f t="shared" si="7"/>
        <v>78.571428571428569</v>
      </c>
      <c r="T99" s="73"/>
    </row>
    <row r="100" spans="1:20" x14ac:dyDescent="0.25">
      <c r="A100" s="55" t="str">
        <f>'Initial Search'!D331</f>
        <v>Composing Models for Detecting Inconsistencies: A Requirements Engineering Perspective</v>
      </c>
      <c r="B100" s="22">
        <f>ROW('Initial Search'!331:331)</f>
        <v>331</v>
      </c>
      <c r="C100" s="22">
        <f>ROW('Feature Study'!162:162)</f>
        <v>162</v>
      </c>
      <c r="D100" s="23" t="str">
        <f>'Initial Search'!M331</f>
        <v>Accepted</v>
      </c>
      <c r="E100" s="23" t="str">
        <f>'Initial Search'!N331</f>
        <v>Approved</v>
      </c>
      <c r="F100" s="347" t="s">
        <v>3315</v>
      </c>
      <c r="G100" s="23" t="str">
        <f>'Initial Search'!O331</f>
        <v>Perrouin et al.</v>
      </c>
      <c r="H100" s="55" t="s">
        <v>1623</v>
      </c>
      <c r="I100" s="55" t="s">
        <v>1623</v>
      </c>
      <c r="J100" s="55" t="s">
        <v>1623</v>
      </c>
      <c r="K100" s="55" t="s">
        <v>1621</v>
      </c>
      <c r="L100" s="55" t="s">
        <v>1624</v>
      </c>
      <c r="M100" s="55" t="s">
        <v>1623</v>
      </c>
      <c r="N100" s="55" t="s">
        <v>1624</v>
      </c>
      <c r="O100" s="55" t="s">
        <v>1621</v>
      </c>
      <c r="P100" s="55" t="s">
        <v>1621</v>
      </c>
      <c r="Q100" s="55" t="s">
        <v>1621</v>
      </c>
      <c r="R100" s="55">
        <f t="shared" si="6"/>
        <v>5</v>
      </c>
      <c r="S100" s="55">
        <f t="shared" si="7"/>
        <v>71.428571428571431</v>
      </c>
      <c r="T100" s="73"/>
    </row>
    <row r="101" spans="1:20" x14ac:dyDescent="0.25">
      <c r="A101" s="55" t="str">
        <f>'Initial Search'!D322</f>
        <v>Formal Support for Merging and Negotiation</v>
      </c>
      <c r="B101" s="22">
        <f>ROW('Initial Search'!322:322)</f>
        <v>322</v>
      </c>
      <c r="C101" s="22">
        <f>ROW('Feature Study'!165:165)</f>
        <v>165</v>
      </c>
      <c r="D101" s="23" t="str">
        <f>'Initial Search'!M322</f>
        <v>Accepted</v>
      </c>
      <c r="E101" s="23" t="str">
        <f>'Initial Search'!N322</f>
        <v>Approved</v>
      </c>
      <c r="F101" s="347" t="s">
        <v>3325</v>
      </c>
      <c r="G101" s="23" t="str">
        <f>'Initial Search'!O322</f>
        <v>Negotiation framework</v>
      </c>
      <c r="H101" s="55" t="s">
        <v>1623</v>
      </c>
      <c r="I101" s="55" t="s">
        <v>1621</v>
      </c>
      <c r="J101" s="55" t="s">
        <v>1624</v>
      </c>
      <c r="K101" s="55" t="s">
        <v>1621</v>
      </c>
      <c r="L101" s="55" t="s">
        <v>1624</v>
      </c>
      <c r="M101" s="55" t="s">
        <v>1623</v>
      </c>
      <c r="N101" s="55" t="s">
        <v>1623</v>
      </c>
      <c r="O101" s="55" t="s">
        <v>1621</v>
      </c>
      <c r="P101" s="55" t="s">
        <v>1623</v>
      </c>
      <c r="Q101" s="55" t="s">
        <v>1621</v>
      </c>
      <c r="R101" s="55">
        <f t="shared" si="6"/>
        <v>4</v>
      </c>
      <c r="S101" s="55">
        <f t="shared" si="7"/>
        <v>57.142857142857139</v>
      </c>
      <c r="T101" s="73"/>
    </row>
    <row r="102" spans="1:20" x14ac:dyDescent="0.25">
      <c r="A102" s="55" t="str">
        <f>'Initial Search'!D320</f>
        <v>Efficient detection of inconsistencies in a multi-developer engineering environment</v>
      </c>
      <c r="B102" s="22">
        <f>ROW('Initial Search'!320:320)</f>
        <v>320</v>
      </c>
      <c r="C102" s="22">
        <f>ROW('Feature Study'!163:163)</f>
        <v>163</v>
      </c>
      <c r="D102" s="23" t="str">
        <f>'Initial Search'!M320</f>
        <v>Accepted</v>
      </c>
      <c r="E102" s="23" t="str">
        <f>'Initial Search'!N320</f>
        <v>Approved</v>
      </c>
      <c r="F102" s="347" t="s">
        <v>3335</v>
      </c>
      <c r="G102" s="23" t="str">
        <f>'Initial Search'!O320</f>
        <v>Demuth et al.</v>
      </c>
      <c r="H102" s="55" t="s">
        <v>1623</v>
      </c>
      <c r="I102" s="55" t="s">
        <v>1624</v>
      </c>
      <c r="J102" s="55" t="s">
        <v>1623</v>
      </c>
      <c r="K102" s="55" t="s">
        <v>1623</v>
      </c>
      <c r="L102" s="55" t="s">
        <v>1624</v>
      </c>
      <c r="M102" s="55" t="s">
        <v>1623</v>
      </c>
      <c r="N102" s="55" t="s">
        <v>1624</v>
      </c>
      <c r="O102" s="55" t="s">
        <v>1621</v>
      </c>
      <c r="P102" s="55" t="s">
        <v>1621</v>
      </c>
      <c r="Q102" s="55" t="s">
        <v>1621</v>
      </c>
      <c r="R102" s="55">
        <f t="shared" si="6"/>
        <v>5.5</v>
      </c>
      <c r="S102" s="55">
        <f t="shared" si="7"/>
        <v>78.571428571428569</v>
      </c>
      <c r="T102" s="73"/>
    </row>
    <row r="103" spans="1:20" x14ac:dyDescent="0.25">
      <c r="A103" s="55" t="str">
        <f>'Initial Search'!D321</f>
        <v>An agent-based framework for distributed collaborative model evolution</v>
      </c>
      <c r="B103" s="22">
        <f>ROW('Initial Search'!321:321)</f>
        <v>321</v>
      </c>
      <c r="C103" s="22">
        <f>ROW('Feature Study'!164:164)</f>
        <v>164</v>
      </c>
      <c r="D103" s="23" t="str">
        <f>'Initial Search'!M321</f>
        <v>Accepted</v>
      </c>
      <c r="E103" s="23" t="str">
        <f>'Initial Search'!N321</f>
        <v>Approved</v>
      </c>
      <c r="F103" s="347" t="s">
        <v>3344</v>
      </c>
      <c r="G103" s="23" t="str">
        <f>'Initial Search'!O321</f>
        <v>BDI Architecture</v>
      </c>
      <c r="H103" s="55" t="s">
        <v>1623</v>
      </c>
      <c r="I103" s="55" t="s">
        <v>1623</v>
      </c>
      <c r="J103" s="55" t="s">
        <v>1623</v>
      </c>
      <c r="K103" s="55" t="s">
        <v>1621</v>
      </c>
      <c r="L103" s="55" t="s">
        <v>1621</v>
      </c>
      <c r="M103" s="55" t="s">
        <v>1623</v>
      </c>
      <c r="N103" s="55" t="s">
        <v>1623</v>
      </c>
      <c r="O103" s="55" t="s">
        <v>1621</v>
      </c>
      <c r="P103" s="55" t="s">
        <v>1624</v>
      </c>
      <c r="Q103" s="55" t="s">
        <v>1621</v>
      </c>
      <c r="R103" s="55">
        <f t="shared" si="6"/>
        <v>5</v>
      </c>
      <c r="S103" s="55">
        <f t="shared" si="7"/>
        <v>71.428571428571431</v>
      </c>
      <c r="T103" s="73"/>
    </row>
    <row r="104" spans="1:20" x14ac:dyDescent="0.25">
      <c r="A104" s="55" t="str">
        <f>'Initial Search'!D326</f>
        <v>An Algebraic Framework for Merging Incomplete and Inconsistent Views</v>
      </c>
      <c r="B104" s="22">
        <f>ROW('Initial Search'!326:326)</f>
        <v>326</v>
      </c>
      <c r="C104" s="22">
        <f>ROW('Feature Study'!166:166)</f>
        <v>166</v>
      </c>
      <c r="D104" s="23" t="str">
        <f>'Initial Search'!M326</f>
        <v>Accepted</v>
      </c>
      <c r="E104" s="23" t="str">
        <f>'Initial Search'!N326</f>
        <v>Approved</v>
      </c>
      <c r="F104" s="385" t="s">
        <v>3350</v>
      </c>
      <c r="G104" s="23" t="str">
        <f>'Initial Search'!O326</f>
        <v>iVuBlender</v>
      </c>
      <c r="H104" s="55" t="s">
        <v>1623</v>
      </c>
      <c r="I104" s="55" t="s">
        <v>1621</v>
      </c>
      <c r="J104" s="55" t="s">
        <v>1623</v>
      </c>
      <c r="K104" s="55" t="s">
        <v>1624</v>
      </c>
      <c r="L104" s="55" t="s">
        <v>1624</v>
      </c>
      <c r="M104" s="55" t="s">
        <v>1624</v>
      </c>
      <c r="N104" s="55" t="s">
        <v>1624</v>
      </c>
      <c r="O104" s="55" t="s">
        <v>1621</v>
      </c>
      <c r="P104" s="55" t="s">
        <v>1621</v>
      </c>
      <c r="Q104" s="55" t="s">
        <v>1621</v>
      </c>
      <c r="R104" s="55">
        <f t="shared" si="6"/>
        <v>4</v>
      </c>
      <c r="S104" s="55">
        <f t="shared" si="7"/>
        <v>57.142857142857139</v>
      </c>
      <c r="T104" s="73"/>
    </row>
    <row r="105" spans="1:20" x14ac:dyDescent="0.25">
      <c r="A105" s="55" t="str">
        <f>'Initial Search'!D329</f>
        <v>View merging in the presence of incompleteness and inconsistency</v>
      </c>
      <c r="B105" s="22">
        <f>ROW('Initial Search'!329:329)</f>
        <v>329</v>
      </c>
      <c r="C105" s="22">
        <f>ROW('Feature Study'!167:167)</f>
        <v>167</v>
      </c>
      <c r="D105" s="23" t="str">
        <f>'Initial Search'!M329</f>
        <v>Accepted</v>
      </c>
      <c r="E105" s="23" t="str">
        <f>'Initial Search'!N329</f>
        <v>Approved</v>
      </c>
      <c r="F105" s="386"/>
      <c r="G105" s="23" t="str">
        <f>'Initial Search'!O329</f>
        <v>iVuBlender</v>
      </c>
      <c r="H105" s="55" t="s">
        <v>1623</v>
      </c>
      <c r="I105" s="55" t="s">
        <v>1623</v>
      </c>
      <c r="J105" s="55" t="s">
        <v>1623</v>
      </c>
      <c r="K105" s="55" t="s">
        <v>1624</v>
      </c>
      <c r="L105" s="55" t="s">
        <v>1623</v>
      </c>
      <c r="M105" s="55" t="s">
        <v>1623</v>
      </c>
      <c r="N105" s="55" t="s">
        <v>1624</v>
      </c>
      <c r="O105" s="55" t="s">
        <v>1621</v>
      </c>
      <c r="P105" s="55" t="s">
        <v>1621</v>
      </c>
      <c r="Q105" s="55" t="s">
        <v>1621</v>
      </c>
      <c r="R105" s="55">
        <f t="shared" si="6"/>
        <v>6</v>
      </c>
      <c r="S105" s="55">
        <f t="shared" si="7"/>
        <v>85.714285714285708</v>
      </c>
      <c r="T105" s="73"/>
    </row>
    <row r="106" spans="1:20" x14ac:dyDescent="0.25">
      <c r="A106" s="55" t="str">
        <f>'Initial Search'!D335</f>
        <v>A Collaborative Versioning Framework for Model-Based Version Control Systems</v>
      </c>
      <c r="B106" s="22">
        <f>ROW('Initial Search'!335:335)</f>
        <v>335</v>
      </c>
      <c r="C106" s="22">
        <f>ROW('Feature Study'!168:168)</f>
        <v>168</v>
      </c>
      <c r="D106" s="23" t="str">
        <f>'Initial Search'!M335</f>
        <v>Accepted</v>
      </c>
      <c r="E106" s="23" t="str">
        <f>'Initial Search'!N335</f>
        <v>Approved</v>
      </c>
      <c r="F106" s="347" t="s">
        <v>3362</v>
      </c>
      <c r="G106" s="23" t="str">
        <f>'Initial Search'!O335</f>
        <v>ModVCS</v>
      </c>
      <c r="H106" s="55" t="s">
        <v>1623</v>
      </c>
      <c r="I106" s="55" t="s">
        <v>1621</v>
      </c>
      <c r="J106" s="55" t="s">
        <v>1623</v>
      </c>
      <c r="K106" s="55" t="s">
        <v>1624</v>
      </c>
      <c r="L106" s="55" t="s">
        <v>1624</v>
      </c>
      <c r="M106" s="55" t="s">
        <v>1624</v>
      </c>
      <c r="N106" s="55" t="s">
        <v>1624</v>
      </c>
      <c r="O106" s="55" t="s">
        <v>1621</v>
      </c>
      <c r="P106" s="55" t="s">
        <v>1624</v>
      </c>
      <c r="Q106" s="55" t="s">
        <v>1624</v>
      </c>
      <c r="R106" s="55">
        <f t="shared" si="6"/>
        <v>4</v>
      </c>
      <c r="S106" s="55">
        <f t="shared" si="7"/>
        <v>57.142857142857139</v>
      </c>
      <c r="T106" s="73"/>
    </row>
    <row r="107" spans="1:20" x14ac:dyDescent="0.25">
      <c r="A107" s="55" t="str">
        <f>'Initial Search'!D295</f>
        <v>Global consistency checking of distributed models with TReMer+</v>
      </c>
      <c r="B107" s="22">
        <f>ROW('Initial Search'!295:295)</f>
        <v>295</v>
      </c>
      <c r="C107" s="22">
        <f>ROW('Feature Study'!169:169)</f>
        <v>169</v>
      </c>
      <c r="D107" s="23" t="str">
        <f>'Initial Search'!M295</f>
        <v>Accepted</v>
      </c>
      <c r="E107" s="23" t="str">
        <f>'Initial Search'!N295</f>
        <v>Approved</v>
      </c>
      <c r="F107" s="385" t="s">
        <v>3371</v>
      </c>
      <c r="G107" s="287" t="str">
        <f>'Initial Search'!O295</f>
        <v>TReMer+</v>
      </c>
      <c r="H107" s="55" t="s">
        <v>1623</v>
      </c>
      <c r="I107" s="55" t="s">
        <v>1623</v>
      </c>
      <c r="J107" s="55" t="s">
        <v>1624</v>
      </c>
      <c r="K107" s="55" t="s">
        <v>1624</v>
      </c>
      <c r="L107" s="55" t="s">
        <v>1624</v>
      </c>
      <c r="M107" s="55" t="s">
        <v>1624</v>
      </c>
      <c r="N107" s="55" t="s">
        <v>1624</v>
      </c>
      <c r="O107" s="55" t="s">
        <v>1621</v>
      </c>
      <c r="P107" s="55" t="s">
        <v>1624</v>
      </c>
      <c r="Q107" s="55" t="s">
        <v>1624</v>
      </c>
      <c r="R107" s="55">
        <f t="shared" si="6"/>
        <v>4.5</v>
      </c>
      <c r="S107" s="55">
        <f t="shared" si="7"/>
        <v>64.285714285714292</v>
      </c>
      <c r="T107" s="73"/>
    </row>
    <row r="108" spans="1:20" x14ac:dyDescent="0.25">
      <c r="A108" s="55" t="str">
        <f>'Initial Search'!D339</f>
        <v>Consistency Checking of Conceptual Models via Model Merging</v>
      </c>
      <c r="B108" s="22">
        <f>ROW('Initial Search'!339:339)</f>
        <v>339</v>
      </c>
      <c r="C108" s="22">
        <f>ROW('Feature Study'!171:171)</f>
        <v>171</v>
      </c>
      <c r="D108" s="23" t="str">
        <f>'Initial Search'!M339</f>
        <v>Accepted</v>
      </c>
      <c r="E108" s="23" t="str">
        <f>'Initial Search'!N339</f>
        <v>Approved</v>
      </c>
      <c r="F108" s="386"/>
      <c r="G108" s="287" t="str">
        <f>'Initial Search'!O339</f>
        <v>TReMer+</v>
      </c>
      <c r="H108" s="55" t="s">
        <v>1623</v>
      </c>
      <c r="I108" s="55" t="s">
        <v>1624</v>
      </c>
      <c r="J108" s="55" t="s">
        <v>1623</v>
      </c>
      <c r="K108" s="55" t="s">
        <v>1624</v>
      </c>
      <c r="L108" s="55" t="s">
        <v>1624</v>
      </c>
      <c r="M108" s="55" t="s">
        <v>1623</v>
      </c>
      <c r="N108" s="55" t="s">
        <v>1624</v>
      </c>
      <c r="O108" s="55" t="s">
        <v>1621</v>
      </c>
      <c r="P108" s="55" t="s">
        <v>1621</v>
      </c>
      <c r="Q108" s="55" t="s">
        <v>1621</v>
      </c>
      <c r="R108" s="55">
        <f t="shared" si="6"/>
        <v>5</v>
      </c>
      <c r="S108" s="55">
        <f t="shared" si="7"/>
        <v>71.428571428571431</v>
      </c>
      <c r="T108" s="73"/>
    </row>
    <row r="109" spans="1:20" x14ac:dyDescent="0.25">
      <c r="A109" s="55" t="str">
        <f>'Initial Search'!D337</f>
        <v>Efficient Consistency Checking of Interrelated Models</v>
      </c>
      <c r="B109" s="22">
        <f>ROW('Initial Search'!337:337)</f>
        <v>337</v>
      </c>
      <c r="C109" s="22">
        <f>ROW('Feature Study'!170:170)</f>
        <v>170</v>
      </c>
      <c r="D109" s="23" t="str">
        <f>'Initial Search'!M337</f>
        <v>Accepted</v>
      </c>
      <c r="E109" s="23" t="str">
        <f>'Initial Search'!N337</f>
        <v>Approved</v>
      </c>
      <c r="F109" s="385" t="s">
        <v>3499</v>
      </c>
      <c r="G109" s="287" t="str">
        <f>'Initial Search'!O337</f>
        <v>LMM</v>
      </c>
      <c r="H109" s="55" t="s">
        <v>1623</v>
      </c>
      <c r="I109" s="55" t="s">
        <v>1623</v>
      </c>
      <c r="J109" s="55" t="s">
        <v>1623</v>
      </c>
      <c r="K109" s="55" t="s">
        <v>1621</v>
      </c>
      <c r="L109" s="55" t="s">
        <v>1621</v>
      </c>
      <c r="M109" s="55" t="s">
        <v>1623</v>
      </c>
      <c r="N109" s="55" t="s">
        <v>1623</v>
      </c>
      <c r="O109" s="55" t="s">
        <v>1621</v>
      </c>
      <c r="P109" s="55" t="s">
        <v>1621</v>
      </c>
      <c r="Q109" s="55" t="s">
        <v>1624</v>
      </c>
      <c r="R109" s="55">
        <f t="shared" si="6"/>
        <v>5</v>
      </c>
      <c r="S109" s="55">
        <f t="shared" si="7"/>
        <v>71.428571428571431</v>
      </c>
      <c r="T109" s="73"/>
    </row>
    <row r="110" spans="1:20" x14ac:dyDescent="0.25">
      <c r="A110" s="55" t="str">
        <f>'Initial Search'!D349</f>
        <v>Advanced Local Checking of Global Consistency in Heterogeneous Multimodeling</v>
      </c>
      <c r="B110" s="22">
        <f>ROW('Initial Search'!349:349)</f>
        <v>349</v>
      </c>
      <c r="C110" s="22">
        <f>ROW('Feature Study'!179:179)</f>
        <v>179</v>
      </c>
      <c r="D110" s="23" t="str">
        <f>'Initial Search'!M349</f>
        <v>Accepted</v>
      </c>
      <c r="E110" s="23" t="str">
        <f>'Initial Search'!N349</f>
        <v>Approved</v>
      </c>
      <c r="F110" s="386"/>
      <c r="G110" s="287" t="str">
        <f>'Initial Search'!O349</f>
        <v>LMM</v>
      </c>
      <c r="H110" s="55" t="s">
        <v>1623</v>
      </c>
      <c r="I110" s="55" t="s">
        <v>1624</v>
      </c>
      <c r="J110" s="55" t="s">
        <v>1623</v>
      </c>
      <c r="K110" s="55" t="s">
        <v>1621</v>
      </c>
      <c r="L110" s="55" t="s">
        <v>1621</v>
      </c>
      <c r="M110" s="55" t="s">
        <v>1623</v>
      </c>
      <c r="N110" s="55" t="s">
        <v>1623</v>
      </c>
      <c r="O110" s="55" t="s">
        <v>1621</v>
      </c>
      <c r="P110" s="55" t="s">
        <v>1624</v>
      </c>
      <c r="Q110" s="55" t="s">
        <v>1624</v>
      </c>
      <c r="R110" s="55">
        <f t="shared" si="6"/>
        <v>4.5</v>
      </c>
      <c r="S110" s="55">
        <f t="shared" si="7"/>
        <v>64.285714285714292</v>
      </c>
      <c r="T110" s="73"/>
    </row>
    <row r="111" spans="1:20" x14ac:dyDescent="0.25">
      <c r="A111" s="55" t="str">
        <f>'Initial Search'!D341</f>
        <v>Reasoning about Consistency in Model Merging</v>
      </c>
      <c r="B111" s="22">
        <f>ROW('Initial Search'!341:341)</f>
        <v>341</v>
      </c>
      <c r="C111" s="22">
        <f>ROW('Feature Study'!176:176)</f>
        <v>176</v>
      </c>
      <c r="D111" s="23" t="str">
        <f>'Initial Search'!M341</f>
        <v>Accepted</v>
      </c>
      <c r="E111" s="23" t="str">
        <f>'Initial Search'!N341</f>
        <v>Disapproved</v>
      </c>
      <c r="F111" s="347"/>
      <c r="G111" s="287" t="str">
        <f>'Initial Search'!O341</f>
        <v>Sabetzadeh et al.</v>
      </c>
      <c r="H111" s="55" t="s">
        <v>1623</v>
      </c>
      <c r="I111" s="55" t="s">
        <v>1624</v>
      </c>
      <c r="J111" s="55" t="s">
        <v>1624</v>
      </c>
      <c r="K111" s="55" t="s">
        <v>1621</v>
      </c>
      <c r="L111" s="55" t="s">
        <v>1621</v>
      </c>
      <c r="M111" s="55" t="s">
        <v>1621</v>
      </c>
      <c r="N111" s="55" t="s">
        <v>1624</v>
      </c>
      <c r="O111" s="55" t="s">
        <v>1621</v>
      </c>
      <c r="P111" s="55" t="s">
        <v>1624</v>
      </c>
      <c r="Q111" s="55" t="s">
        <v>1621</v>
      </c>
      <c r="R111" s="55">
        <f t="shared" si="6"/>
        <v>2.5</v>
      </c>
      <c r="S111" s="81">
        <f t="shared" si="7"/>
        <v>35.714285714285715</v>
      </c>
      <c r="T111" s="73"/>
    </row>
    <row r="112" spans="1:20" x14ac:dyDescent="0.25">
      <c r="A112" s="55" t="str">
        <f>'Initial Search'!D344</f>
        <v>Analysis of inconsistency in graph-based viewpoints: a category-theoretical approach</v>
      </c>
      <c r="B112" s="22">
        <f>ROW('Initial Search'!344:344)</f>
        <v>344</v>
      </c>
      <c r="C112" s="22">
        <f>ROW('Feature Study'!177:177)</f>
        <v>177</v>
      </c>
      <c r="D112" s="23" t="str">
        <f>'Initial Search'!M344</f>
        <v>Accepted</v>
      </c>
      <c r="E112" s="23" t="str">
        <f>'Initial Search'!N344</f>
        <v>Approved</v>
      </c>
      <c r="F112" s="347" t="s">
        <v>3543</v>
      </c>
      <c r="G112" s="287" t="str">
        <f>'Initial Search'!O344</f>
        <v>Fuzzy-Viewpoint</v>
      </c>
      <c r="H112" s="55" t="s">
        <v>1623</v>
      </c>
      <c r="I112" s="55" t="s">
        <v>1624</v>
      </c>
      <c r="J112" s="55" t="s">
        <v>1623</v>
      </c>
      <c r="K112" s="55" t="s">
        <v>1624</v>
      </c>
      <c r="L112" s="55" t="s">
        <v>1621</v>
      </c>
      <c r="M112" s="55" t="s">
        <v>1621</v>
      </c>
      <c r="N112" s="55" t="s">
        <v>1623</v>
      </c>
      <c r="O112" s="55" t="s">
        <v>1621</v>
      </c>
      <c r="P112" s="55" t="s">
        <v>1623</v>
      </c>
      <c r="Q112" s="55" t="s">
        <v>1624</v>
      </c>
      <c r="R112" s="55">
        <f t="shared" si="6"/>
        <v>4</v>
      </c>
      <c r="S112" s="55">
        <f t="shared" si="7"/>
        <v>57.142857142857139</v>
      </c>
      <c r="T112" s="73"/>
    </row>
    <row r="113" spans="1:20" x14ac:dyDescent="0.25">
      <c r="A113" s="55" t="str">
        <f>'Initial Search'!D346</f>
        <v>A framework for multi-valued reasoning over inconsistent viewpoints</v>
      </c>
      <c r="B113" s="22">
        <f>ROW('Initial Search'!346:346)</f>
        <v>346</v>
      </c>
      <c r="C113" s="22">
        <f>ROW('Feature Study'!178:178)</f>
        <v>178</v>
      </c>
      <c r="D113" s="23" t="str">
        <f>'Initial Search'!M346</f>
        <v>Accepted</v>
      </c>
      <c r="E113" s="23" t="str">
        <f>'Initial Search'!N346</f>
        <v>Approved</v>
      </c>
      <c r="F113" s="347" t="s">
        <v>3568</v>
      </c>
      <c r="G113" s="287" t="str">
        <f>'Initial Search'!O346</f>
        <v>Xbel</v>
      </c>
      <c r="H113" s="55" t="s">
        <v>1623</v>
      </c>
      <c r="I113" s="55" t="s">
        <v>1624</v>
      </c>
      <c r="J113" s="55" t="s">
        <v>1623</v>
      </c>
      <c r="K113" s="55" t="s">
        <v>1624</v>
      </c>
      <c r="L113" s="55" t="s">
        <v>1624</v>
      </c>
      <c r="M113" s="55" t="s">
        <v>1624</v>
      </c>
      <c r="N113" s="55" t="s">
        <v>1624</v>
      </c>
      <c r="O113" s="55" t="s">
        <v>1621</v>
      </c>
      <c r="P113" s="55" t="s">
        <v>1624</v>
      </c>
      <c r="Q113" s="55" t="s">
        <v>1621</v>
      </c>
      <c r="R113" s="55">
        <f t="shared" si="6"/>
        <v>4.5</v>
      </c>
      <c r="S113" s="55">
        <f t="shared" si="7"/>
        <v>64.285714285714292</v>
      </c>
      <c r="T113" s="73"/>
    </row>
    <row r="114" spans="1:20" x14ac:dyDescent="0.25">
      <c r="A114" s="55" t="str">
        <f>'Initial Search'!D368</f>
        <v>A Precedence-Driven Approach for Concurrent Model Synchronization Scenarios using Triple Graph Grammars</v>
      </c>
      <c r="B114" s="22">
        <f>ROW('Initial Search'!368:368)</f>
        <v>368</v>
      </c>
      <c r="C114" s="22">
        <f>ROW('Feature Study'!182:182)</f>
        <v>182</v>
      </c>
      <c r="D114" s="23" t="str">
        <f>'Initial Search'!M368</f>
        <v>Accepted</v>
      </c>
      <c r="E114" s="23" t="str">
        <f>'Initial Search'!N368</f>
        <v>Approved</v>
      </c>
      <c r="F114" s="347" t="s">
        <v>3612</v>
      </c>
      <c r="G114" s="287" t="str">
        <f>'Initial Search'!O368</f>
        <v>eMoflon</v>
      </c>
      <c r="H114" s="55" t="s">
        <v>1623</v>
      </c>
      <c r="I114" s="55" t="s">
        <v>1623</v>
      </c>
      <c r="J114" s="55" t="s">
        <v>1623</v>
      </c>
      <c r="K114" s="55" t="s">
        <v>1624</v>
      </c>
      <c r="L114" s="55" t="s">
        <v>1624</v>
      </c>
      <c r="M114" s="55" t="s">
        <v>1623</v>
      </c>
      <c r="N114" s="55" t="s">
        <v>1624</v>
      </c>
      <c r="O114" s="55" t="s">
        <v>1621</v>
      </c>
      <c r="P114" s="55" t="s">
        <v>1623</v>
      </c>
      <c r="Q114" s="55" t="s">
        <v>1621</v>
      </c>
      <c r="R114" s="55">
        <f t="shared" si="6"/>
        <v>5.5</v>
      </c>
      <c r="S114" s="55">
        <f t="shared" si="7"/>
        <v>78.571428571428569</v>
      </c>
      <c r="T114" s="73"/>
    </row>
    <row r="115" spans="1:20" x14ac:dyDescent="0.25">
      <c r="A115" s="55"/>
      <c r="B115" s="22"/>
      <c r="C115" s="22"/>
      <c r="D115" s="23"/>
      <c r="E115" s="23"/>
      <c r="F115" s="23"/>
      <c r="G115" s="23"/>
      <c r="H115" s="55"/>
      <c r="I115" s="55"/>
      <c r="J115" s="55"/>
      <c r="K115" s="55"/>
      <c r="L115" s="55"/>
      <c r="M115" s="55"/>
      <c r="N115" s="55"/>
      <c r="O115" s="55"/>
      <c r="P115" s="55"/>
      <c r="Q115" s="55"/>
      <c r="R115" s="55"/>
      <c r="S115" s="55"/>
      <c r="T115" s="73"/>
    </row>
    <row r="116" spans="1:20" x14ac:dyDescent="0.25">
      <c r="A116" s="56"/>
      <c r="B116" s="24"/>
      <c r="C116" s="24"/>
      <c r="D116" s="24"/>
      <c r="E116" s="24"/>
      <c r="F116" s="24"/>
      <c r="G116" s="24"/>
      <c r="H116" s="24">
        <f>COUNTIF(H3:H114,"Yes") + 0.5 * COUNTIF(H6:H114,"partially")+1</f>
        <v>108</v>
      </c>
      <c r="I116" s="24">
        <f t="shared" ref="I116:N116" si="8">COUNTIF(I3:I114,"Yes") + 0.5 * COUNTIF(I3:I114,"partially")</f>
        <v>78</v>
      </c>
      <c r="J116" s="24">
        <f t="shared" si="8"/>
        <v>104.5</v>
      </c>
      <c r="K116" s="24">
        <f t="shared" si="8"/>
        <v>45</v>
      </c>
      <c r="L116" s="24">
        <f t="shared" si="8"/>
        <v>56</v>
      </c>
      <c r="M116" s="24">
        <f t="shared" si="8"/>
        <v>83.5</v>
      </c>
      <c r="N116" s="24">
        <f t="shared" si="8"/>
        <v>76</v>
      </c>
      <c r="O116" s="24"/>
      <c r="P116" s="24"/>
      <c r="Q116" s="24"/>
      <c r="R116" s="57">
        <f>SUM(R3:R114)</f>
        <v>550</v>
      </c>
      <c r="S116" s="58"/>
      <c r="T116" s="73"/>
    </row>
    <row r="117" spans="1:20" x14ac:dyDescent="0.25">
      <c r="A117" s="59"/>
      <c r="B117" s="25"/>
      <c r="C117" s="25"/>
      <c r="D117" s="25"/>
      <c r="E117" s="25"/>
      <c r="F117" s="25"/>
      <c r="G117" s="25"/>
      <c r="H117" s="120">
        <f>H116/R116</f>
        <v>0.19636363636363635</v>
      </c>
      <c r="I117" s="120">
        <f>I116/R116</f>
        <v>0.14181818181818182</v>
      </c>
      <c r="J117" s="120">
        <f>J116/R116</f>
        <v>0.19</v>
      </c>
      <c r="K117" s="120">
        <f>K116/R116</f>
        <v>8.1818181818181818E-2</v>
      </c>
      <c r="L117" s="120">
        <f>L116/R116</f>
        <v>0.10181818181818182</v>
      </c>
      <c r="M117" s="120">
        <f>M116/R116</f>
        <v>0.15181818181818182</v>
      </c>
      <c r="N117" s="120">
        <f>N116/R116</f>
        <v>0.13818181818181818</v>
      </c>
      <c r="O117" s="60"/>
      <c r="P117" s="60"/>
      <c r="Q117" s="120"/>
      <c r="R117" s="61">
        <f>R116/R116*100</f>
        <v>100</v>
      </c>
      <c r="S117" s="62"/>
      <c r="T117" s="73"/>
    </row>
    <row r="118" spans="1:20" x14ac:dyDescent="0.25">
      <c r="S118">
        <f>MIN(S3:S114)</f>
        <v>35.714285714285715</v>
      </c>
      <c r="T118" s="73"/>
    </row>
    <row r="119" spans="1:20" x14ac:dyDescent="0.25">
      <c r="S119">
        <f>MAX(S4:S114)</f>
        <v>100</v>
      </c>
      <c r="T119" s="73"/>
    </row>
    <row r="120" spans="1:20" x14ac:dyDescent="0.25">
      <c r="T120" s="73"/>
    </row>
    <row r="121" spans="1:20" x14ac:dyDescent="0.25">
      <c r="T121" s="73"/>
    </row>
    <row r="122" spans="1:20" x14ac:dyDescent="0.25">
      <c r="T122" s="73"/>
    </row>
    <row r="123" spans="1:20" x14ac:dyDescent="0.25">
      <c r="T123" s="73"/>
    </row>
    <row r="124" spans="1:20" x14ac:dyDescent="0.25">
      <c r="T124" s="73"/>
    </row>
    <row r="125" spans="1:20" x14ac:dyDescent="0.25">
      <c r="T125" s="73"/>
    </row>
    <row r="126" spans="1:20" x14ac:dyDescent="0.25">
      <c r="T126" s="73"/>
    </row>
    <row r="127" spans="1:20" x14ac:dyDescent="0.25">
      <c r="T127" s="73"/>
    </row>
    <row r="128" spans="1:20" x14ac:dyDescent="0.25">
      <c r="T128" s="73"/>
    </row>
    <row r="129" spans="20:29" x14ac:dyDescent="0.25">
      <c r="T129" s="73"/>
    </row>
    <row r="130" spans="20:29" x14ac:dyDescent="0.25">
      <c r="T130" s="73"/>
      <c r="V130" s="7"/>
      <c r="W130" s="7"/>
      <c r="X130" s="7"/>
      <c r="Y130" s="7"/>
      <c r="Z130" s="7"/>
      <c r="AA130" s="7"/>
      <c r="AB130" s="7"/>
      <c r="AC130" s="7"/>
    </row>
    <row r="131" spans="20:29" x14ac:dyDescent="0.25">
      <c r="T131" s="73"/>
      <c r="V131" s="7"/>
      <c r="W131" s="7"/>
      <c r="X131" s="7"/>
      <c r="Y131" s="7"/>
      <c r="Z131" s="7"/>
      <c r="AA131" s="7"/>
      <c r="AB131" s="7"/>
      <c r="AC131" s="7"/>
    </row>
    <row r="132" spans="20:29" x14ac:dyDescent="0.25">
      <c r="T132" s="74"/>
      <c r="U132" s="7"/>
      <c r="V132" s="7"/>
      <c r="W132" s="7"/>
      <c r="X132" s="7"/>
      <c r="Y132" s="7"/>
      <c r="Z132" s="7"/>
      <c r="AA132" s="7"/>
      <c r="AB132" s="7"/>
      <c r="AC132" s="7"/>
    </row>
    <row r="133" spans="20:29" x14ac:dyDescent="0.25">
      <c r="T133" s="75"/>
      <c r="U133" s="7"/>
    </row>
    <row r="134" spans="20:29" x14ac:dyDescent="0.25">
      <c r="T134" s="7"/>
      <c r="U134" s="7"/>
    </row>
  </sheetData>
  <autoFilter ref="A1:S117" xr:uid="{00000000-0009-0000-0000-000003000000}"/>
  <mergeCells count="34">
    <mergeCell ref="Y3:AB3"/>
    <mergeCell ref="A1:A2"/>
    <mergeCell ref="B1:B2"/>
    <mergeCell ref="C1:C2"/>
    <mergeCell ref="D1:D2"/>
    <mergeCell ref="E1:E2"/>
    <mergeCell ref="F1:F2"/>
    <mergeCell ref="G1:G2"/>
    <mergeCell ref="R1:R2"/>
    <mergeCell ref="S1:S2"/>
    <mergeCell ref="F3:F5"/>
    <mergeCell ref="V3:X3"/>
    <mergeCell ref="F48:F51"/>
    <mergeCell ref="F7:F9"/>
    <mergeCell ref="F10:F12"/>
    <mergeCell ref="F13:F14"/>
    <mergeCell ref="F16:F17"/>
    <mergeCell ref="F18:F20"/>
    <mergeCell ref="F22:F23"/>
    <mergeCell ref="F26:F27"/>
    <mergeCell ref="F31:F32"/>
    <mergeCell ref="F36:F37"/>
    <mergeCell ref="F39:F43"/>
    <mergeCell ref="F45:F47"/>
    <mergeCell ref="F97:F98"/>
    <mergeCell ref="F104:F105"/>
    <mergeCell ref="F107:F108"/>
    <mergeCell ref="F109:F110"/>
    <mergeCell ref="F53:F54"/>
    <mergeCell ref="F55:F57"/>
    <mergeCell ref="F59:F60"/>
    <mergeCell ref="F62:F64"/>
    <mergeCell ref="F69:F71"/>
    <mergeCell ref="F90:F95"/>
  </mergeCells>
  <hyperlinks>
    <hyperlink ref="B7" location="'Initial Search'!A6" display="'Initial Search'!A6" xr:uid="{8769C10E-2618-4A1D-898B-E998572810FE}"/>
    <hyperlink ref="B6" location="'Initial Search'!A4" display="'Initial Search'!A4" xr:uid="{C9D5EFF5-4AEB-4DC6-8B7F-DD5FBB62D873}"/>
    <hyperlink ref="B4" location="'Initial Search'!A3" display="'Initial Search'!A3" xr:uid="{F99D5ECE-1624-4E8B-A77C-B1C14E2352C7}"/>
    <hyperlink ref="B3" location="'Initial Search'!A90" display="'Initial Search'!A90" xr:uid="{EE21B76E-8CB2-4347-AD74-C44790364EDE}"/>
    <hyperlink ref="B8" location="'Initial Search'!A113" display="'Initial Search'!A113" xr:uid="{5E4A9EF3-15A7-45A2-B084-EBBD7F292898}"/>
    <hyperlink ref="B9" location="'Initial Search'!A148" display="'Initial Search'!A148" xr:uid="{C057B58D-15A4-4C33-BFF9-C1670E5E77C2}"/>
    <hyperlink ref="B10" location="'Initial Search'!A8" display="'Initial Search'!A8" xr:uid="{8A080E5F-BE65-4C68-ABA0-3FCD0DDC06DB}"/>
    <hyperlink ref="B5" location="'Initial Search'!A171" display="'Initial Search'!A171" xr:uid="{7CBE203A-4588-4A68-8AA2-CDCD4C501171}"/>
    <hyperlink ref="B11:B13" location="'Initial Search'!A8" display="'Initial Search'!A8" xr:uid="{F895B60F-DA20-4389-9C77-EA733036B146}"/>
    <hyperlink ref="B11" location="'Initial Search'!A14" display="'Initial Search'!A14" xr:uid="{9C081E03-3ED9-409E-820F-575E172528BF}"/>
    <hyperlink ref="B12" location="'Initial Search'!A86" display="'Initial Search'!A86" xr:uid="{EF3D152B-E61C-4696-93BC-43164B64AEB7}"/>
    <hyperlink ref="B13" location="'Initial Search'!A10" display="'Initial Search'!A10" xr:uid="{F8927F87-DA5F-47B9-81C0-38B205CF8486}"/>
    <hyperlink ref="B14:B15" location="'Initial Search'!A8" display="'Initial Search'!A8" xr:uid="{BFE23BEF-28CE-4462-B27F-9749392D2ACF}"/>
    <hyperlink ref="B14" location="'Initial Search'!A172" display="'Initial Search'!A172" xr:uid="{49539DFE-DA9D-4C5C-9B00-943F67023559}"/>
    <hyperlink ref="B15" location="'Initial Search'!A11" display="'Initial Search'!A11" xr:uid="{89AFE47E-6774-4E58-BBF9-8A2AFB61B2E2}"/>
    <hyperlink ref="B16:B17" location="'Initial Search'!A91" display="'Initial Search'!A91" xr:uid="{B1E16D02-A127-4D8A-92AB-296A86EEFB90}"/>
    <hyperlink ref="B16" location="'Initial Search'!A104" display="'Initial Search'!A104" xr:uid="{E4A0D40C-0658-45A6-9904-9306E87B3114}"/>
    <hyperlink ref="B17" location="'Initial Search'!A235" display="'Initial Search'!A235" xr:uid="{4050FA07-DDEA-48BD-B434-37D99638DE61}"/>
    <hyperlink ref="B18:B20" location="'Initial Search'!A15" display="'Initial Search'!A15" xr:uid="{7108C29B-FEF2-4A64-A352-4BFB1E654A25}"/>
    <hyperlink ref="B18" location="'Initial Search'!A224" display="'Initial Search'!A224" xr:uid="{FF3E0F40-104B-4D51-9B9D-A1049236DB56}"/>
    <hyperlink ref="B19" location="'Initial Search'!A239" display="'Initial Search'!A239" xr:uid="{3841A6E1-9423-4FD2-9E89-339FF3787E27}"/>
    <hyperlink ref="B20" location="'Initial Search'!A256" display="'Initial Search'!A256" xr:uid="{F57452F1-66EE-4A87-AC8E-BE69A773CD88}"/>
    <hyperlink ref="B21" location="'Initial Search'!A17" display="'Initial Search'!A17" xr:uid="{BD628EF9-C1D4-493C-B86B-D4C9BB49C228}"/>
    <hyperlink ref="B22:B23" location="'Initial Search'!A17" display="'Initial Search'!A17" xr:uid="{D4EC6AD9-B139-4134-AF4C-2FAED32E9193}"/>
    <hyperlink ref="B22" location="'Initial Search'!A30" display="'Initial Search'!A30" xr:uid="{AF8CEFFA-383B-4C7C-846C-4DC39D1438EF}"/>
    <hyperlink ref="B23" location="'Initial Search'!A107" display="'Initial Search'!A107" xr:uid="{5C33000B-6654-42DB-A1AB-56999D3148EB}"/>
    <hyperlink ref="B24" location="'Initial Search'!A18" display="'Initial Search'!A18" xr:uid="{ACCC7B0B-0515-44E4-8EE2-AD803B39C237}"/>
    <hyperlink ref="B25" location="'Initial Search'!A19" display="'Initial Search'!A19" xr:uid="{35D538C0-FA7A-4ED4-B116-021D2AEA2E9A}"/>
    <hyperlink ref="B26:B29" location="'Initial Search'!A18" display="'Initial Search'!A18" xr:uid="{990E4260-5C17-421C-98AB-B6F24CBEFFDA}"/>
    <hyperlink ref="B30" location="'Initial Search'!A220" display="'Initial Search'!A220" xr:uid="{6C8C4886-9A77-4D10-9D31-6898513040A3}"/>
    <hyperlink ref="B26" location="'Initial Search'!A130" display="'Initial Search'!A130" xr:uid="{6C3F0D45-82BB-4FE9-8ED8-2A1A9A5E843B}"/>
    <hyperlink ref="B27" location="'Initial Search'!A261" display="'Initial Search'!A261" xr:uid="{DEE28A32-50C7-4F22-B157-C051197D0129}"/>
    <hyperlink ref="B28" location="'Initial Search'!A20" display="'Initial Search'!A20" xr:uid="{F08BB466-9B05-4B82-B273-ECAAD081D4A2}"/>
    <hyperlink ref="B29" location="'Initial Search'!A205" display="'Initial Search'!A205" xr:uid="{8F466B4C-371B-446F-B18A-4F6D35E492A7}"/>
    <hyperlink ref="B32" location="'Initial Search'!A40" display="'Initial Search'!A40" xr:uid="{72F73459-73C7-4B2B-9C43-2630D2B928F8}"/>
    <hyperlink ref="B33" location="'Initial Search'!A63" display="'Initial Search'!A63" xr:uid="{9E22E827-F72B-4396-A1D2-90D2D160CD41}"/>
    <hyperlink ref="B34" location="'Initial Search'!A177" display="'Initial Search'!A177" xr:uid="{C123420D-A356-4A24-846A-0D4CE96898F3}"/>
    <hyperlink ref="B35" location="'Initial Search'!A75" display="'Initial Search'!A75" xr:uid="{FE13045A-8819-4668-9C69-622F2FB88E72}"/>
    <hyperlink ref="B36" location="'Initial Search'!A102" display="'Initial Search'!A102" xr:uid="{01F96BB0-71BA-4BC1-8782-9C4FFE0CA236}"/>
    <hyperlink ref="B38" location="'Initial Search'!A106" display="'Initial Search'!A106" xr:uid="{EE6EDBA7-4232-4376-95CA-9ED1334157C4}"/>
    <hyperlink ref="B41" location="'Initial Search'!A218" display="'Initial Search'!A218" xr:uid="{4CD26A62-5109-4CE9-9639-B4338F971D7D}"/>
    <hyperlink ref="B40" location="'Initial Search'!A160" display="'Initial Search'!A160" xr:uid="{60F8F238-01C8-4601-B4EC-F4BE76856F09}"/>
    <hyperlink ref="B39" location="'Initial Search'!A150" display="'Initial Search'!A150" xr:uid="{1290B7C3-7228-4F78-86B0-12B2694AEA12}"/>
    <hyperlink ref="B37" location="'Initial Search'!A170" display="'Initial Search'!A170" xr:uid="{6DFE80D3-E49D-4FD9-A0B1-EE3B35FCE65E}"/>
    <hyperlink ref="B74" location="'Initial Search'!A284" display="'Initial Search'!A284" xr:uid="{DC9A0874-CF2A-48EB-BE3C-D1DDE0F2C3F6}"/>
    <hyperlink ref="B42" location="'Initial Search'!A256" display="'Initial Search'!A256" xr:uid="{6EF10129-4ABE-40B4-9ED0-EA50FF5CE104}"/>
    <hyperlink ref="B44" location="'Initial Search'!A218" display="'Initial Search'!A218" xr:uid="{63395638-D40E-438B-8585-BFDEB5858308}"/>
    <hyperlink ref="B45" location="'Initial Search'!A225" display="'Initial Search'!A225" xr:uid="{F1BF5BBB-DC9C-4466-AAC0-F86F2A879AE0}"/>
    <hyperlink ref="B47" location="'Initial Search'!A246" display="'Initial Search'!A246" xr:uid="{4CB696CB-5482-44B9-BBEA-921F628B62CF}"/>
    <hyperlink ref="B48" location="'Initial Search'!A115" display="'Initial Search'!A115" xr:uid="{1256EE31-CC4E-4B69-A519-7A24C51DC713}"/>
    <hyperlink ref="B49" location="'Initial Search'!A182" display="'Initial Search'!A182" xr:uid="{0FFBD383-7631-4A0E-8868-5C310652B750}"/>
    <hyperlink ref="B50" location="'Initial Search'!A221" display="'Initial Search'!A221" xr:uid="{308EDC8E-2857-4059-B9D9-AEC816A04862}"/>
    <hyperlink ref="B51" location="'Initial Search'!A108" display="'Initial Search'!A108" xr:uid="{AA8550D1-FA6A-4F49-A4D3-5B6096E5EA70}"/>
    <hyperlink ref="B52" location="'Initial Search'!A229" display="'Initial Search'!A229" xr:uid="{51AE6A58-55EA-4220-A8B7-115255E25F9B}"/>
    <hyperlink ref="B54" location="'Initial Search'!A111" display="'Initial Search'!A111" xr:uid="{00FA4612-6C7D-42DD-8F3B-EB6313B875B7}"/>
    <hyperlink ref="B55" location="'Initial Search'!A238" display="'Initial Search'!A238" xr:uid="{948D4E21-C991-41E3-8248-942448959360}"/>
    <hyperlink ref="B58" location="'Initial Search'!A131" display="'Initial Search'!A131" xr:uid="{28ADF4D2-B61B-40D8-9FA8-11CA8CEC43E3}"/>
    <hyperlink ref="B59" location="'Initial Search'!A154" display="'Initial Search'!A154" xr:uid="{D5913796-7333-47F4-A92C-7B6CF51329B1}"/>
    <hyperlink ref="B61" location="'Initial Search'!A183" display="'Initial Search'!A183" xr:uid="{4715A77D-736C-4B70-B534-2FD5B928744B}"/>
    <hyperlink ref="B62" location="'Initial Search'!A184" display="'Initial Search'!A184" xr:uid="{002A5202-F4F7-448E-BFEE-DFCF1F3E7FDF}"/>
    <hyperlink ref="B65" location="'Initial Search'!A199" display="'Initial Search'!A199" xr:uid="{CD007F09-D89C-40C7-8D9D-0F576BF54E3A}"/>
    <hyperlink ref="B66" location="'Initial Search'!A232" display="'Initial Search'!A232" xr:uid="{E2C8520C-332E-4118-84DF-7959A03CAD75}"/>
    <hyperlink ref="B67" location="'Initial Search'!A243" display="'Initial Search'!A243" xr:uid="{0A504C94-DF6C-4442-B21D-F9D470BEF0EE}"/>
    <hyperlink ref="B68" location="'Initial Search'!A251" display="'Initial Search'!A251" xr:uid="{E0843571-3E42-43B5-A372-7580AF074401}"/>
    <hyperlink ref="B70" location="'Initial Search'!A252" display="'Initial Search'!A252" xr:uid="{DDFBF17E-1510-4127-B698-2BD7A26D889E}"/>
    <hyperlink ref="B72" location="'Initial Search'!A277" display="'Initial Search'!A277" xr:uid="{7DB1ADDF-9E2F-4893-8A1D-27B824EBFAFA}"/>
    <hyperlink ref="B73" location="'Initial Search'!A280" display="'Initial Search'!A280" xr:uid="{39C158DA-A43C-46E3-A8E4-2769F862DE27}"/>
    <hyperlink ref="B46" location="'Initial Search'!A241" display="'Initial Search'!A241" xr:uid="{23E58079-EF95-4C8D-BC8B-90671DA60451}"/>
    <hyperlink ref="B63" location="'Initial Search'!A283" display="'Initial Search'!A283" xr:uid="{E06D74E5-A6BD-4FF6-8030-557981878415}"/>
    <hyperlink ref="B75" location="'Initial Search'!A164" display="'Initial Search'!A164" xr:uid="{40E787BA-EFD8-40B8-BE18-0F4469D005F6}"/>
    <hyperlink ref="B56" location="'Initial Search'!A290" display="'Initial Search'!A290" xr:uid="{9E3AD4EA-8394-4D0D-8935-3E3035F0238C}"/>
    <hyperlink ref="B78" location="'Initial Search'!A291" display="'Initial Search'!A291" xr:uid="{7763A79D-22C0-44B2-BD57-AC1E1DB6DA1D}"/>
    <hyperlink ref="B64" location="'Initial Search'!A286" display="'Initial Search'!A286" xr:uid="{C11086DD-B018-4DF1-B6B7-8D174FB6BA02}"/>
    <hyperlink ref="B69" location="'Initial Search'!A202" display="'Initial Search'!A202" xr:uid="{B8CE5E2B-0289-415D-90BC-F3951762B4D8}"/>
    <hyperlink ref="B76" location="'Initial Search'!A98" display="'Initial Search'!A98" xr:uid="{6F615B7A-AB50-42AE-B4C1-715551DD6478}"/>
    <hyperlink ref="B77" location="'Initial Search'!A204" display="'Initial Search'!A204" xr:uid="{96FFE3F6-9B6D-47C6-B578-6928440DD9BA}"/>
    <hyperlink ref="C77" location="'Feature Study'!A74" display="'Feature Study'!A74" xr:uid="{8904AA78-9ED1-4F95-898A-DC9F0C5CBAEB}"/>
    <hyperlink ref="C3" location="'Feature Study'!A6" display="'Feature Study'!A6" xr:uid="{7EFA37F7-4663-45D6-86C4-80B7BB235082}"/>
    <hyperlink ref="C4:C11" location="'Feature Study'!A6" display="'Feature Study'!A6" xr:uid="{B883A73D-2269-4B89-9FD1-501F44FB9043}"/>
    <hyperlink ref="C6" location="'Feature Study'!A10" display="'Feature Study'!A10" xr:uid="{62648113-A3B2-463D-8BD1-547AF60F4642}"/>
    <hyperlink ref="C4" location="'Feature Study'!A7" display="'Feature Study'!A7" xr:uid="{90C0483B-D3FF-4FBD-86F7-3388CFC15D5C}"/>
    <hyperlink ref="C5" location="'Feature Study'!A8" display="'Feature Study'!A8" xr:uid="{160639DF-33F3-4C91-9944-159B63FC8F4B}"/>
    <hyperlink ref="C7" location="'Feature Study'!A11" display="'Feature Study'!A11" xr:uid="{A8943D1F-B5F1-4780-9121-0D862CEB0359}"/>
    <hyperlink ref="C8" location="'Feature Study'!A13" display="'Feature Study'!A13" xr:uid="{848445FF-9440-49FA-8053-F52783D9A7BD}"/>
    <hyperlink ref="C9" location="'Feature Study'!A14" display="'Feature Study'!A14" xr:uid="{46A818E3-65C6-4627-A55B-1BFCE4DCD81F}"/>
    <hyperlink ref="C10" location="'Feature Study'!A17" display="'Feature Study'!A17" xr:uid="{8E95D698-83EA-4BE8-A035-95AB385D3C4D}"/>
    <hyperlink ref="C11" location="'Feature Study'!A18" display="'Feature Study'!A18" xr:uid="{A042EA93-18D0-4F20-AA23-17641AA6C99A}"/>
    <hyperlink ref="C12" location="'Feature Study'!A19" display="'Feature Study'!A19" xr:uid="{CB40AA20-7D12-44D9-86DE-1E588F3394B8}"/>
    <hyperlink ref="C56" location="'Feature Study'!A96" display="'Feature Study'!A96" xr:uid="{D0F2BDBA-9B41-479C-81B4-06A7A9752DD1}"/>
    <hyperlink ref="C55" location="'Feature Study'!A95" display="'Feature Study'!A95" xr:uid="{834224FC-017C-4187-9828-92C092D2FE1A}"/>
    <hyperlink ref="B80" location="'Initial Search'!A300" display="'Initial Search'!A300" xr:uid="{8E394B60-A1B8-4673-930E-C67A77E2A290}"/>
    <hyperlink ref="C78" location="'Feature Study'!A143" display="'Feature Study'!A143" xr:uid="{14A82AFB-54EB-496C-81E3-E46C0C8F0654}"/>
    <hyperlink ref="B43" location="'Initial Search'!A293" display="'Initial Search'!A293" xr:uid="{F178CEAD-515D-4569-BE43-21C773C6EC97}"/>
    <hyperlink ref="C43" location="'Feature Study'!A146" display="'Feature Study'!A146" xr:uid="{4409D8AB-FC9F-4959-88DC-CEF5F8700F4D}"/>
    <hyperlink ref="C39" location="'Feature Study'!A66" display="'Feature Study'!A66" xr:uid="{A4466430-EE11-4836-98C9-A38F5C842E7F}"/>
    <hyperlink ref="C40:C42" location="'Feature Study'!A66" display="'Feature Study'!A66" xr:uid="{52F8040C-F4C2-42C0-847F-F6074CBE7F38}"/>
    <hyperlink ref="C40" location="'Feature Study'!A67" display="'Feature Study'!A67" xr:uid="{61E9308F-9190-44C3-B106-FAEBC180C321}"/>
    <hyperlink ref="C41" location="'Feature Study'!A68" display="'Feature Study'!A68" xr:uid="{D5B91E40-5535-4C47-8E74-39525B5DDDAF}"/>
    <hyperlink ref="C42" location="'Feature Study'!A70" display="'Feature Study'!A70" xr:uid="{BECD8F18-7950-4786-A9DC-C0D10C94E8F5}"/>
    <hyperlink ref="B57" location="'Initial Search'!A298" display="'Initial Search'!A298" xr:uid="{29D5BEB7-4484-4DF8-9EC9-72810730D7A3}"/>
    <hyperlink ref="C57" location="'Feature Study'!A150" display="'Feature Study'!A150" xr:uid="{B9B0B5A5-13EE-4057-999A-15D27FD5AE38}"/>
    <hyperlink ref="B71" location="'Initial Search'!A296" display="'Initial Search'!A296" xr:uid="{96146AA9-56B9-4C1C-B2F7-3F0C9FE2E8B7}"/>
    <hyperlink ref="C69" location="'Feature Study'!A129" display="'Feature Study'!A129" xr:uid="{52125181-F42A-4FAA-9D40-F335A6326014}"/>
    <hyperlink ref="C70" location="'Feature Study'!A130" display="'Feature Study'!A130" xr:uid="{7A3AB7E2-4525-4AD3-842E-64F600610B1D}"/>
    <hyperlink ref="C71" location="'Feature Study'!A147" display="'Feature Study'!A147" xr:uid="{5ECE5F9F-EA13-47AE-8C7E-F748C5959AB2}"/>
    <hyperlink ref="B79" location="'Initial Search'!A299" display="'Initial Search'!A299" xr:uid="{77A78148-00DE-4281-A335-CEF892097161}"/>
    <hyperlink ref="C79" location="'Feature Study'!A149" display="'Feature Study'!A149" xr:uid="{86640CB0-3CB4-442F-91D3-6125DE496083}"/>
    <hyperlink ref="B81" location="'Initial Search'!A301" display="'Initial Search'!A301" xr:uid="{CA3762CA-9BA0-4560-A04F-FF28F28BE68F}"/>
    <hyperlink ref="C80:C81" location="'Feature Study'!A149" display="'Feature Study'!A149" xr:uid="{F9ADF7D4-F95F-49CF-A18F-C42818E34512}"/>
    <hyperlink ref="C80" location="'Feature Study'!A150" display="'Feature Study'!A150" xr:uid="{49E98789-20C6-44FC-A571-A2AC4F5BA8C4}"/>
    <hyperlink ref="C81" location="'Feature Study'!A151" display="'Feature Study'!A151" xr:uid="{E4123523-68E2-49AB-8F4B-CEBFAA7DE3CE}"/>
    <hyperlink ref="B82" location="'Initial Search'!A302" display="'Initial Search'!A302" xr:uid="{DB7D89BD-79FC-4106-8AC2-5F0EEB50F401}"/>
    <hyperlink ref="C82" location="'Feature Study'!A152" display="'Feature Study'!A152" xr:uid="{3C88AA62-0552-46E1-A47B-93AF3ED208BF}"/>
    <hyperlink ref="C13" location="'Feature Study'!A21" display="'Feature Study'!A21" xr:uid="{0012F768-BF55-47F5-801C-0B4CE40A1016}"/>
    <hyperlink ref="C14" location="'Feature Study'!A22" display="'Feature Study'!A22" xr:uid="{FC96D0E9-45F3-4521-B05F-4FDAD19CAB27}"/>
    <hyperlink ref="C15:C17" location="'Feature Study'!A22" display="'Feature Study'!A22" xr:uid="{677658A3-7FAC-4A70-AD91-68E2222D8DDC}"/>
    <hyperlink ref="C15" location="'Feature Study'!A23" display="'Feature Study'!A23" xr:uid="{F863B758-C806-409C-ADEC-C571CDD98D96}"/>
    <hyperlink ref="C16" location="'Feature Study'!A26" display="'Feature Study'!A26" xr:uid="{647E2AAC-9DBE-473D-BC4D-CF4C64F7D7AC}"/>
    <hyperlink ref="C17" location="'Feature Study'!A29" display="'Feature Study'!A29" xr:uid="{703DFA79-1069-4C97-A715-D9A16FD77BBB}"/>
    <hyperlink ref="C18:C20" location="'Feature Study'!A22" display="'Feature Study'!A22" xr:uid="{6619A3E0-ABD2-48FE-8708-C4E968B9CDF7}"/>
    <hyperlink ref="C18" location="'Feature Study'!A32" display="'Feature Study'!A32" xr:uid="{CDEC5D67-0E23-409E-980F-6F9F1B923CA9}"/>
    <hyperlink ref="C19" location="'Feature Study'!A33" display="'Feature Study'!A33" xr:uid="{A4311DF2-1855-47F6-99D5-4994C39B3863}"/>
    <hyperlink ref="C20" location="'Feature Study'!A35" display="'Feature Study'!A35" xr:uid="{0FA446C0-E85B-4E24-A0CF-97A434D33DAC}"/>
    <hyperlink ref="C21" location="'Feature Study'!A36" display="'Feature Study'!A36" xr:uid="{2BB38738-C95C-4D46-A88C-5B0D26A7E8D4}"/>
    <hyperlink ref="C22:C23" location="'Feature Study'!A36" display="'Feature Study'!A36" xr:uid="{44ADAC11-C3F9-44FA-BFDB-C52642712D7D}"/>
    <hyperlink ref="C23" location="'Feature Study'!A39" display="'Feature Study'!A39" xr:uid="{8E6E3F59-EA55-4F0A-BBF8-3ED9BC8A26E8}"/>
    <hyperlink ref="C22" location="'Feature Study'!A37" display="'Feature Study'!A37" xr:uid="{5472DA71-6E37-43F0-A5B4-14946AA2D8B3}"/>
    <hyperlink ref="C24:C26" location="'Feature Study'!A36" display="'Feature Study'!A36" xr:uid="{72F5757F-03CA-4A6A-8958-89039A7CEF24}"/>
    <hyperlink ref="C24" location="'Feature Study'!A40" display="'Feature Study'!A40" xr:uid="{A0A4A1E3-7FBC-4950-B1CC-7D90525CCB7B}"/>
    <hyperlink ref="C25" location="'Feature Study'!A42" display="'Feature Study'!A42" xr:uid="{399A0991-83A6-4E5A-B6B7-27847BE2CAC7}"/>
    <hyperlink ref="C26" location="'Feature Study'!A44" display="'Feature Study'!A44" xr:uid="{53C5CAF4-992C-4AE9-AFDC-7F1657096486}"/>
    <hyperlink ref="C27:C30" location="'Feature Study'!A36" display="'Feature Study'!A36" xr:uid="{8416E3DC-086B-4271-8E90-4183E66567D3}"/>
    <hyperlink ref="C27" location="'Feature Study'!A45" display="'Feature Study'!A45" xr:uid="{53C14663-EF69-4066-9340-B2266DA407D7}"/>
    <hyperlink ref="C28" location="'Feature Study'!A46" display="'Feature Study'!A46" xr:uid="{63F10B60-E343-4D25-82EC-2020F9040E5B}"/>
    <hyperlink ref="C29" location="'Feature Study'!A47" display="'Feature Study'!A47" xr:uid="{3C05CD9C-F891-4507-A500-648604459495}"/>
    <hyperlink ref="C30" location="'Feature Study'!A50" display="'Feature Study'!A50" xr:uid="{8FCB8B9E-7B01-459E-A25E-D55C00A53BD8}"/>
    <hyperlink ref="C31:C33" location="'Feature Study'!A36" display="'Feature Study'!A36" xr:uid="{46022EB0-305A-48B3-997F-B4F8F054D2C9}"/>
    <hyperlink ref="C31" location="'Feature Study'!A54" display="'Feature Study'!A54" xr:uid="{79A5F7C2-5013-4C41-9A6C-E01C90185FD5}"/>
    <hyperlink ref="C32" location="'Feature Study'!A55" display="'Feature Study'!A55" xr:uid="{1513B3CD-D46E-4647-8E8D-1A008413B2CA}"/>
    <hyperlink ref="C33" location="'Feature Study'!A57" display="'Feature Study'!A57" xr:uid="{6E9A6008-2356-4A2E-9F42-CB8B1248C38F}"/>
    <hyperlink ref="C34:C36" location="'Feature Study'!A36" display="'Feature Study'!A36" xr:uid="{CC2D22EB-6144-4874-BF14-060A67A71975}"/>
    <hyperlink ref="C35" location="'Feature Study'!A60" display="'Feature Study'!A60" xr:uid="{DB747E13-F729-475D-8335-1581C9BACF6F}"/>
    <hyperlink ref="C34" location="'Feature Study'!A58" display="'Feature Study'!A58" xr:uid="{31CCC1C8-97C0-4A07-818A-933565642807}"/>
    <hyperlink ref="C36" location="'Feature Study'!A63" display="'Feature Study'!A63" xr:uid="{A9CFBB3E-3C3C-438B-83D6-9CC2A99832A5}"/>
    <hyperlink ref="C37:C38" location="'Feature Study'!A36" display="'Feature Study'!A36" xr:uid="{B92F164A-FBAE-46FB-BF60-AAE6E8A09193}"/>
    <hyperlink ref="C37" location="'Feature Study'!A64" display="'Feature Study'!A64" xr:uid="{1693D7DA-956A-4C64-9A06-8CEA98A2C40F}"/>
    <hyperlink ref="C38" location="'Feature Study'!A65" display="'Feature Study'!A65" xr:uid="{3DEF4FE9-C5BB-419D-B02E-8366A8D0AF85}"/>
    <hyperlink ref="C44" location="'Feature Study'!A71" display="'Feature Study'!A71" xr:uid="{4A9CE56A-53ED-4E59-AFA3-A8B50A125FF4}"/>
    <hyperlink ref="C45:C47" location="'Feature Study'!A71" display="'Feature Study'!A71" xr:uid="{F866A740-8601-4E6F-B7D3-A8AD9EF2EA85}"/>
    <hyperlink ref="C47" location="'Feature Study'!A80" display="'Feature Study'!A80" xr:uid="{7D827E90-DB18-427D-925E-F8F422F1B777}"/>
    <hyperlink ref="C48:C50" location="'Feature Study'!A71" display="'Feature Study'!A71" xr:uid="{BEB7B2ED-B882-4BAA-84E0-DF54A1719E57}"/>
    <hyperlink ref="C51" location="'Feature Study'!A89" display="'Feature Study'!A89" xr:uid="{04EBD665-BEE4-4AEC-BE2D-A7FB19E14BFC}"/>
    <hyperlink ref="C48" location="'Feature Study'!A81" display="'Feature Study'!A81" xr:uid="{E03EF459-4867-40DA-8E34-E79AE10F185C}"/>
    <hyperlink ref="C49" location="'Feature Study'!A82" display="'Feature Study'!A82" xr:uid="{F02059F2-42E6-492A-931D-F377F922F769}"/>
    <hyperlink ref="C50" location="'Feature Study'!A87" display="'Feature Study'!A87" xr:uid="{332E3BDC-A2DF-4586-B619-AC92169BD2FA}"/>
    <hyperlink ref="C76" location="'Feature Study'!A90" display="'Feature Study'!A90" xr:uid="{2363EB1F-52C7-4077-98EE-8F3C27EA2F7E}"/>
    <hyperlink ref="C52:C54" location="'Feature Study'!A89" display="'Feature Study'!A89" xr:uid="{CC7AF432-C4E2-4A9A-B50C-789F50AFDA62}"/>
    <hyperlink ref="C52" location="'Feature Study'!A91" display="'Feature Study'!A91" xr:uid="{94837940-10C1-49AB-A5BB-3BF9E97A8586}"/>
    <hyperlink ref="C54" location="'Feature Study'!A181" display="'Feature Study'!A181" xr:uid="{1192A0E1-19CF-4796-9BC5-A1C8700ECCF9}"/>
    <hyperlink ref="C58" location="'Feature Study'!A101" display="'Feature Study'!A101" xr:uid="{FE257923-9D67-4270-ADC0-66028FDBA05F}"/>
    <hyperlink ref="C59" location="'Feature Study'!A106" display="'Feature Study'!A106" xr:uid="{99B21323-51BD-4B5A-AD99-B585A0D6A367}"/>
    <hyperlink ref="C61" location="'Feature Study'!A109" display="'Feature Study'!A109" xr:uid="{5C07C996-AB25-41C7-9703-6F97B054C3F5}"/>
    <hyperlink ref="C62" location="'Feature Study'!A110" display="'Feature Study'!A110" xr:uid="{E55C7F07-4EE3-491F-94FE-C8085FD72E57}"/>
    <hyperlink ref="C63" location="'Feature Study'!A116" display="'Feature Study'!A116" xr:uid="{F6ED969C-2C79-4111-AFEB-0329ADE09ACF}"/>
    <hyperlink ref="C64:C66" location="'Feature Study'!A102" display="'Feature Study'!A102" xr:uid="{A52E60E3-A55C-40F6-890C-6A87802BE6D4}"/>
    <hyperlink ref="C64" location="'Feature Study'!A117" display="'Feature Study'!A117" xr:uid="{10EFEE99-0D7F-45C1-84B4-A0FA0ECB5A14}"/>
    <hyperlink ref="C65" location="'Feature Study'!A118" display="'Feature Study'!A118" xr:uid="{868A5D95-50B7-4DAB-AF4F-72646C5610A5}"/>
    <hyperlink ref="C67:C68" location="'Feature Study'!A102" display="'Feature Study'!A102" xr:uid="{5388E969-0004-48FD-883B-FF30007F4161}"/>
    <hyperlink ref="C66" location="'Feature Study'!A124" display="'Feature Study'!A124" xr:uid="{7985A5D5-F0A4-4898-8C5A-884331F76025}"/>
    <hyperlink ref="C67" location="'Feature Study'!A126" display="'Feature Study'!A126" xr:uid="{7E72E61E-C904-47D2-B383-424B16FE1B08}"/>
    <hyperlink ref="C68" location="'Feature Study'!A128" display="'Feature Study'!A128" xr:uid="{18CB3FBA-01E2-4BD0-B23D-41A86F5F9228}"/>
    <hyperlink ref="C72" location="'Feature Study'!A139" display="'Feature Study'!A139" xr:uid="{156BBF4C-6C8E-4AEF-89A0-3D83A99D6C35}"/>
    <hyperlink ref="C73:C75" location="'Feature Study'!A147" display="'Feature Study'!A147" xr:uid="{8572A798-6A42-44C4-B1F1-FB892C4C8B31}"/>
    <hyperlink ref="C73" location="'Feature Study'!A140" display="'Feature Study'!A140" xr:uid="{2767AAEE-E694-459B-B3DB-69D16EC37AD8}"/>
    <hyperlink ref="C74" location="'Feature Study'!A141" display="'Feature Study'!A141" xr:uid="{27E16893-F411-430F-BEC7-60E1AC6A8329}"/>
    <hyperlink ref="C75" location="'Feature Study'!A142" display="'Feature Study'!A142" xr:uid="{FDFB9B86-3559-4CA3-AF01-80120A708E15}"/>
    <hyperlink ref="C45" location="'Feature Study'!A72" display="'Feature Study'!A72" xr:uid="{1FEEE5BA-6772-4002-A99E-5385B9702D52}"/>
    <hyperlink ref="C46" location="'Feature Study'!A73" display="'Feature Study'!A73" xr:uid="{02C5DA67-C7FA-4627-8BA0-80B1E60DCF1B}"/>
    <hyperlink ref="C60" location="'Feature Study'!A153" display="'Feature Study'!A153" xr:uid="{34A93F2C-2036-4D21-AC2C-8E88324A3A3C}"/>
    <hyperlink ref="B60" location="'Initial Search'!A303" display="'Initial Search'!A303" xr:uid="{BC34BA75-B81B-4760-BBC3-FDC347BD65EC}"/>
    <hyperlink ref="B83" location="'Initial Search'!A271" display="'Initial Search'!A271" xr:uid="{24856048-BDC7-4ED9-B034-09C61EF4D10A}"/>
    <hyperlink ref="C83" location="'Feature Study'!A154" display="'Feature Study'!A154" xr:uid="{A502AC46-8EDB-4F01-AC71-60C078CFD710}"/>
    <hyperlink ref="C84:C85" location="'Feature Study'!A152" display="'Feature Study'!A152" xr:uid="{4ED2690F-2B58-4456-8DBC-E30E8CBA6C1E}"/>
    <hyperlink ref="B84:B85" location="'Initial Search'!A302" display="'Initial Search'!A302" xr:uid="{F750BDF1-6804-4B8B-A769-FD6F42C662B2}"/>
    <hyperlink ref="C84" location="'Feature Study'!A155" display="'Feature Study'!A155" xr:uid="{07A7A844-0595-45CB-9609-CD1B6A5C1421}"/>
    <hyperlink ref="C85" location="'Feature Study'!A156" display="'Feature Study'!A156" xr:uid="{14E34831-23F7-484D-8EEA-A349ECB579D2}"/>
    <hyperlink ref="B84" location="'Initial Search'!A312" display="'Initial Search'!A312" xr:uid="{4EE1AE20-C095-4BBE-977F-0039803B70E4}"/>
    <hyperlink ref="B85" location="'Initial Search'!A313" display="'Initial Search'!A313" xr:uid="{70BAF5A7-F164-4DDA-B608-065A74F00441}"/>
    <hyperlink ref="B31" location="'Initial Search'!A39" display="'Initial Search'!A39" xr:uid="{5081C007-7C95-4C89-84E0-70493862E0E5}"/>
    <hyperlink ref="B86:B107" location="'Initial Search'!A302" display="'Initial Search'!A302" xr:uid="{142CCBF4-F9A6-40B2-A49E-91ADE1803E17}"/>
    <hyperlink ref="C86" location="'Feature Study'!A77" display="'Feature Study'!A77" xr:uid="{7548B57D-1372-4E16-8FAA-D80904627E4A}"/>
    <hyperlink ref="C107" location="'Feature Study'!A169" display="'Feature Study'!A169" xr:uid="{7D0085F9-F637-457D-93A6-EB95DBF05AA0}"/>
    <hyperlink ref="B87" location="'Initial Search'!A260" display="'Initial Search'!A260" xr:uid="{E3A4F732-8B11-4A01-87B7-D5EC3240ECDD}"/>
    <hyperlink ref="C87" location="'Feature Study'!A133" display="'Feature Study'!A133" xr:uid="{F41F9C5A-614E-4BA6-8D6A-BCC32BB661D2}"/>
    <hyperlink ref="B88" location="'Initial Search'!A126" display="'Initial Search'!A126" xr:uid="{ADD2B2AC-E228-4129-B37E-18EC3B485779}"/>
    <hyperlink ref="C88" location="'Feature Study'!A159" display="'Feature Study'!A159" xr:uid="{995A2077-5F9D-4E23-9D20-3E02A129096B}"/>
    <hyperlink ref="B89" location="'Initial Search'!A134" display="'Initial Search'!A134" xr:uid="{7D54745C-D81C-44FD-8ECD-AA48B7BE8A4F}"/>
    <hyperlink ref="C89" location="'Feature Study'!A102" display="'Feature Study'!A102" xr:uid="{C485401E-13CB-47A3-8F75-F6C365EF126C}"/>
    <hyperlink ref="B90" location="'Initial Search'!A87" display="'Initial Search'!A87" xr:uid="{4B74A06B-E2B3-42A3-AADE-697C7E7306CE}"/>
    <hyperlink ref="B94" location="'Initial Search'!A355" display="'Initial Search'!A355" xr:uid="{40AA7CCD-D8ED-4A40-8A7F-EA0B11303B30}"/>
    <hyperlink ref="C90" location="'Feature Study'!A83" display="'Feature Study'!A83" xr:uid="{4C80D18D-CBB1-4EF8-8EFE-66D08261924A}"/>
    <hyperlink ref="C94" location="'Feature Study'!A175" display="'Feature Study'!A175" xr:uid="{E3C49F4E-B105-4F7F-A7CE-E29D2AE7A5AC}"/>
    <hyperlink ref="B96" location="'Initial Search'!A151" display="'Initial Search'!A151" xr:uid="{C5845EC4-5EC4-4D1F-8F7B-29590B234E78}"/>
    <hyperlink ref="C96" location="'Feature Study'!A105" display="'Feature Study'!A105" xr:uid="{1EA84DA4-27D4-4A97-8A23-41E9995CE5CF}"/>
    <hyperlink ref="B97" location="'Initial Search'!A248" display="'Initial Search'!A248" xr:uid="{960401BE-9477-4AA4-9F45-CCA30ACA3E23}"/>
    <hyperlink ref="C97" location="'Feature Study'!A161" display="'Feature Study'!A161" xr:uid="{CAFB848D-C05A-4375-94EB-5D316B8B8244}"/>
    <hyperlink ref="B99" location="'Initial Search'!A268" display="'Initial Search'!A268" xr:uid="{F9FCD1DD-A786-4FFC-82DE-FAF91C813D3F}"/>
    <hyperlink ref="C99" location="'Feature Study'!A137" display="'Feature Study'!A137" xr:uid="{0A74C36A-B577-4402-8C50-86C3E177B953}"/>
    <hyperlink ref="B100" location="'Initial Search'!A331" display="'Initial Search'!A331" xr:uid="{6C522E0B-DD3F-4BBC-8927-C794DED0EC09}"/>
    <hyperlink ref="C100" location="'Feature Study'!A137" display="'Feature Study'!A137" xr:uid="{9F0F10A8-103F-431C-A2D2-34E6C5C37311}"/>
    <hyperlink ref="B101" location="'Initial Search'!A322" display="'Initial Search'!A322" xr:uid="{0EE7147F-D9E1-4710-B3C6-E14D60E0542A}"/>
    <hyperlink ref="C101" location="'Feature Study'!A165" display="'Feature Study'!A165" xr:uid="{82A5CCBB-A3B0-43C5-9545-A30B130A1822}"/>
    <hyperlink ref="B102" location="'Initial Search'!A320" display="'Initial Search'!A320" xr:uid="{839111A6-B53A-4760-94AC-696E8901452B}"/>
    <hyperlink ref="C102" location="'Feature Study'!A163" display="'Feature Study'!A163" xr:uid="{BC34CEE2-A81D-4515-BCBF-14BBBE4C015F}"/>
    <hyperlink ref="B103" location="'Initial Search'!A321" display="'Initial Search'!A321" xr:uid="{06E9CDE7-6A0F-4B74-98E6-0CB97CE85DBE}"/>
    <hyperlink ref="C103" location="'Feature Study'!A164" display="'Feature Study'!A164" xr:uid="{054C44DA-DA1E-4F0C-A96A-53B88C2CF16B}"/>
    <hyperlink ref="B104" location="'Initial Search'!A326" display="'Initial Search'!A326" xr:uid="{4D991AEE-DC30-486B-A856-EF8D6192B0C0}"/>
    <hyperlink ref="B105" location="'Initial Search'!A329" display="'Initial Search'!A329" xr:uid="{D6A5F20F-8281-4584-85D6-FDC636636B77}"/>
    <hyperlink ref="B106" location="'Initial Search'!A335" display="'Initial Search'!A335" xr:uid="{4256A901-65CB-4F77-8379-8CB923C1F248}"/>
    <hyperlink ref="C104" location="'Feature Study'!A166" display="'Feature Study'!A166" xr:uid="{11AD7358-9D5C-4560-8F21-94868BF9A9D0}"/>
    <hyperlink ref="C105" location="'Feature Study'!A167" display="'Feature Study'!A167" xr:uid="{DE72E924-2EAB-48DB-A09B-8F500E072CDA}"/>
    <hyperlink ref="C106" location="'Feature Study'!A168" display="'Feature Study'!A168" xr:uid="{80B50481-CA4D-4A3F-8AF3-057E30D207C2}"/>
    <hyperlink ref="B107" location="'Initial Search'!A295" display="'Initial Search'!A295" xr:uid="{558E08DB-2B96-4504-8591-5F2F7FD1A2D0}"/>
    <hyperlink ref="B109" location="'Initial Search'!A337" display="'Initial Search'!A337" xr:uid="{F020C413-2E28-4869-9104-0F1FE819E7E7}"/>
    <hyperlink ref="C109" location="'Feature Study'!A170" display="'Feature Study'!A170" xr:uid="{B9991F37-51DB-4949-AA30-FDBDB86A8B3A}"/>
    <hyperlink ref="B98" location="'Initial Search'!A340" display="'Initial Search'!A340" xr:uid="{C29D206D-DD32-499F-A248-54D8A6328640}"/>
    <hyperlink ref="C98" location="'Feature Study'!A161" display="'Feature Study'!A161" xr:uid="{B67CA1CB-3ECB-48C1-A7A6-847D9E9BF1A9}"/>
    <hyperlink ref="B91" location="'Initial Search'!A135" display="'Initial Search'!A135" xr:uid="{87DD940B-0426-4551-A323-46AF7301CE76}"/>
    <hyperlink ref="C91" location="'Feature Study'!A160" display="'Feature Study'!A160" xr:uid="{0FA3C330-3F77-4BCE-A8C8-4C57EF76A2E8}"/>
    <hyperlink ref="B92" location="'Initial Search'!A338" display="'Initial Search'!A338" xr:uid="{468D9884-7A79-4B32-98BD-8F32058583AD}"/>
    <hyperlink ref="B93" location="'Initial Search'!A353" display="'Initial Search'!A353" xr:uid="{0FE0970F-D036-4F6F-B5D9-3DE9B39D191D}"/>
    <hyperlink ref="C92" location="'Feature Study'!A173" display="'Feature Study'!A173" xr:uid="{8792272D-6666-46C5-9C10-811FA0549106}"/>
    <hyperlink ref="C93" location="'Feature Study'!A174" display="'Feature Study'!A174" xr:uid="{FC72A754-63A0-4D78-9A8A-0505B40F824E}"/>
    <hyperlink ref="B108" location="'Initial Search'!A339" display="'Initial Search'!A339" xr:uid="{1CD9AD0D-D386-4143-BD8E-89FF04D41139}"/>
    <hyperlink ref="C108" location="'Feature Study'!A171" display="'Feature Study'!A171" xr:uid="{45163CCE-5A16-4E9A-B9A0-A621730383BF}"/>
    <hyperlink ref="B111" location="'Initial Search'!A337" display="'Initial Search'!A337" xr:uid="{7189CAA4-A202-4DC5-B9DA-1BC7A251662C}"/>
    <hyperlink ref="C111" location="'Feature Study'!A176" display="'Feature Study'!A176" xr:uid="{5D14B50E-CB28-4C16-9943-6B597732FD3F}"/>
    <hyperlink ref="B112" location="'Initial Search'!A344" display="'Initial Search'!A344" xr:uid="{098635E8-43D2-400B-A97E-B3CB16A87489}"/>
    <hyperlink ref="C112" location="'Feature Study'!A177" display="'Feature Study'!A177" xr:uid="{356E7C17-DD5C-449A-A3B5-101DE0D537A4}"/>
    <hyperlink ref="B113" location="'Initial Search'!A346" display="'Initial Search'!A346" xr:uid="{AFC627F8-D97F-466A-904C-624622912D70}"/>
    <hyperlink ref="C113" location="'Feature Study'!A178" display="'Feature Study'!A178" xr:uid="{418FAB2C-8619-464E-86C9-D8AFB824FDF9}"/>
    <hyperlink ref="B110" location="'Initial Search'!A349" display="'Initial Search'!A349" xr:uid="{7DB02DAB-C4C7-4A50-84CA-6EC3AD64DDA9}"/>
    <hyperlink ref="C110" location="'Feature Study'!A170" display="'Feature Study'!A170" xr:uid="{88F57F83-79C2-43FF-A1D3-E0D52EFD2538}"/>
    <hyperlink ref="B53" location="'Initial Search'!A111" display="'Initial Search'!A111" xr:uid="{A709B5BB-13F9-4267-8439-D6376D707016}"/>
    <hyperlink ref="C53" location="'Feature Study'!A93" display="'Feature Study'!A93" xr:uid="{4D42BA9B-1EE2-48BB-9A13-65640C805CDC}"/>
    <hyperlink ref="B114" location="'Initial Search'!A368" display="'Initial Search'!A368" xr:uid="{4EFF2B4F-F3CE-4910-8B3C-C7D244E9691F}"/>
    <hyperlink ref="C114" location="'Feature Study'!A182" display="'Feature Study'!A182" xr:uid="{33830677-792F-498D-8B1D-594BA670421F}"/>
    <hyperlink ref="B95" location="'Initial Search'!A370" display="'Initial Search'!A370" xr:uid="{13219BFD-D569-4F2A-8AD6-81BFA28008E7}"/>
    <hyperlink ref="C95" location="'Feature Study'!A183" display="'Feature Study'!A183" xr:uid="{52163C84-CD5E-4E19-BA2B-1046F799ADFF}"/>
    <hyperlink ref="B86" location="'Initial Search'!A83" display="'Initial Search'!A83" xr:uid="{E5744E47-B9C0-40CB-867E-0A1BD6E5FAF2}"/>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95E60-FE45-4EBD-BE0A-E52ECB5ACBEA}">
  <dimension ref="A1:AG2"/>
  <sheetViews>
    <sheetView workbookViewId="0">
      <selection activeCell="Q28" sqref="Q28"/>
    </sheetView>
  </sheetViews>
  <sheetFormatPr defaultRowHeight="15" x14ac:dyDescent="0.25"/>
  <cols>
    <col min="1" max="1" width="32.140625" customWidth="1"/>
  </cols>
  <sheetData>
    <row r="1" spans="1:33" x14ac:dyDescent="0.25">
      <c r="A1" s="121" t="s">
        <v>0</v>
      </c>
      <c r="B1" s="3">
        <v>2001</v>
      </c>
      <c r="C1" s="282">
        <v>2002</v>
      </c>
      <c r="D1" s="282">
        <v>2003</v>
      </c>
      <c r="E1" s="270">
        <v>2004</v>
      </c>
      <c r="F1" s="270">
        <v>2005</v>
      </c>
      <c r="G1" s="3">
        <v>2006</v>
      </c>
      <c r="H1" s="3">
        <v>2007</v>
      </c>
      <c r="I1" s="3">
        <v>2008</v>
      </c>
      <c r="J1" s="3">
        <v>2009</v>
      </c>
      <c r="K1" s="3">
        <v>2010</v>
      </c>
      <c r="L1" s="3">
        <v>2011</v>
      </c>
      <c r="M1" s="3">
        <v>2012</v>
      </c>
      <c r="N1" s="3">
        <v>2013</v>
      </c>
      <c r="O1" s="3">
        <v>2014</v>
      </c>
      <c r="P1" s="3">
        <v>2015</v>
      </c>
      <c r="Q1" s="3">
        <v>2016</v>
      </c>
      <c r="R1" s="3">
        <v>2017</v>
      </c>
      <c r="S1" s="3">
        <v>2018</v>
      </c>
      <c r="T1" s="3">
        <v>2019</v>
      </c>
      <c r="U1" s="276">
        <v>2020</v>
      </c>
      <c r="V1" s="3">
        <v>2021</v>
      </c>
      <c r="W1" s="3"/>
      <c r="X1" s="3" t="s">
        <v>2528</v>
      </c>
      <c r="Y1" s="3"/>
      <c r="Z1" s="3"/>
      <c r="AA1" s="3"/>
      <c r="AB1" s="3"/>
      <c r="AC1" s="3"/>
      <c r="AD1" s="3"/>
      <c r="AE1" s="3"/>
      <c r="AF1" s="3"/>
    </row>
    <row r="2" spans="1:33" x14ac:dyDescent="0.25">
      <c r="A2" s="121" t="s">
        <v>2527</v>
      </c>
      <c r="B2" s="3">
        <f>COUNTIFS('Initial Search'!C:C,"2001",'Initial Search'!N:N,"Approved")</f>
        <v>1</v>
      </c>
      <c r="C2" s="282">
        <f>COUNTIFS('Initial Search'!C:C,"2002",'Initial Search'!N:N,"Approved")</f>
        <v>0</v>
      </c>
      <c r="D2" s="282">
        <f>COUNTIFS('Initial Search'!C:C,"2003",'Initial Search'!N:N,"Approved")</f>
        <v>2</v>
      </c>
      <c r="E2" s="270">
        <f>COUNTIFS('Initial Search'!C:C,"2004",'Initial Search'!N:N,"Approved")</f>
        <v>0</v>
      </c>
      <c r="F2" s="270">
        <f>COUNTIFS('Initial Search'!C:C,"2005",'Initial Search'!N:N,"Approved")</f>
        <v>3</v>
      </c>
      <c r="G2" s="3">
        <f>COUNTIFS('Initial Search'!C:C,"2006",'Initial Search'!N:N,"Approved")</f>
        <v>3</v>
      </c>
      <c r="H2" s="3">
        <f>COUNTIFS('Initial Search'!C:C,"2007",'Initial Search'!N:N,"Approved")</f>
        <v>4</v>
      </c>
      <c r="I2" s="3">
        <f>COUNTIFS('Initial Search'!C:C,"2008",'Initial Search'!N:N,"Approved")</f>
        <v>2</v>
      </c>
      <c r="J2" s="3">
        <f>COUNTIFS('Initial Search'!C:C,"2009",'Initial Search'!N:N,"Approved")</f>
        <v>7</v>
      </c>
      <c r="K2" s="3">
        <f>COUNTIFS('Initial Search'!C:C,"2010",'Initial Search'!N:N,"Approved")</f>
        <v>10</v>
      </c>
      <c r="L2" s="3">
        <f>COUNTIFS('Initial Search'!C:C,"2011",'Initial Search'!N:N,"Approved")</f>
        <v>6</v>
      </c>
      <c r="M2" s="3">
        <f>COUNTIFS('Initial Search'!C:C,"2012",'Initial Search'!N:N,"Approved")</f>
        <v>5</v>
      </c>
      <c r="N2" s="3">
        <f>COUNTIFS('Initial Search'!C:C,"2013",'Initial Search'!N:N,"Approved")</f>
        <v>8</v>
      </c>
      <c r="O2" s="3">
        <f>COUNTIFS('Initial Search'!C:C,"2014",'Initial Search'!N:N,"Approved")</f>
        <v>7</v>
      </c>
      <c r="P2" s="3">
        <f>COUNTIFS('Initial Search'!C:C,"2015",'Initial Search'!N:N,"Approved")</f>
        <v>7</v>
      </c>
      <c r="Q2" s="3">
        <f>COUNTIFS('Initial Search'!C:C,"2016",'Initial Search'!N:N,"Approved")</f>
        <v>6</v>
      </c>
      <c r="R2" s="3">
        <f>COUNTIFS('Initial Search'!C:C,"2017",'Initial Search'!N:N,"Approved")</f>
        <v>7</v>
      </c>
      <c r="S2" s="3">
        <f>COUNTIFS('Initial Search'!C:C,"2018",'Initial Search'!N:N,"Approved")</f>
        <v>6</v>
      </c>
      <c r="T2" s="3">
        <f>COUNTIFS('Initial Search'!C:C,"2019",'Initial Search'!N:N,"Approved")</f>
        <v>8</v>
      </c>
      <c r="U2" s="276">
        <f>COUNTIFS('Initial Search'!C:C,"2020",'Initial Search'!N:N,"Approved")</f>
        <v>9</v>
      </c>
      <c r="V2" s="3">
        <f>COUNTIFS('Initial Search'!C:C,"2021",'Initial Search'!N:N,"Approved")</f>
        <v>4</v>
      </c>
      <c r="W2" s="3"/>
      <c r="X2" s="3">
        <f>SUM(B2:V2)</f>
        <v>105</v>
      </c>
      <c r="Y2" s="3"/>
      <c r="Z2" s="3"/>
      <c r="AA2" s="3"/>
      <c r="AB2" s="3"/>
      <c r="AC2" s="3"/>
      <c r="AD2" s="3"/>
      <c r="AE2" s="3"/>
      <c r="AF2" s="3"/>
      <c r="AG2" s="3"/>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6DF05-C9F4-48F3-8C71-97388D40F59A}">
  <dimension ref="A1:G55"/>
  <sheetViews>
    <sheetView topLeftCell="E1" zoomScaleNormal="100" workbookViewId="0">
      <selection activeCell="F11" sqref="F11"/>
    </sheetView>
  </sheetViews>
  <sheetFormatPr defaultRowHeight="15" x14ac:dyDescent="0.25"/>
  <cols>
    <col min="1" max="1" width="25.5703125" customWidth="1"/>
    <col min="2" max="2" width="21.28515625" style="197" customWidth="1"/>
    <col min="3" max="3" width="21.140625" customWidth="1"/>
    <col min="4" max="4" width="18.85546875" customWidth="1"/>
    <col min="5" max="6" width="19.28515625" customWidth="1"/>
  </cols>
  <sheetData>
    <row r="1" spans="1:7" x14ac:dyDescent="0.25">
      <c r="B1" s="2" t="s">
        <v>2563</v>
      </c>
      <c r="C1" s="2" t="s">
        <v>2564</v>
      </c>
      <c r="D1" s="2" t="s">
        <v>1666</v>
      </c>
      <c r="E1" s="2" t="s">
        <v>1683</v>
      </c>
      <c r="F1" s="2" t="s">
        <v>1668</v>
      </c>
      <c r="G1" s="197"/>
    </row>
    <row r="2" spans="1:7" x14ac:dyDescent="0.25">
      <c r="A2" s="121" t="s">
        <v>2698</v>
      </c>
      <c r="B2" s="197">
        <f>COUNTIFS('Systematic Mapping'!N3:N115,"Validation Research",'Systematic Mapping'!I3:I115,"&lt;&gt;")</f>
        <v>14</v>
      </c>
      <c r="C2" s="197">
        <f>COUNTIFS('Systematic Mapping'!N3:N115,"Validation Research",'Systematic Mapping'!J3:J115,"&lt;&gt;")</f>
        <v>3</v>
      </c>
      <c r="D2" s="197">
        <f>COUNTIFS('Systematic Mapping'!N3:N115,"Validation Research",'Systematic Mapping'!K3:K115,"&lt;&gt;")</f>
        <v>23</v>
      </c>
      <c r="E2" s="197">
        <f>COUNTIFS('Systematic Mapping'!N3:N115,"Validation Research",'Systematic Mapping'!L3:L115,"&lt;&gt;")</f>
        <v>9</v>
      </c>
      <c r="F2" s="197">
        <f>COUNTIFS('Systematic Mapping'!N3:N115,"Validation Research",'Systematic Mapping'!M3:M115,"&lt;&gt;")</f>
        <v>9</v>
      </c>
    </row>
    <row r="3" spans="1:7" x14ac:dyDescent="0.25">
      <c r="A3" s="121" t="s">
        <v>2696</v>
      </c>
      <c r="B3" s="197">
        <f>COUNTIFS('Systematic Mapping'!N3:N115,"Solution Proposal",'Systematic Mapping'!I3:I115,"&lt;&gt;")</f>
        <v>31</v>
      </c>
      <c r="C3" s="197">
        <f>COUNTIFS('Systematic Mapping'!N3:N115,"Solution Proposal",'Systematic Mapping'!J3:J115,"&lt;&gt;")</f>
        <v>11</v>
      </c>
      <c r="D3" s="197">
        <f>COUNTIFS('Systematic Mapping'!N3:N115,"Solution Proposal",'Systematic Mapping'!K3:K115,"&lt;&gt;")</f>
        <v>54</v>
      </c>
      <c r="E3" s="197">
        <f>COUNTIFS('Systematic Mapping'!N3:N115,"Solution Proposal",'Systematic Mapping'!L3:L115,"&lt;&gt;")</f>
        <v>33</v>
      </c>
      <c r="F3" s="197">
        <f>COUNTIFS('Systematic Mapping'!N3:N115,"Solution Proposal",'Systematic Mapping'!M3:M115,"&lt;&gt;")</f>
        <v>44</v>
      </c>
    </row>
    <row r="4" spans="1:7" x14ac:dyDescent="0.25">
      <c r="A4" s="121" t="s">
        <v>2709</v>
      </c>
      <c r="B4" s="197">
        <f>COUNTIFS('Systematic Mapping'!N3:N115,"Evaluation Research",'Systematic Mapping'!I3:I115,"&lt;&gt;")</f>
        <v>5</v>
      </c>
      <c r="C4" s="197">
        <f>COUNTIFS('Systematic Mapping'!N3:N115,"Evaluation Research",'Systematic Mapping'!J3:J115,"&lt;&gt;")</f>
        <v>5</v>
      </c>
      <c r="D4" s="197">
        <f>COUNTIFS('Systematic Mapping'!N3:N115,"Evaluation Research",'Systematic Mapping'!K3:K115,"&lt;&gt;")</f>
        <v>8</v>
      </c>
      <c r="E4" s="197">
        <f>COUNTIFS('Systematic Mapping'!N3:N115,"Evaluation Research",'Systematic Mapping'!L3:L115,"&lt;&gt;")</f>
        <v>5</v>
      </c>
      <c r="F4" s="197">
        <f>COUNTIFS('Systematic Mapping'!N3:N115,"Evaluation Research",'Systematic Mapping'!M3:M115,"&lt;&gt;")</f>
        <v>6</v>
      </c>
    </row>
    <row r="5" spans="1:7" x14ac:dyDescent="0.25">
      <c r="A5" s="121" t="s">
        <v>1647</v>
      </c>
      <c r="B5" s="197">
        <f>COUNTIFS('Systematic Mapping'!N3:N115,"Other",'Systematic Mapping'!I3:I115,"&lt;&gt;")</f>
        <v>0</v>
      </c>
      <c r="C5" s="197">
        <f>COUNTIFS('Systematic Mapping'!N3:N115,"Other",'Systematic Mapping'!J3:J115,"&lt;&gt;")</f>
        <v>0</v>
      </c>
      <c r="D5" s="197">
        <f>COUNTIFS('Systematic Mapping'!N3:N115,"Other",'Systematic Mapping'!K3:K115,"&lt;&gt;")</f>
        <v>0</v>
      </c>
      <c r="E5" s="197">
        <f>COUNTIFS('Systematic Mapping'!N3:N115,"Other",'Systematic Mapping'!L3:L115,"&lt;&gt;")</f>
        <v>0</v>
      </c>
      <c r="F5" s="197">
        <f>COUNTIFS('Systematic Mapping'!N3:N115,"Other",'Systematic Mapping'!M3:M115,"&lt;&gt;")</f>
        <v>0</v>
      </c>
    </row>
    <row r="6" spans="1:7" x14ac:dyDescent="0.25">
      <c r="A6" s="121"/>
      <c r="C6" s="197"/>
      <c r="D6" s="197"/>
      <c r="E6" s="197"/>
      <c r="F6" s="197"/>
    </row>
    <row r="7" spans="1:7" x14ac:dyDescent="0.25">
      <c r="A7" s="121" t="s">
        <v>1671</v>
      </c>
      <c r="B7" s="197">
        <f>COUNTIF('Systematic Mapping'!I3:I115,"*Tool*")</f>
        <v>6</v>
      </c>
      <c r="C7" s="197">
        <f>COUNTIF('Systematic Mapping'!J3:J115,"*Tool*")</f>
        <v>16</v>
      </c>
      <c r="D7" s="197">
        <f>COUNTIF('Systematic Mapping'!K3:K115,"*Tool*")</f>
        <v>61</v>
      </c>
      <c r="E7" s="197">
        <f>COUNTIF('Systematic Mapping'!L3:L115,"*Tool*")</f>
        <v>30</v>
      </c>
      <c r="F7" s="197">
        <f>COUNTIF('Systematic Mapping'!M3:M115,"*Tool*")</f>
        <v>50</v>
      </c>
    </row>
    <row r="8" spans="1:7" x14ac:dyDescent="0.25">
      <c r="A8" s="121" t="s">
        <v>2700</v>
      </c>
      <c r="B8" s="197">
        <f>COUNTIF('Systematic Mapping'!I3:I115,"*Approach*")+COUNTIF('Systematic Mapping'!I3:I115,"*Method*")</f>
        <v>43</v>
      </c>
      <c r="C8" s="197">
        <f>COUNTIF('Systematic Mapping'!J3:J115,"*Approach*")+COUNTIF('Systematic Mapping'!J3:J115,"*Method*")</f>
        <v>15</v>
      </c>
      <c r="D8" s="197">
        <f>COUNTIF('Systematic Mapping'!K3:K115,"*Approach*")+COUNTIF('Systematic Mapping'!K3:K115,"*Method*")</f>
        <v>71</v>
      </c>
      <c r="E8" s="197">
        <f>COUNTIF('Systematic Mapping'!L3:L115,"*Approach*")+COUNTIF('Systematic Mapping'!L3:L115,"*Method*")</f>
        <v>38</v>
      </c>
      <c r="F8" s="197">
        <f>COUNTIF('Systematic Mapping'!M3:M115,"*Approach*")+COUNTIF('Systematic Mapping'!M3:M115,"*Method*")</f>
        <v>35</v>
      </c>
    </row>
    <row r="9" spans="1:7" x14ac:dyDescent="0.25">
      <c r="A9" s="121" t="s">
        <v>2701</v>
      </c>
      <c r="B9" s="197">
        <f>COUNTIF('Systematic Mapping'!I3:I115,"*Framework*")+COUNTIF('Systematic Mapping'!I3:I115,"*Model*")</f>
        <v>10</v>
      </c>
      <c r="C9" s="197">
        <f>COUNTIF('Systematic Mapping'!J3:J115,"*Framework*")+COUNTIF('Systematic Mapping'!J3:J115,"*Model*")</f>
        <v>3</v>
      </c>
      <c r="D9" s="197">
        <f>COUNTIF('Systematic Mapping'!K3:K115,"*Framework*")+COUNTIF('Systematic Mapping'!K3:K115,"*Model*")</f>
        <v>20</v>
      </c>
      <c r="E9" s="197">
        <f>COUNTIF('Systematic Mapping'!L3:L115,"*Framework*")+COUNTIF('Systematic Mapping'!L3:L115,"*Model*")</f>
        <v>10</v>
      </c>
      <c r="F9" s="197">
        <f>COUNTIF('Systematic Mapping'!M3:M115,"*Framework*")+COUNTIF('Systematic Mapping'!M3:M115,"*Model*")</f>
        <v>4</v>
      </c>
    </row>
    <row r="10" spans="1:7" x14ac:dyDescent="0.25">
      <c r="A10" s="121" t="s">
        <v>2702</v>
      </c>
      <c r="B10" s="197">
        <f>COUNTIF('Systematic Mapping'!I3:I115,"*Process*")+COUNTIF('Systematic Mapping'!I3:I115,"*Algorithm*")</f>
        <v>0</v>
      </c>
      <c r="C10" s="197">
        <f>COUNTIF('Systematic Mapping'!J3:J115,"*Process*")+COUNTIF('Systematic Mapping'!J3:J115,"*Algorithm*")</f>
        <v>8</v>
      </c>
      <c r="D10" s="197">
        <f>COUNTIF('Systematic Mapping'!K3:K115,"*Process*")+COUNTIF('Systematic Mapping'!K3:K115,"*Algorithm*")</f>
        <v>25</v>
      </c>
      <c r="E10" s="197">
        <f>COUNTIF('Systematic Mapping'!L3:L115,"*Process*")+COUNTIF('Systematic Mapping'!L3:L115,"*Algorithm*")</f>
        <v>16</v>
      </c>
      <c r="F10" s="197">
        <f>COUNTIF('Systematic Mapping'!M3:M115,"*Process*")+COUNTIF('Systematic Mapping'!M3:M115,"*Algorithm*")</f>
        <v>0</v>
      </c>
    </row>
    <row r="11" spans="1:7" x14ac:dyDescent="0.25">
      <c r="A11" s="121" t="s">
        <v>2703</v>
      </c>
      <c r="B11" s="197">
        <f>COUNTIF('Systematic Mapping'!I3:I115,"*Metric*")+COUNTIF('Systematic Mapping'!I3:I115,"*Benchmark*")</f>
        <v>0</v>
      </c>
      <c r="C11" s="197">
        <f>COUNTIF('Systematic Mapping'!J3:J115,"*Metric*")+COUNTIF('Systematic Mapping'!J3:J115,"*Benchmark*")</f>
        <v>1</v>
      </c>
      <c r="D11" s="197">
        <f>COUNTIF('Systematic Mapping'!K3:K115,"*Metric*")+COUNTIF('Systematic Mapping'!K3:K115,"*Benchmark*")</f>
        <v>8</v>
      </c>
      <c r="E11" s="197">
        <f>COUNTIF('Systematic Mapping'!L3:L115,"*Metric*")+COUNTIF('Systematic Mapping'!L3:L115,"*Benchmark*")</f>
        <v>1</v>
      </c>
      <c r="F11" s="197">
        <f>COUNTIF('Systematic Mapping'!M3:M115,"*Metric*")+COUNTIF('Systematic Mapping'!M3:M115,"*Benchmark*")</f>
        <v>0</v>
      </c>
    </row>
    <row r="15" spans="1:7" x14ac:dyDescent="0.25">
      <c r="A15" s="197" t="s">
        <v>2065</v>
      </c>
      <c r="B15" s="197" t="s">
        <v>2707</v>
      </c>
      <c r="C15" s="197" t="s">
        <v>2707</v>
      </c>
      <c r="D15" s="197" t="s">
        <v>2065</v>
      </c>
      <c r="E15" s="197" t="s">
        <v>2708</v>
      </c>
    </row>
    <row r="16" spans="1:7" x14ac:dyDescent="0.25">
      <c r="A16" t="s">
        <v>2563</v>
      </c>
      <c r="B16" t="s">
        <v>2698</v>
      </c>
      <c r="C16" s="197">
        <v>2</v>
      </c>
      <c r="D16" s="197">
        <v>1</v>
      </c>
      <c r="E16" s="197">
        <f>B2</f>
        <v>14</v>
      </c>
    </row>
    <row r="17" spans="1:5" x14ac:dyDescent="0.25">
      <c r="A17" t="s">
        <v>2563</v>
      </c>
      <c r="B17" t="s">
        <v>2696</v>
      </c>
      <c r="C17" s="197">
        <v>3</v>
      </c>
      <c r="D17" s="197">
        <v>1</v>
      </c>
      <c r="E17" s="197">
        <f>B3</f>
        <v>31</v>
      </c>
    </row>
    <row r="18" spans="1:5" x14ac:dyDescent="0.25">
      <c r="A18" t="s">
        <v>2563</v>
      </c>
      <c r="B18" t="s">
        <v>2699</v>
      </c>
      <c r="C18" s="197">
        <v>4</v>
      </c>
      <c r="D18" s="197">
        <v>1</v>
      </c>
      <c r="E18" s="197">
        <f>B4</f>
        <v>5</v>
      </c>
    </row>
    <row r="19" spans="1:5" x14ac:dyDescent="0.25">
      <c r="A19" t="s">
        <v>2563</v>
      </c>
      <c r="B19" t="s">
        <v>1671</v>
      </c>
      <c r="C19" s="197">
        <v>-2</v>
      </c>
      <c r="D19" s="197">
        <v>1</v>
      </c>
      <c r="E19" s="197">
        <f>B7</f>
        <v>6</v>
      </c>
    </row>
    <row r="20" spans="1:5" x14ac:dyDescent="0.25">
      <c r="A20" t="s">
        <v>2563</v>
      </c>
      <c r="B20" t="s">
        <v>561</v>
      </c>
      <c r="C20" s="197">
        <v>-3</v>
      </c>
      <c r="D20" s="197">
        <v>1</v>
      </c>
      <c r="E20" s="197">
        <f>B8</f>
        <v>43</v>
      </c>
    </row>
    <row r="21" spans="1:5" x14ac:dyDescent="0.25">
      <c r="A21" t="s">
        <v>2563</v>
      </c>
      <c r="B21" t="s">
        <v>2697</v>
      </c>
      <c r="C21" s="197">
        <v>-4</v>
      </c>
      <c r="D21" s="197">
        <v>1</v>
      </c>
      <c r="E21" s="197">
        <f>B9</f>
        <v>10</v>
      </c>
    </row>
    <row r="22" spans="1:5" x14ac:dyDescent="0.25">
      <c r="A22" t="s">
        <v>2563</v>
      </c>
      <c r="B22" t="s">
        <v>2705</v>
      </c>
      <c r="C22" s="197">
        <v>-5</v>
      </c>
      <c r="D22" s="197">
        <v>1</v>
      </c>
      <c r="E22" s="197">
        <f>B10</f>
        <v>0</v>
      </c>
    </row>
    <row r="23" spans="1:5" x14ac:dyDescent="0.25">
      <c r="A23" t="s">
        <v>2563</v>
      </c>
      <c r="B23" t="s">
        <v>2706</v>
      </c>
      <c r="C23" s="197">
        <v>-6</v>
      </c>
      <c r="D23" s="197">
        <v>1</v>
      </c>
      <c r="E23" s="197">
        <f>B11</f>
        <v>0</v>
      </c>
    </row>
    <row r="24" spans="1:5" x14ac:dyDescent="0.25">
      <c r="A24" t="s">
        <v>2564</v>
      </c>
      <c r="B24" t="s">
        <v>2698</v>
      </c>
      <c r="C24" s="197">
        <v>2</v>
      </c>
      <c r="D24" s="197">
        <v>2</v>
      </c>
      <c r="E24" s="197">
        <f>C2</f>
        <v>3</v>
      </c>
    </row>
    <row r="25" spans="1:5" x14ac:dyDescent="0.25">
      <c r="A25" t="s">
        <v>2564</v>
      </c>
      <c r="B25" t="s">
        <v>2696</v>
      </c>
      <c r="C25" s="197">
        <v>3</v>
      </c>
      <c r="D25" s="197">
        <v>2</v>
      </c>
      <c r="E25" s="197">
        <f>C3</f>
        <v>11</v>
      </c>
    </row>
    <row r="26" spans="1:5" x14ac:dyDescent="0.25">
      <c r="A26" t="s">
        <v>2564</v>
      </c>
      <c r="B26" t="s">
        <v>2699</v>
      </c>
      <c r="C26" s="197">
        <v>4</v>
      </c>
      <c r="D26" s="197">
        <v>2</v>
      </c>
      <c r="E26" s="197">
        <f>C4</f>
        <v>5</v>
      </c>
    </row>
    <row r="27" spans="1:5" x14ac:dyDescent="0.25">
      <c r="A27" t="s">
        <v>2564</v>
      </c>
      <c r="B27" t="s">
        <v>1671</v>
      </c>
      <c r="C27" s="197">
        <v>-2</v>
      </c>
      <c r="D27" s="197">
        <v>2</v>
      </c>
      <c r="E27" s="197">
        <f>C7</f>
        <v>16</v>
      </c>
    </row>
    <row r="28" spans="1:5" x14ac:dyDescent="0.25">
      <c r="A28" t="s">
        <v>2564</v>
      </c>
      <c r="B28" t="s">
        <v>561</v>
      </c>
      <c r="C28" s="197">
        <v>-3</v>
      </c>
      <c r="D28" s="197">
        <v>2</v>
      </c>
      <c r="E28" s="197">
        <f>C8</f>
        <v>15</v>
      </c>
    </row>
    <row r="29" spans="1:5" x14ac:dyDescent="0.25">
      <c r="A29" t="s">
        <v>2564</v>
      </c>
      <c r="B29" t="s">
        <v>2697</v>
      </c>
      <c r="C29" s="197">
        <v>-4</v>
      </c>
      <c r="D29" s="197">
        <v>2</v>
      </c>
      <c r="E29" s="197">
        <f>C9</f>
        <v>3</v>
      </c>
    </row>
    <row r="30" spans="1:5" x14ac:dyDescent="0.25">
      <c r="A30" t="s">
        <v>2564</v>
      </c>
      <c r="B30" t="s">
        <v>2705</v>
      </c>
      <c r="C30" s="197">
        <v>-5</v>
      </c>
      <c r="D30" s="197">
        <v>2</v>
      </c>
      <c r="E30" s="197">
        <f>C10</f>
        <v>8</v>
      </c>
    </row>
    <row r="31" spans="1:5" x14ac:dyDescent="0.25">
      <c r="A31" t="s">
        <v>2564</v>
      </c>
      <c r="B31" t="s">
        <v>2706</v>
      </c>
      <c r="C31" s="197">
        <v>-6</v>
      </c>
      <c r="D31" s="197">
        <v>2</v>
      </c>
      <c r="E31" s="197">
        <f>C11</f>
        <v>1</v>
      </c>
    </row>
    <row r="32" spans="1:5" x14ac:dyDescent="0.25">
      <c r="A32" t="s">
        <v>1666</v>
      </c>
      <c r="B32" t="s">
        <v>2698</v>
      </c>
      <c r="C32" s="197">
        <v>2</v>
      </c>
      <c r="D32" s="197">
        <v>3</v>
      </c>
      <c r="E32" s="197">
        <f>D2</f>
        <v>23</v>
      </c>
    </row>
    <row r="33" spans="1:5" x14ac:dyDescent="0.25">
      <c r="A33" t="s">
        <v>1666</v>
      </c>
      <c r="B33" t="s">
        <v>2696</v>
      </c>
      <c r="C33" s="197">
        <v>3</v>
      </c>
      <c r="D33" s="197">
        <v>3</v>
      </c>
      <c r="E33" s="197">
        <f>D3</f>
        <v>54</v>
      </c>
    </row>
    <row r="34" spans="1:5" x14ac:dyDescent="0.25">
      <c r="A34" t="s">
        <v>1666</v>
      </c>
      <c r="B34" t="s">
        <v>2699</v>
      </c>
      <c r="C34" s="197">
        <v>4</v>
      </c>
      <c r="D34" s="197">
        <v>3</v>
      </c>
      <c r="E34" s="197">
        <f>D4</f>
        <v>8</v>
      </c>
    </row>
    <row r="35" spans="1:5" x14ac:dyDescent="0.25">
      <c r="A35" t="s">
        <v>1666</v>
      </c>
      <c r="B35" t="s">
        <v>1671</v>
      </c>
      <c r="C35" s="197">
        <v>-2</v>
      </c>
      <c r="D35" s="197">
        <v>3</v>
      </c>
      <c r="E35" s="197">
        <f>D7</f>
        <v>61</v>
      </c>
    </row>
    <row r="36" spans="1:5" x14ac:dyDescent="0.25">
      <c r="A36" t="s">
        <v>1666</v>
      </c>
      <c r="B36" t="s">
        <v>561</v>
      </c>
      <c r="C36" s="197">
        <v>-3</v>
      </c>
      <c r="D36" s="197">
        <v>3</v>
      </c>
      <c r="E36" s="197">
        <f>D8</f>
        <v>71</v>
      </c>
    </row>
    <row r="37" spans="1:5" x14ac:dyDescent="0.25">
      <c r="A37" t="s">
        <v>1666</v>
      </c>
      <c r="B37" t="s">
        <v>2697</v>
      </c>
      <c r="C37" s="197">
        <v>-4</v>
      </c>
      <c r="D37" s="197">
        <v>3</v>
      </c>
      <c r="E37" s="197">
        <f>D9</f>
        <v>20</v>
      </c>
    </row>
    <row r="38" spans="1:5" x14ac:dyDescent="0.25">
      <c r="A38" t="s">
        <v>1666</v>
      </c>
      <c r="B38" t="s">
        <v>2705</v>
      </c>
      <c r="C38" s="197">
        <v>-5</v>
      </c>
      <c r="D38" s="197">
        <v>3</v>
      </c>
      <c r="E38" s="197">
        <f>D10</f>
        <v>25</v>
      </c>
    </row>
    <row r="39" spans="1:5" x14ac:dyDescent="0.25">
      <c r="A39" t="s">
        <v>1666</v>
      </c>
      <c r="B39" t="s">
        <v>2706</v>
      </c>
      <c r="C39" s="197">
        <v>-6</v>
      </c>
      <c r="D39" s="197">
        <v>3</v>
      </c>
      <c r="E39" s="197">
        <f>D11</f>
        <v>8</v>
      </c>
    </row>
    <row r="40" spans="1:5" x14ac:dyDescent="0.25">
      <c r="A40" t="s">
        <v>1683</v>
      </c>
      <c r="B40" t="s">
        <v>2698</v>
      </c>
      <c r="C40" s="197">
        <v>2</v>
      </c>
      <c r="D40" s="197">
        <v>4</v>
      </c>
      <c r="E40" s="197">
        <f>E2</f>
        <v>9</v>
      </c>
    </row>
    <row r="41" spans="1:5" x14ac:dyDescent="0.25">
      <c r="A41" t="s">
        <v>1683</v>
      </c>
      <c r="B41" t="s">
        <v>2696</v>
      </c>
      <c r="C41" s="197">
        <v>3</v>
      </c>
      <c r="D41" s="197">
        <v>4</v>
      </c>
      <c r="E41" s="197">
        <f>E3</f>
        <v>33</v>
      </c>
    </row>
    <row r="42" spans="1:5" x14ac:dyDescent="0.25">
      <c r="A42" t="s">
        <v>1683</v>
      </c>
      <c r="B42" t="s">
        <v>2699</v>
      </c>
      <c r="C42" s="197">
        <v>4</v>
      </c>
      <c r="D42" s="197">
        <v>4</v>
      </c>
      <c r="E42" s="197">
        <f>E4</f>
        <v>5</v>
      </c>
    </row>
    <row r="43" spans="1:5" x14ac:dyDescent="0.25">
      <c r="A43" t="s">
        <v>1683</v>
      </c>
      <c r="B43" t="s">
        <v>1671</v>
      </c>
      <c r="C43" s="197">
        <v>-2</v>
      </c>
      <c r="D43" s="197">
        <v>4</v>
      </c>
      <c r="E43" s="197">
        <f>E7</f>
        <v>30</v>
      </c>
    </row>
    <row r="44" spans="1:5" x14ac:dyDescent="0.25">
      <c r="A44" t="s">
        <v>1683</v>
      </c>
      <c r="B44" t="s">
        <v>561</v>
      </c>
      <c r="C44" s="197">
        <v>-3</v>
      </c>
      <c r="D44" s="197">
        <v>4</v>
      </c>
      <c r="E44" s="197">
        <f>E8</f>
        <v>38</v>
      </c>
    </row>
    <row r="45" spans="1:5" x14ac:dyDescent="0.25">
      <c r="A45" t="s">
        <v>1683</v>
      </c>
      <c r="B45" t="s">
        <v>2697</v>
      </c>
      <c r="C45" s="197">
        <v>-4</v>
      </c>
      <c r="D45" s="197">
        <v>4</v>
      </c>
      <c r="E45" s="197">
        <f>E9</f>
        <v>10</v>
      </c>
    </row>
    <row r="46" spans="1:5" x14ac:dyDescent="0.25">
      <c r="A46" t="s">
        <v>1683</v>
      </c>
      <c r="B46" t="s">
        <v>2705</v>
      </c>
      <c r="C46" s="197">
        <v>-5</v>
      </c>
      <c r="D46" s="197">
        <v>4</v>
      </c>
      <c r="E46" s="197">
        <f>E10</f>
        <v>16</v>
      </c>
    </row>
    <row r="47" spans="1:5" x14ac:dyDescent="0.25">
      <c r="A47" t="s">
        <v>1683</v>
      </c>
      <c r="B47" t="s">
        <v>2706</v>
      </c>
      <c r="C47" s="197">
        <v>-6</v>
      </c>
      <c r="D47" s="197">
        <v>4</v>
      </c>
      <c r="E47" s="197">
        <f>E11</f>
        <v>1</v>
      </c>
    </row>
    <row r="48" spans="1:5" x14ac:dyDescent="0.25">
      <c r="A48" t="s">
        <v>1668</v>
      </c>
      <c r="B48" t="s">
        <v>2698</v>
      </c>
      <c r="C48" s="197">
        <v>2</v>
      </c>
      <c r="D48" s="197">
        <v>5</v>
      </c>
      <c r="E48" s="197">
        <f>F2</f>
        <v>9</v>
      </c>
    </row>
    <row r="49" spans="1:5" x14ac:dyDescent="0.25">
      <c r="A49" t="s">
        <v>1668</v>
      </c>
      <c r="B49" t="s">
        <v>2696</v>
      </c>
      <c r="C49" s="197">
        <v>3</v>
      </c>
      <c r="D49" s="197">
        <v>5</v>
      </c>
      <c r="E49" s="197">
        <f>F3</f>
        <v>44</v>
      </c>
    </row>
    <row r="50" spans="1:5" x14ac:dyDescent="0.25">
      <c r="A50" t="s">
        <v>1668</v>
      </c>
      <c r="B50" t="s">
        <v>2699</v>
      </c>
      <c r="C50" s="197">
        <v>4</v>
      </c>
      <c r="D50" s="197">
        <v>5</v>
      </c>
      <c r="E50" s="197">
        <f>F4</f>
        <v>6</v>
      </c>
    </row>
    <row r="51" spans="1:5" x14ac:dyDescent="0.25">
      <c r="A51" t="s">
        <v>1668</v>
      </c>
      <c r="B51" t="s">
        <v>1671</v>
      </c>
      <c r="C51" s="197">
        <v>-2</v>
      </c>
      <c r="D51" s="197">
        <v>5</v>
      </c>
      <c r="E51" s="197">
        <f>F7</f>
        <v>50</v>
      </c>
    </row>
    <row r="52" spans="1:5" x14ac:dyDescent="0.25">
      <c r="A52" t="s">
        <v>1668</v>
      </c>
      <c r="B52" t="s">
        <v>561</v>
      </c>
      <c r="C52" s="197">
        <v>-3</v>
      </c>
      <c r="D52" s="197">
        <v>5</v>
      </c>
      <c r="E52" s="197">
        <f>F8</f>
        <v>35</v>
      </c>
    </row>
    <row r="53" spans="1:5" x14ac:dyDescent="0.25">
      <c r="A53" t="s">
        <v>1668</v>
      </c>
      <c r="B53" t="s">
        <v>2697</v>
      </c>
      <c r="C53" s="197">
        <v>-4</v>
      </c>
      <c r="D53" s="197">
        <v>5</v>
      </c>
      <c r="E53" s="197">
        <f>F9</f>
        <v>4</v>
      </c>
    </row>
    <row r="54" spans="1:5" x14ac:dyDescent="0.25">
      <c r="A54" t="s">
        <v>1668</v>
      </c>
      <c r="B54" t="s">
        <v>2705</v>
      </c>
      <c r="C54" s="197">
        <v>-5</v>
      </c>
      <c r="D54" s="197">
        <v>5</v>
      </c>
      <c r="E54" s="197">
        <f>F10</f>
        <v>0</v>
      </c>
    </row>
    <row r="55" spans="1:5" x14ac:dyDescent="0.25">
      <c r="A55" t="s">
        <v>1668</v>
      </c>
      <c r="B55" t="s">
        <v>2706</v>
      </c>
      <c r="C55" s="197">
        <v>-6</v>
      </c>
      <c r="D55" s="197">
        <v>5</v>
      </c>
      <c r="E55" s="197">
        <f>F11</f>
        <v>0</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23C7-171B-4B41-815E-34C0CE0F3F16}">
  <dimension ref="A1:C15"/>
  <sheetViews>
    <sheetView zoomScale="110" zoomScaleNormal="110" workbookViewId="0">
      <selection activeCell="H28" sqref="H28"/>
    </sheetView>
  </sheetViews>
  <sheetFormatPr defaultRowHeight="15" x14ac:dyDescent="0.25"/>
  <cols>
    <col min="1" max="1" width="22.5703125" customWidth="1"/>
    <col min="2" max="2" width="19.5703125" customWidth="1"/>
    <col min="3" max="3" width="12.85546875" customWidth="1"/>
  </cols>
  <sheetData>
    <row r="1" spans="1:3" ht="30" x14ac:dyDescent="0.25">
      <c r="A1" s="2" t="s">
        <v>3114</v>
      </c>
      <c r="B1" s="122" t="s">
        <v>2527</v>
      </c>
      <c r="C1" s="2" t="s">
        <v>2530</v>
      </c>
    </row>
    <row r="2" spans="1:3" x14ac:dyDescent="0.25">
      <c r="A2" s="248" t="s">
        <v>3113</v>
      </c>
      <c r="B2" s="252">
        <f>COUNTIFS('Systematic Mapping'!I3:I115,"&lt;&gt;")</f>
        <v>50</v>
      </c>
      <c r="C2" s="212">
        <f>B2/B8</f>
        <v>0.66666666666666663</v>
      </c>
    </row>
    <row r="3" spans="1:3" x14ac:dyDescent="0.25">
      <c r="A3" s="248" t="s">
        <v>1663</v>
      </c>
      <c r="B3" s="252">
        <f>COUNTIFS('Systematic Mapping'!J3:J115,"&lt;&gt;")</f>
        <v>19</v>
      </c>
      <c r="C3" s="212">
        <f>B3/B8</f>
        <v>0.25333333333333335</v>
      </c>
    </row>
    <row r="4" spans="1:3" x14ac:dyDescent="0.25">
      <c r="A4" s="248" t="s">
        <v>1666</v>
      </c>
      <c r="B4" s="252">
        <f>COUNTIFS('Systematic Mapping'!K3:K115,"&lt;&gt;")</f>
        <v>85</v>
      </c>
      <c r="C4" s="212">
        <f>B4/B8</f>
        <v>1.1333333333333333</v>
      </c>
    </row>
    <row r="5" spans="1:3" x14ac:dyDescent="0.25">
      <c r="A5" s="248" t="s">
        <v>1683</v>
      </c>
      <c r="B5" s="252">
        <f>COUNTIFS('Systematic Mapping'!L3:L115,"&lt;&gt;")</f>
        <v>47</v>
      </c>
      <c r="C5" s="212">
        <f>B5/B8</f>
        <v>0.62666666666666671</v>
      </c>
    </row>
    <row r="6" spans="1:3" x14ac:dyDescent="0.25">
      <c r="A6" s="248" t="s">
        <v>1668</v>
      </c>
      <c r="B6" s="252">
        <f>COUNTIFS('Systematic Mapping'!M3:M115,"&lt;&gt;")</f>
        <v>59</v>
      </c>
      <c r="C6" s="212">
        <f>B6/B8</f>
        <v>0.78666666666666663</v>
      </c>
    </row>
    <row r="8" spans="1:3" x14ac:dyDescent="0.25">
      <c r="A8" t="s">
        <v>2528</v>
      </c>
      <c r="B8" s="1">
        <v>75</v>
      </c>
    </row>
    <row r="11" spans="1:3" x14ac:dyDescent="0.25">
      <c r="A11" s="253"/>
      <c r="B11" s="252"/>
    </row>
    <row r="12" spans="1:3" x14ac:dyDescent="0.25">
      <c r="A12" s="248"/>
      <c r="B12" s="252"/>
    </row>
    <row r="13" spans="1:3" x14ac:dyDescent="0.25">
      <c r="A13" s="248"/>
      <c r="B13" s="252"/>
    </row>
    <row r="14" spans="1:3" x14ac:dyDescent="0.25">
      <c r="A14" s="248"/>
      <c r="B14" s="252"/>
    </row>
    <row r="15" spans="1:3" x14ac:dyDescent="0.25">
      <c r="A15" s="248"/>
      <c r="B15" s="252"/>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91CAE-CDEE-4E04-AFED-0253CF6CB29E}">
  <dimension ref="A1:C15"/>
  <sheetViews>
    <sheetView zoomScale="110" zoomScaleNormal="110" workbookViewId="0">
      <selection activeCell="J13" sqref="J13"/>
    </sheetView>
  </sheetViews>
  <sheetFormatPr defaultRowHeight="15" x14ac:dyDescent="0.25"/>
  <cols>
    <col min="1" max="1" width="22.5703125" customWidth="1"/>
    <col min="2" max="2" width="19.5703125" customWidth="1"/>
    <col min="3" max="3" width="12.85546875" customWidth="1"/>
  </cols>
  <sheetData>
    <row r="1" spans="1:3" ht="30" x14ac:dyDescent="0.25">
      <c r="A1" s="2" t="s">
        <v>3114</v>
      </c>
      <c r="B1" s="122" t="s">
        <v>2527</v>
      </c>
      <c r="C1" s="2" t="s">
        <v>2530</v>
      </c>
    </row>
    <row r="2" spans="1:3" x14ac:dyDescent="0.25">
      <c r="A2" s="248" t="s">
        <v>3113</v>
      </c>
      <c r="B2" s="314">
        <f>COUNTIFS('Approach Classification'!DF3:DF71,"&lt;&gt;")</f>
        <v>41</v>
      </c>
      <c r="C2" s="212">
        <f>B2/B8</f>
        <v>0.54666666666666663</v>
      </c>
    </row>
    <row r="3" spans="1:3" x14ac:dyDescent="0.25">
      <c r="A3" s="248" t="s">
        <v>1663</v>
      </c>
      <c r="B3" s="314">
        <f>COUNTIFS('Approach Classification'!DG3:DG71,"&lt;&gt;")</f>
        <v>15</v>
      </c>
      <c r="C3" s="212">
        <f>B3/B8</f>
        <v>0.2</v>
      </c>
    </row>
    <row r="4" spans="1:3" x14ac:dyDescent="0.25">
      <c r="A4" s="248" t="s">
        <v>1666</v>
      </c>
      <c r="B4" s="314">
        <f>COUNTIFS('Approach Classification'!DH3:DH71,"&lt;&gt;")</f>
        <v>57</v>
      </c>
      <c r="C4" s="212">
        <f>B4/B8</f>
        <v>0.76</v>
      </c>
    </row>
    <row r="5" spans="1:3" x14ac:dyDescent="0.25">
      <c r="A5" s="248" t="s">
        <v>1683</v>
      </c>
      <c r="B5" s="314">
        <f>COUNTIFS('Approach Classification'!DI3:DI71,"&lt;&gt;")</f>
        <v>32</v>
      </c>
      <c r="C5" s="212">
        <f>B5/B8</f>
        <v>0.42666666666666669</v>
      </c>
    </row>
    <row r="6" spans="1:3" x14ac:dyDescent="0.25">
      <c r="A6" s="248" t="s">
        <v>1668</v>
      </c>
      <c r="B6" s="314">
        <f>COUNTIFS('Approach Classification'!DJ3:DJ71,"&lt;&gt;")</f>
        <v>47</v>
      </c>
      <c r="C6" s="212">
        <f>B6/B8</f>
        <v>0.62666666666666671</v>
      </c>
    </row>
    <row r="8" spans="1:3" x14ac:dyDescent="0.25">
      <c r="A8" t="s">
        <v>2528</v>
      </c>
      <c r="B8" s="1">
        <v>75</v>
      </c>
    </row>
    <row r="11" spans="1:3" x14ac:dyDescent="0.25">
      <c r="A11" s="253"/>
      <c r="B11" s="314"/>
    </row>
    <row r="12" spans="1:3" x14ac:dyDescent="0.25">
      <c r="A12" s="248"/>
      <c r="B12" s="314"/>
    </row>
    <row r="13" spans="1:3" x14ac:dyDescent="0.25">
      <c r="A13" s="248"/>
      <c r="B13" s="314"/>
    </row>
    <row r="14" spans="1:3" x14ac:dyDescent="0.25">
      <c r="A14" s="248"/>
      <c r="B14" s="314"/>
    </row>
    <row r="15" spans="1:3" x14ac:dyDescent="0.25">
      <c r="A15" s="248"/>
      <c r="B15" s="314"/>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EB0E-BC15-4DBB-AAB9-E82FA4BE4052}">
  <dimension ref="A1:C15"/>
  <sheetViews>
    <sheetView zoomScale="110" zoomScaleNormal="110" workbookViewId="0">
      <selection activeCell="B6" sqref="B6"/>
    </sheetView>
  </sheetViews>
  <sheetFormatPr defaultRowHeight="15" x14ac:dyDescent="0.25"/>
  <cols>
    <col min="1" max="1" width="22.5703125" customWidth="1"/>
    <col min="2" max="2" width="19.5703125" customWidth="1"/>
    <col min="3" max="3" width="12.85546875" customWidth="1"/>
  </cols>
  <sheetData>
    <row r="1" spans="1:3" ht="30" x14ac:dyDescent="0.25">
      <c r="A1" s="2" t="s">
        <v>2529</v>
      </c>
      <c r="B1" s="122" t="s">
        <v>2527</v>
      </c>
      <c r="C1" s="2" t="s">
        <v>2530</v>
      </c>
    </row>
    <row r="2" spans="1:3" x14ac:dyDescent="0.25">
      <c r="A2" s="248" t="s">
        <v>1671</v>
      </c>
      <c r="B2" s="245">
        <f>COUNTIF('Systematic Mapping'!AA3:AA115,"*Tool*")</f>
        <v>78</v>
      </c>
      <c r="C2" s="123">
        <f>B2/B8</f>
        <v>0.74285714285714288</v>
      </c>
    </row>
    <row r="3" spans="1:3" x14ac:dyDescent="0.25">
      <c r="A3" s="248" t="s">
        <v>3108</v>
      </c>
      <c r="B3" s="246">
        <f>COUNTIF('Systematic Mapping'!AA3:AA115,"*Approach*")+COUNTIF('Systematic Mapping'!AA3:AA115,"*Method*")</f>
        <v>96</v>
      </c>
      <c r="C3" s="123">
        <f>B3/B8</f>
        <v>0.91428571428571426</v>
      </c>
    </row>
    <row r="4" spans="1:3" x14ac:dyDescent="0.25">
      <c r="A4" s="248" t="s">
        <v>3109</v>
      </c>
      <c r="B4" s="246">
        <f>COUNTIF('Systematic Mapping'!AA3:AA115,"*Framework*")+COUNTIF('Systematic Mapping'!AA3:AA115,"*Model*")</f>
        <v>31</v>
      </c>
      <c r="C4" s="123">
        <f>B4/B8</f>
        <v>0.29523809523809524</v>
      </c>
    </row>
    <row r="5" spans="1:3" x14ac:dyDescent="0.25">
      <c r="A5" s="248" t="s">
        <v>3110</v>
      </c>
      <c r="B5" s="245">
        <f>COUNTIF('Systematic Mapping'!AA3:AA115,"*Process*")+COUNTIF('Systematic Mapping'!AA3:AA115,"*Algorithm*")</f>
        <v>37</v>
      </c>
      <c r="C5" s="123">
        <f>B5/B8</f>
        <v>0.35238095238095241</v>
      </c>
    </row>
    <row r="6" spans="1:3" x14ac:dyDescent="0.25">
      <c r="A6" s="248" t="s">
        <v>3111</v>
      </c>
      <c r="B6" s="245">
        <f>COUNTIF('Systematic Mapping'!AA3:AA115,"*Metric*")+COUNTIF('Systematic Mapping'!AA3:AA115,"*Benchmark*")</f>
        <v>9</v>
      </c>
      <c r="C6" s="123">
        <f>B6/B8</f>
        <v>8.5714285714285715E-2</v>
      </c>
    </row>
    <row r="8" spans="1:3" x14ac:dyDescent="0.25">
      <c r="A8" t="s">
        <v>2528</v>
      </c>
      <c r="B8" s="1">
        <v>105</v>
      </c>
    </row>
    <row r="11" spans="1:3" x14ac:dyDescent="0.25">
      <c r="A11" s="251"/>
      <c r="B11" s="250"/>
    </row>
    <row r="12" spans="1:3" x14ac:dyDescent="0.25">
      <c r="A12" s="248"/>
      <c r="B12" s="246"/>
    </row>
    <row r="13" spans="1:3" x14ac:dyDescent="0.25">
      <c r="A13" s="248"/>
      <c r="B13" s="246"/>
    </row>
    <row r="14" spans="1:3" x14ac:dyDescent="0.25">
      <c r="A14" s="248"/>
      <c r="B14" s="246"/>
    </row>
    <row r="15" spans="1:3" x14ac:dyDescent="0.25">
      <c r="A15" s="248"/>
      <c r="B15" s="246"/>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8647-2800-4322-9936-B146EEA401B5}">
  <dimension ref="A1:V106"/>
  <sheetViews>
    <sheetView topLeftCell="A26" zoomScaleNormal="100" workbookViewId="0">
      <selection activeCell="O45" sqref="O45"/>
    </sheetView>
  </sheetViews>
  <sheetFormatPr defaultRowHeight="15" x14ac:dyDescent="0.25"/>
  <cols>
    <col min="1" max="1" width="17.85546875" customWidth="1"/>
    <col min="2" max="2" width="19.5703125" customWidth="1"/>
    <col min="3" max="3" width="19" customWidth="1"/>
    <col min="14" max="14" width="21.85546875" customWidth="1"/>
    <col min="17" max="17" width="19.42578125" style="1" customWidth="1"/>
    <col min="18" max="18" width="11.7109375" style="1" customWidth="1"/>
    <col min="19" max="19" width="9.140625" style="1"/>
    <col min="21" max="21" width="19.42578125" customWidth="1"/>
  </cols>
  <sheetData>
    <row r="1" spans="1:22" x14ac:dyDescent="0.25">
      <c r="A1" s="2"/>
      <c r="B1" s="122"/>
      <c r="C1" s="122"/>
      <c r="Q1" s="2" t="s">
        <v>1639</v>
      </c>
      <c r="R1" s="122" t="s">
        <v>0</v>
      </c>
      <c r="S1" s="122" t="s">
        <v>2708</v>
      </c>
    </row>
    <row r="2" spans="1:22" x14ac:dyDescent="0.25">
      <c r="A2" s="12"/>
      <c r="B2" s="13"/>
      <c r="C2" s="13"/>
      <c r="Q2" s="12">
        <v>1</v>
      </c>
      <c r="R2" s="1">
        <v>2001</v>
      </c>
      <c r="S2" s="1">
        <f>COUNTIFS('Systematic Mapping'!A3:A115,R2,'Systematic Mapping'!AA3:AA115,"*Tool*")</f>
        <v>1</v>
      </c>
      <c r="U2" s="248" t="s">
        <v>1671</v>
      </c>
      <c r="V2">
        <v>1</v>
      </c>
    </row>
    <row r="3" spans="1:22" x14ac:dyDescent="0.25">
      <c r="A3" s="12"/>
      <c r="B3" s="13"/>
      <c r="C3" s="13"/>
      <c r="Q3" s="12">
        <v>2</v>
      </c>
      <c r="R3" s="1">
        <v>2001</v>
      </c>
      <c r="S3" s="1">
        <f>COUNTIFS('Systematic Mapping'!$A$3:$A$115,R3,'Systematic Mapping'!$AA$3:$AA$115,"*Approach*")+COUNTIFS('Systematic Mapping'!$A$3:$A$115,R3,'Systematic Mapping'!$AA$3:$AA$115,"*Method*")</f>
        <v>1</v>
      </c>
      <c r="U3" s="248" t="s">
        <v>3108</v>
      </c>
      <c r="V3">
        <v>2</v>
      </c>
    </row>
    <row r="4" spans="1:22" x14ac:dyDescent="0.25">
      <c r="A4" s="12"/>
      <c r="B4" s="13"/>
      <c r="C4" s="13"/>
      <c r="Q4" s="12">
        <v>3</v>
      </c>
      <c r="R4" s="1">
        <v>2001</v>
      </c>
      <c r="S4" s="1">
        <f>COUNTIFS('Systematic Mapping'!$A$3:$A$115,R4,'Systematic Mapping'!$AA$3:$AA$115,"*Framework*")+COUNTIFS('Systematic Mapping'!$A$3:$A$115,R4,'Systematic Mapping'!$AA$3:$AA$115,"*Model*")</f>
        <v>1</v>
      </c>
      <c r="U4" s="248" t="s">
        <v>3109</v>
      </c>
      <c r="V4">
        <v>3</v>
      </c>
    </row>
    <row r="5" spans="1:22" x14ac:dyDescent="0.25">
      <c r="A5" s="1"/>
      <c r="B5" s="13"/>
      <c r="C5" s="13"/>
      <c r="Q5" s="12">
        <v>4</v>
      </c>
      <c r="R5" s="1">
        <v>2001</v>
      </c>
      <c r="S5" s="1">
        <f>COUNTIFS('Systematic Mapping'!$A$3:$A$115,R5,'Systematic Mapping'!$AA$3:$AA$115,"*Process*")+COUNTIFS('Systematic Mapping'!$A$3:$A$115,R5,'Systematic Mapping'!$AA$3:$AA$115,"*Algorithm*")</f>
        <v>0</v>
      </c>
      <c r="U5" s="248" t="s">
        <v>3110</v>
      </c>
      <c r="V5">
        <v>4</v>
      </c>
    </row>
    <row r="6" spans="1:22" x14ac:dyDescent="0.25">
      <c r="A6" s="1"/>
      <c r="B6" s="13"/>
      <c r="C6" s="13"/>
      <c r="Q6" s="12">
        <v>5</v>
      </c>
      <c r="R6" s="1">
        <v>2001</v>
      </c>
      <c r="S6" s="1">
        <f>COUNTIFS('Systematic Mapping'!$A$3:$A$115,R6,'Systematic Mapping'!$AA$3:$AA$115,"*Metric*")+COUNTIFS('Systematic Mapping'!$A$3:$A$115,R6,'Systematic Mapping'!$AA$3:$AA$115,"*Benchmark*")</f>
        <v>0</v>
      </c>
      <c r="U6" s="248" t="s">
        <v>3111</v>
      </c>
      <c r="V6">
        <v>5</v>
      </c>
    </row>
    <row r="7" spans="1:22" x14ac:dyDescent="0.25">
      <c r="A7" s="1"/>
      <c r="B7" s="13"/>
      <c r="C7" s="13"/>
      <c r="Q7" s="12">
        <v>1</v>
      </c>
      <c r="R7" s="1">
        <v>2002</v>
      </c>
      <c r="S7" s="1">
        <f>COUNTIFS('Systematic Mapping'!A3:A115,R7,'Systematic Mapping'!AA3:AA115,"*Tool*")</f>
        <v>0</v>
      </c>
      <c r="U7" s="248"/>
    </row>
    <row r="8" spans="1:22" x14ac:dyDescent="0.25">
      <c r="A8" s="1"/>
      <c r="B8" s="13"/>
      <c r="C8" s="13"/>
      <c r="Q8" s="12">
        <v>2</v>
      </c>
      <c r="R8" s="1">
        <v>2002</v>
      </c>
      <c r="S8" s="1">
        <f>COUNTIFS('Systematic Mapping'!$A$3:$A$115,R8,'Systematic Mapping'!$AA$3:$AA$115,"*Approach*")+COUNTIFS('Systematic Mapping'!$A$3:$A$115,R8,'Systematic Mapping'!$AA$3:$AA$115,"*Method*")</f>
        <v>0</v>
      </c>
      <c r="U8" s="248"/>
    </row>
    <row r="9" spans="1:22" x14ac:dyDescent="0.25">
      <c r="A9" s="1"/>
      <c r="B9" s="13"/>
      <c r="C9" s="13"/>
      <c r="Q9" s="12">
        <v>3</v>
      </c>
      <c r="R9" s="1">
        <v>2002</v>
      </c>
      <c r="S9" s="1">
        <f>COUNTIFS('Systematic Mapping'!$A$3:$A$115,R9,'Systematic Mapping'!$AA$3:$AA$115,"*Framework*")+COUNTIFS('Systematic Mapping'!$A$3:$A$115,R9,'Systematic Mapping'!$AA$3:$AA$115,"*Model*")</f>
        <v>0</v>
      </c>
      <c r="U9" s="248"/>
    </row>
    <row r="10" spans="1:22" x14ac:dyDescent="0.25">
      <c r="A10" s="1"/>
      <c r="B10" s="13"/>
      <c r="C10" s="13"/>
      <c r="Q10" s="12">
        <v>4</v>
      </c>
      <c r="R10" s="1">
        <v>2002</v>
      </c>
      <c r="S10" s="1">
        <f>COUNTIFS('Systematic Mapping'!$A$3:$A$115,R10,'Systematic Mapping'!$AA$3:$AA$115,"*Process*")+COUNTIFS('Systematic Mapping'!$A$3:$A$115,R10,'Systematic Mapping'!$AA$3:$AA$115,"*Algorithm*")</f>
        <v>0</v>
      </c>
      <c r="U10" s="248"/>
    </row>
    <row r="11" spans="1:22" x14ac:dyDescent="0.25">
      <c r="A11" s="1"/>
      <c r="B11" s="13"/>
      <c r="C11" s="13"/>
      <c r="Q11" s="12">
        <v>5</v>
      </c>
      <c r="R11" s="1">
        <v>2002</v>
      </c>
      <c r="S11" s="1">
        <f>COUNTIFS('Systematic Mapping'!$A$3:$A$115,R11,'Systematic Mapping'!$AA$3:$AA$115,"*Metric*")+COUNTIFS('Systematic Mapping'!$A$3:$A$115,R11,'Systematic Mapping'!$AA$3:$AA$115,"*Benchmark*")</f>
        <v>0</v>
      </c>
      <c r="U11" s="248"/>
    </row>
    <row r="12" spans="1:22" x14ac:dyDescent="0.25">
      <c r="A12" s="1"/>
      <c r="B12" s="13"/>
      <c r="C12" s="13"/>
      <c r="Q12" s="12">
        <v>1</v>
      </c>
      <c r="R12" s="1">
        <v>2003</v>
      </c>
      <c r="S12" s="1">
        <f>COUNTIFS('Systematic Mapping'!A3:A115,R12,'Systematic Mapping'!AA3:AA115,"*Tool*")</f>
        <v>0</v>
      </c>
      <c r="U12" s="248"/>
    </row>
    <row r="13" spans="1:22" x14ac:dyDescent="0.25">
      <c r="A13" s="1"/>
      <c r="B13" s="13"/>
      <c r="C13" s="13"/>
      <c r="Q13" s="12">
        <v>2</v>
      </c>
      <c r="R13" s="1">
        <v>2003</v>
      </c>
      <c r="S13" s="1">
        <f>COUNTIFS('Systematic Mapping'!$A$3:$A$115,R13,'Systematic Mapping'!$AA$3:$AA$115,"*Approach*")+COUNTIFS('Systematic Mapping'!$A$3:$A$115,R13,'Systematic Mapping'!$AA$3:$AA$115,"*Method*")</f>
        <v>2</v>
      </c>
      <c r="U13" s="248"/>
    </row>
    <row r="14" spans="1:22" x14ac:dyDescent="0.25">
      <c r="A14" s="1"/>
      <c r="B14" s="13"/>
      <c r="C14" s="13"/>
      <c r="Q14" s="12">
        <v>3</v>
      </c>
      <c r="R14" s="1">
        <v>2003</v>
      </c>
      <c r="S14" s="1">
        <f>COUNTIFS('Systematic Mapping'!$A$3:$A$115,R14,'Systematic Mapping'!$AA$3:$AA$115,"*Framework*")+COUNTIFS('Systematic Mapping'!$A$3:$A$115,R14,'Systematic Mapping'!$AA$3:$AA$115,"*Model*")</f>
        <v>1</v>
      </c>
      <c r="U14" s="248"/>
    </row>
    <row r="15" spans="1:22" x14ac:dyDescent="0.25">
      <c r="A15" s="1"/>
      <c r="B15" s="13"/>
      <c r="C15" s="13"/>
      <c r="Q15" s="12">
        <v>4</v>
      </c>
      <c r="R15" s="1">
        <v>2003</v>
      </c>
      <c r="S15" s="1">
        <f>COUNTIFS('Systematic Mapping'!$A$3:$A$115,R15,'Systematic Mapping'!$AA$3:$AA$115,"*Process*")+COUNTIFS('Systematic Mapping'!$A$3:$A$115,R15,'Systematic Mapping'!$AA$3:$AA$115,"*Algorithm*")</f>
        <v>1</v>
      </c>
      <c r="U15" s="248"/>
    </row>
    <row r="16" spans="1:22" x14ac:dyDescent="0.25">
      <c r="A16" s="1"/>
      <c r="B16" s="13"/>
      <c r="C16" s="13"/>
      <c r="Q16" s="12">
        <v>5</v>
      </c>
      <c r="R16" s="1">
        <v>2003</v>
      </c>
      <c r="S16" s="1">
        <f>COUNTIFS('Systematic Mapping'!$A$3:$A$115,R16,'Systematic Mapping'!$AA$3:$AA$115,"*Metric*")+COUNTIFS('Systematic Mapping'!$A$3:$A$115,R16,'Systematic Mapping'!$AA$3:$AA$115,"*Benchmark*")</f>
        <v>0</v>
      </c>
      <c r="U16" s="248"/>
    </row>
    <row r="17" spans="1:21" x14ac:dyDescent="0.25">
      <c r="A17" s="1"/>
      <c r="B17" s="13"/>
      <c r="C17" s="13"/>
      <c r="Q17" s="12">
        <v>1</v>
      </c>
      <c r="R17" s="1">
        <v>2004</v>
      </c>
      <c r="S17" s="1">
        <f>COUNTIFS('Systematic Mapping'!A3:A115,R17,'Systematic Mapping'!AA3:AA115,"*Tool*")</f>
        <v>0</v>
      </c>
      <c r="U17" s="248"/>
    </row>
    <row r="18" spans="1:21" x14ac:dyDescent="0.25">
      <c r="A18" s="1"/>
      <c r="B18" s="13"/>
      <c r="C18" s="13"/>
      <c r="Q18" s="12">
        <v>2</v>
      </c>
      <c r="R18" s="1">
        <v>2004</v>
      </c>
      <c r="S18" s="1">
        <f>COUNTIFS('Systematic Mapping'!$A$3:$A$115,R18,'Systematic Mapping'!$AA$3:$AA$115,"*Approach*")+COUNTIFS('Systematic Mapping'!$A$3:$A$115,R18,'Systematic Mapping'!$AA$3:$AA$115,"*Method*")</f>
        <v>0</v>
      </c>
      <c r="U18" s="248"/>
    </row>
    <row r="19" spans="1:21" x14ac:dyDescent="0.25">
      <c r="A19" s="1"/>
      <c r="B19" s="13"/>
      <c r="C19" s="13"/>
      <c r="Q19" s="12">
        <v>3</v>
      </c>
      <c r="R19" s="1">
        <v>2004</v>
      </c>
      <c r="S19" s="1">
        <f>COUNTIFS('Systematic Mapping'!$A$3:$A$115,R19,'Systematic Mapping'!$AA$3:$AA$115,"*Framework*")+COUNTIFS('Systematic Mapping'!$A$3:$A$115,R19,'Systematic Mapping'!$AA$3:$AA$115,"*Model*")</f>
        <v>0</v>
      </c>
      <c r="U19" s="248"/>
    </row>
    <row r="20" spans="1:21" x14ac:dyDescent="0.25">
      <c r="A20" s="1"/>
      <c r="B20" s="13"/>
      <c r="C20" s="13"/>
      <c r="Q20" s="12">
        <v>4</v>
      </c>
      <c r="R20" s="1">
        <v>2004</v>
      </c>
      <c r="S20" s="1">
        <f>COUNTIFS('Systematic Mapping'!$A$3:$A$115,R20,'Systematic Mapping'!$AA$3:$AA$115,"*Process*")+COUNTIFS('Systematic Mapping'!$A$3:$A$115,R20,'Systematic Mapping'!$AA$3:$AA$115,"*Algorithm*")</f>
        <v>0</v>
      </c>
      <c r="U20" s="248"/>
    </row>
    <row r="21" spans="1:21" x14ac:dyDescent="0.25">
      <c r="A21" s="1"/>
      <c r="B21" s="13"/>
      <c r="C21" s="13"/>
      <c r="Q21" s="12">
        <v>5</v>
      </c>
      <c r="R21" s="1">
        <v>2004</v>
      </c>
      <c r="S21" s="1">
        <f>COUNTIFS('Systematic Mapping'!$A$3:$A$115,R21,'Systematic Mapping'!$AA$3:$AA$115,"*Metric*")+COUNTIFS('Systematic Mapping'!$A$3:$A$115,R21,'Systematic Mapping'!$AA$3:$AA$115,"*Benchmark*")</f>
        <v>0</v>
      </c>
      <c r="U21" s="248"/>
    </row>
    <row r="22" spans="1:21" x14ac:dyDescent="0.25">
      <c r="A22" s="1"/>
      <c r="B22" s="13"/>
      <c r="C22" s="13"/>
      <c r="Q22" s="12">
        <v>1</v>
      </c>
      <c r="R22" s="1">
        <v>2005</v>
      </c>
      <c r="S22" s="1">
        <f>COUNTIFS('Systematic Mapping'!A3:A115,"2005",'Systematic Mapping'!AA3:AA115,"*Tool*")</f>
        <v>2</v>
      </c>
      <c r="U22" s="248"/>
    </row>
    <row r="23" spans="1:21" x14ac:dyDescent="0.25">
      <c r="A23" s="1"/>
      <c r="B23" s="13"/>
      <c r="C23" s="13"/>
      <c r="Q23" s="12">
        <v>2</v>
      </c>
      <c r="R23" s="1">
        <v>2005</v>
      </c>
      <c r="S23" s="1">
        <f>COUNTIFS('Systematic Mapping'!$A$3:$A$115,R23,'Systematic Mapping'!$AA$3:$AA$115,"*Approach*")+COUNTIFS('Systematic Mapping'!$A$3:$A$115,R23,'Systematic Mapping'!$AA$3:$AA$115,"*Method*")</f>
        <v>3</v>
      </c>
      <c r="U23" s="248"/>
    </row>
    <row r="24" spans="1:21" x14ac:dyDescent="0.25">
      <c r="A24" s="1"/>
      <c r="B24" s="13"/>
      <c r="C24" s="13"/>
      <c r="Q24" s="12">
        <v>3</v>
      </c>
      <c r="R24" s="1">
        <v>2005</v>
      </c>
      <c r="S24" s="1">
        <f>COUNTIFS('Systematic Mapping'!$A$3:$A$115,R24,'Systematic Mapping'!$AA$3:$AA$115,"*Framework*")+COUNTIFS('Systematic Mapping'!$A$3:$A$115,R24,'Systematic Mapping'!$AA$3:$AA$115,"*Model*")</f>
        <v>2</v>
      </c>
      <c r="U24" s="248"/>
    </row>
    <row r="25" spans="1:21" x14ac:dyDescent="0.25">
      <c r="A25" s="1"/>
      <c r="B25" s="13"/>
      <c r="C25" s="13"/>
      <c r="Q25" s="12">
        <v>4</v>
      </c>
      <c r="R25" s="1">
        <v>2005</v>
      </c>
      <c r="S25" s="1">
        <f>COUNTIFS('Systematic Mapping'!$A$3:$A$115,R25,'Systematic Mapping'!$AA$3:$AA$115,"*Process*")+COUNTIFS('Systematic Mapping'!$A$3:$A$115,R25,'Systematic Mapping'!$AA$3:$AA$115,"*Algorithm*")</f>
        <v>1</v>
      </c>
      <c r="U25" s="248"/>
    </row>
    <row r="26" spans="1:21" x14ac:dyDescent="0.25">
      <c r="A26" s="1"/>
      <c r="B26" s="13"/>
      <c r="C26" s="13"/>
      <c r="Q26" s="12">
        <v>5</v>
      </c>
      <c r="R26" s="1">
        <v>2005</v>
      </c>
      <c r="S26" s="1">
        <f>COUNTIFS('Systematic Mapping'!$A$3:$A$115,R26,'Systematic Mapping'!$AA$3:$AA$115,"*Metric*")+COUNTIFS('Systematic Mapping'!$A$3:$A$115,R26,'Systematic Mapping'!$AA$3:$AA$115,"*Benchmark*")</f>
        <v>0</v>
      </c>
      <c r="U26" s="248"/>
    </row>
    <row r="27" spans="1:21" x14ac:dyDescent="0.25">
      <c r="A27" s="1"/>
      <c r="B27" s="13"/>
      <c r="C27" s="13"/>
      <c r="Q27" s="12">
        <v>1</v>
      </c>
      <c r="R27" s="1">
        <v>2006</v>
      </c>
      <c r="S27" s="1">
        <f>COUNTIFS('Systematic Mapping'!A3:A115,"2006",'Systematic Mapping'!AA3:AA115,"*Tool*")</f>
        <v>3</v>
      </c>
    </row>
    <row r="28" spans="1:21" x14ac:dyDescent="0.25">
      <c r="A28" s="1"/>
      <c r="B28" s="13"/>
      <c r="C28" s="13"/>
      <c r="Q28" s="12">
        <v>2</v>
      </c>
      <c r="R28" s="1">
        <v>2006</v>
      </c>
      <c r="S28" s="1">
        <f>COUNTIFS('Systematic Mapping'!$A$3:$A$115,R28,'Systematic Mapping'!$AA$3:$AA$115,"*Approach*")+COUNTIFS('Systematic Mapping'!$A$3:$A$115,R28,'Systematic Mapping'!$AA$3:$AA$115,"*Method*")</f>
        <v>2</v>
      </c>
    </row>
    <row r="29" spans="1:21" x14ac:dyDescent="0.25">
      <c r="A29" s="1"/>
      <c r="B29" s="13"/>
      <c r="C29" s="13"/>
      <c r="Q29" s="12">
        <v>3</v>
      </c>
      <c r="R29" s="1">
        <v>2006</v>
      </c>
      <c r="S29" s="1">
        <f>COUNTIFS('Systematic Mapping'!$A$3:$A$115,R29,'Systematic Mapping'!$AA$3:$AA$115,"*Framework*")+COUNTIFS('Systematic Mapping'!$A$3:$A$115,R29,'Systematic Mapping'!$AA$3:$AA$115,"*Model*")</f>
        <v>2</v>
      </c>
    </row>
    <row r="30" spans="1:21" x14ac:dyDescent="0.25">
      <c r="A30" s="1"/>
      <c r="B30" s="13"/>
      <c r="C30" s="13"/>
      <c r="Q30" s="12">
        <v>4</v>
      </c>
      <c r="R30" s="1">
        <v>2006</v>
      </c>
      <c r="S30" s="1">
        <f>COUNTIFS('Systematic Mapping'!$A$3:$A$115,R30,'Systematic Mapping'!$AA$3:$AA$115,"*Process*")+COUNTIFS('Systematic Mapping'!$A$3:$A$115,R30,'Systematic Mapping'!$AA$3:$AA$115,"*Algorithm*")</f>
        <v>1</v>
      </c>
    </row>
    <row r="31" spans="1:21" x14ac:dyDescent="0.25">
      <c r="A31" s="1"/>
      <c r="B31" s="13"/>
      <c r="C31" s="13"/>
      <c r="Q31" s="12">
        <v>5</v>
      </c>
      <c r="R31" s="1">
        <v>2006</v>
      </c>
      <c r="S31" s="1">
        <f>COUNTIFS('Systematic Mapping'!$A$3:$A$115,R31,'Systematic Mapping'!$AA$3:$AA$115,"*Metric*")+COUNTIFS('Systematic Mapping'!$A$3:$A$115,R31,'Systematic Mapping'!$AA$3:$AA$115,"*Benchmark*")</f>
        <v>0</v>
      </c>
    </row>
    <row r="32" spans="1:21" x14ac:dyDescent="0.25">
      <c r="A32" s="1"/>
      <c r="B32" s="13"/>
      <c r="C32" s="13"/>
      <c r="Q32" s="12">
        <v>1</v>
      </c>
      <c r="R32" s="249">
        <v>2007</v>
      </c>
      <c r="S32" s="1">
        <f>COUNTIFS('Systematic Mapping'!A3:A115,"2007",'Systematic Mapping'!AA3:AA115,"*Tool*")</f>
        <v>3</v>
      </c>
    </row>
    <row r="33" spans="1:19" x14ac:dyDescent="0.25">
      <c r="A33" s="1"/>
      <c r="B33" s="13"/>
      <c r="C33" s="13"/>
      <c r="Q33" s="12">
        <v>2</v>
      </c>
      <c r="R33" s="249">
        <v>2007</v>
      </c>
      <c r="S33" s="1">
        <f>COUNTIFS('Systematic Mapping'!$A$3:$A$115,R33,'Systematic Mapping'!$AA$3:$AA$115,"*Approach*")+COUNTIFS('Systematic Mapping'!$A$3:$A$115,R33,'Systematic Mapping'!$AA$3:$AA$115,"*Method*")</f>
        <v>4</v>
      </c>
    </row>
    <row r="34" spans="1:19" x14ac:dyDescent="0.25">
      <c r="A34" s="1"/>
      <c r="B34" s="13"/>
      <c r="C34" s="13"/>
      <c r="Q34" s="12">
        <v>3</v>
      </c>
      <c r="R34" s="249">
        <v>2007</v>
      </c>
      <c r="S34" s="1">
        <f>COUNTIFS('Systematic Mapping'!$A$3:$A$115,R34,'Systematic Mapping'!$AA$3:$AA$115,"*Framework*")+COUNTIFS('Systematic Mapping'!$A$3:$A$115,R34,'Systematic Mapping'!$AA$3:$AA$115,"*Model*")</f>
        <v>1</v>
      </c>
    </row>
    <row r="35" spans="1:19" x14ac:dyDescent="0.25">
      <c r="A35" s="1"/>
      <c r="B35" s="13"/>
      <c r="C35" s="13"/>
      <c r="Q35" s="12">
        <v>4</v>
      </c>
      <c r="R35" s="249">
        <v>2007</v>
      </c>
      <c r="S35" s="1">
        <f>COUNTIFS('Systematic Mapping'!$A$3:$A$115,R35,'Systematic Mapping'!$AA$3:$AA$115,"*Process*")+COUNTIFS('Systematic Mapping'!$A$3:$A$115,R35,'Systematic Mapping'!$AA$3:$AA$115,"*Algorithm*")</f>
        <v>2</v>
      </c>
    </row>
    <row r="36" spans="1:19" x14ac:dyDescent="0.25">
      <c r="A36" s="1"/>
      <c r="B36" s="13"/>
      <c r="C36" s="13"/>
      <c r="Q36" s="12">
        <v>5</v>
      </c>
      <c r="R36" s="249">
        <v>2007</v>
      </c>
      <c r="S36" s="1">
        <f>COUNTIFS('Systematic Mapping'!$A$3:$A$115,R36,'Systematic Mapping'!$AA$3:$AA$115,"*Metric*")+COUNTIFS('Systematic Mapping'!$A$3:$A$115,R36,'Systematic Mapping'!$AA$3:$AA$115,"*Benchmark*")</f>
        <v>0</v>
      </c>
    </row>
    <row r="37" spans="1:19" x14ac:dyDescent="0.25">
      <c r="A37" s="1"/>
      <c r="B37" s="13"/>
      <c r="C37" s="13"/>
      <c r="Q37" s="12">
        <v>1</v>
      </c>
      <c r="R37" s="13">
        <v>2008</v>
      </c>
      <c r="S37" s="1">
        <f>COUNTIFS('Systematic Mapping'!A3:A115,"2008",'Systematic Mapping'!AA3:AA115,"*Tool*")</f>
        <v>2</v>
      </c>
    </row>
    <row r="38" spans="1:19" x14ac:dyDescent="0.25">
      <c r="A38" s="1"/>
      <c r="B38" s="249"/>
      <c r="C38" s="249"/>
      <c r="Q38" s="12">
        <v>2</v>
      </c>
      <c r="R38" s="13">
        <v>2008</v>
      </c>
      <c r="S38" s="1">
        <f>COUNTIFS('Systematic Mapping'!$A$3:$A$115,R38,'Systematic Mapping'!$AA$3:$AA$115,"*Approach*")+COUNTIFS('Systematic Mapping'!$A$3:$A$115,R38,'Systematic Mapping'!$AA$3:$AA$115,"*Method*")</f>
        <v>2</v>
      </c>
    </row>
    <row r="39" spans="1:19" x14ac:dyDescent="0.25">
      <c r="A39" s="1"/>
      <c r="B39" s="13"/>
      <c r="C39" s="13"/>
      <c r="Q39" s="12">
        <v>3</v>
      </c>
      <c r="R39" s="13">
        <v>2008</v>
      </c>
      <c r="S39" s="1">
        <f>COUNTIFS('Systematic Mapping'!$A$3:$A$115,R39,'Systematic Mapping'!$AA$3:$AA$115,"*Framework*")+COUNTIFS('Systematic Mapping'!$A$3:$A$115,R39,'Systematic Mapping'!$AA$3:$AA$115,"*Model*")</f>
        <v>1</v>
      </c>
    </row>
    <row r="40" spans="1:19" x14ac:dyDescent="0.25">
      <c r="A40" s="1"/>
      <c r="B40" s="13"/>
      <c r="C40" s="13"/>
      <c r="Q40" s="12">
        <v>4</v>
      </c>
      <c r="R40" s="13">
        <v>2008</v>
      </c>
      <c r="S40" s="1">
        <f>COUNTIFS('Systematic Mapping'!$A$3:$A$115,R40,'Systematic Mapping'!$AA$3:$AA$115,"*Process*")+COUNTIFS('Systematic Mapping'!$A$3:$A$115,R40,'Systematic Mapping'!$AA$3:$AA$115,"*Algorithm*")</f>
        <v>0</v>
      </c>
    </row>
    <row r="41" spans="1:19" x14ac:dyDescent="0.25">
      <c r="A41" s="1"/>
      <c r="B41" s="13"/>
      <c r="C41" s="13"/>
      <c r="Q41" s="12">
        <v>5</v>
      </c>
      <c r="R41" s="13">
        <v>2008</v>
      </c>
      <c r="S41" s="1">
        <f>COUNTIFS('Systematic Mapping'!$A$3:$A$115,R41,'Systematic Mapping'!$AA$3:$AA$115,"*Metric*")+COUNTIFS('Systematic Mapping'!$A$3:$A$115,R41,'Systematic Mapping'!$AA$3:$AA$115,"*Benchmark*")</f>
        <v>0</v>
      </c>
    </row>
    <row r="42" spans="1:19" x14ac:dyDescent="0.25">
      <c r="A42" s="1"/>
      <c r="B42" s="13"/>
      <c r="C42" s="13"/>
      <c r="Q42" s="12">
        <v>1</v>
      </c>
      <c r="R42" s="249">
        <v>2009</v>
      </c>
      <c r="S42" s="1">
        <f>COUNTIFS('Systematic Mapping'!A3:A115,"2009",'Systematic Mapping'!AA3:AA115,"*Tool*")</f>
        <v>5</v>
      </c>
    </row>
    <row r="43" spans="1:19" x14ac:dyDescent="0.25">
      <c r="A43" s="1"/>
      <c r="B43" s="13"/>
      <c r="C43" s="13"/>
      <c r="Q43" s="12">
        <v>2</v>
      </c>
      <c r="R43" s="249">
        <v>2009</v>
      </c>
      <c r="S43" s="1">
        <f>COUNTIFS('Systematic Mapping'!$A$3:$A$115,R43,'Systematic Mapping'!$AA$3:$AA$115,"*Approach*")+COUNTIFS('Systematic Mapping'!$A$3:$A$115,R43,'Systematic Mapping'!$AA$3:$AA$115,"*Method*")</f>
        <v>6</v>
      </c>
    </row>
    <row r="44" spans="1:19" x14ac:dyDescent="0.25">
      <c r="A44" s="1"/>
      <c r="B44" s="13"/>
      <c r="C44" s="13"/>
      <c r="Q44" s="12">
        <v>3</v>
      </c>
      <c r="R44" s="249">
        <v>2009</v>
      </c>
      <c r="S44" s="1">
        <f>COUNTIFS('Systematic Mapping'!$A$3:$A$115,R44,'Systematic Mapping'!$AA$3:$AA$115,"*Framework*")+COUNTIFS('Systematic Mapping'!$A$3:$A$115,R44,'Systematic Mapping'!$AA$3:$AA$115,"*Model*")</f>
        <v>2</v>
      </c>
    </row>
    <row r="45" spans="1:19" x14ac:dyDescent="0.25">
      <c r="A45" s="1"/>
      <c r="B45" s="13"/>
      <c r="C45" s="13"/>
      <c r="Q45" s="12">
        <v>4</v>
      </c>
      <c r="R45" s="249">
        <v>2009</v>
      </c>
      <c r="S45" s="1">
        <f>COUNTIFS('Systematic Mapping'!$A$3:$A$115,R45,'Systematic Mapping'!$AA$3:$AA$115,"*Process*")+COUNTIFS('Systematic Mapping'!$A$3:$A$115,R45,'Systematic Mapping'!$AA$3:$AA$115,"*Algorithm*")</f>
        <v>1</v>
      </c>
    </row>
    <row r="46" spans="1:19" x14ac:dyDescent="0.25">
      <c r="A46" s="1"/>
      <c r="B46" s="13"/>
      <c r="C46" s="13"/>
      <c r="Q46" s="12">
        <v>5</v>
      </c>
      <c r="R46" s="249">
        <v>2009</v>
      </c>
      <c r="S46" s="1">
        <f>COUNTIFS('Systematic Mapping'!$A$3:$A$115,R46,'Systematic Mapping'!$AA$3:$AA$115,"*Metric*")+COUNTIFS('Systematic Mapping'!$A$3:$A$115,R46,'Systematic Mapping'!$AA$3:$AA$115,"*Benchmark*")</f>
        <v>0</v>
      </c>
    </row>
    <row r="47" spans="1:19" x14ac:dyDescent="0.25">
      <c r="A47" s="1"/>
      <c r="B47" s="13"/>
      <c r="C47" s="13"/>
      <c r="Q47" s="12">
        <v>1</v>
      </c>
      <c r="R47" s="249">
        <v>2010</v>
      </c>
      <c r="S47" s="1">
        <f>COUNTIFS('Systematic Mapping'!A3:A115,"2010",'Systematic Mapping'!AA3:AA115,"*Tool*")</f>
        <v>6</v>
      </c>
    </row>
    <row r="48" spans="1:19" x14ac:dyDescent="0.25">
      <c r="A48" s="1"/>
      <c r="B48" s="13"/>
      <c r="C48" s="13"/>
      <c r="Q48" s="12">
        <v>2</v>
      </c>
      <c r="R48" s="249">
        <v>2010</v>
      </c>
      <c r="S48" s="1">
        <f>COUNTIFS('Systematic Mapping'!$A$3:$A$115,R48,'Systematic Mapping'!$AA$3:$AA$115,"*Approach*")+COUNTIFS('Systematic Mapping'!$A$3:$A$115,R48,'Systematic Mapping'!$AA$3:$AA$115,"*Method*")</f>
        <v>9</v>
      </c>
    </row>
    <row r="49" spans="1:19" x14ac:dyDescent="0.25">
      <c r="A49" s="1"/>
      <c r="B49" s="13"/>
      <c r="C49" s="13"/>
      <c r="Q49" s="12">
        <v>3</v>
      </c>
      <c r="R49" s="249">
        <v>2010</v>
      </c>
      <c r="S49" s="1">
        <f>COUNTIFS('Systematic Mapping'!$A$3:$A$115,R49,'Systematic Mapping'!$AA$3:$AA$115,"*Framework*")+COUNTIFS('Systematic Mapping'!$A$3:$A$115,R49,'Systematic Mapping'!$AA$3:$AA$115,"*Model*")</f>
        <v>3</v>
      </c>
    </row>
    <row r="50" spans="1:19" x14ac:dyDescent="0.25">
      <c r="A50" s="1"/>
      <c r="B50" s="13"/>
      <c r="C50" s="13"/>
      <c r="Q50" s="12">
        <v>4</v>
      </c>
      <c r="R50" s="249">
        <v>2010</v>
      </c>
      <c r="S50" s="1">
        <f>COUNTIFS('Systematic Mapping'!$A$3:$A$115,R50,'Systematic Mapping'!$AA$3:$AA$115,"*Process*")+COUNTIFS('Systematic Mapping'!$A$3:$A$115,R50,'Systematic Mapping'!$AA$3:$AA$115,"*Algorithm*")</f>
        <v>1</v>
      </c>
    </row>
    <row r="51" spans="1:19" x14ac:dyDescent="0.25">
      <c r="A51" s="1"/>
      <c r="B51" s="249"/>
      <c r="C51" s="249"/>
      <c r="Q51" s="12">
        <v>5</v>
      </c>
      <c r="R51" s="249">
        <v>2010</v>
      </c>
      <c r="S51" s="1">
        <f>COUNTIFS('Systematic Mapping'!$A$3:$A$115,R51,'Systematic Mapping'!$AA$3:$AA$115,"*Metric*")+COUNTIFS('Systematic Mapping'!$A$3:$A$115,R51,'Systematic Mapping'!$AA$3:$AA$115,"*Benchmark*")</f>
        <v>0</v>
      </c>
    </row>
    <row r="52" spans="1:19" x14ac:dyDescent="0.25">
      <c r="A52" s="1"/>
      <c r="B52" s="249"/>
      <c r="C52" s="249"/>
      <c r="Q52" s="12">
        <v>1</v>
      </c>
      <c r="R52" s="249">
        <v>2011</v>
      </c>
      <c r="S52" s="1">
        <f>COUNTIFS('Systematic Mapping'!A3:A115,"2011",'Systematic Mapping'!AA3:AA115,"*Tool*")</f>
        <v>2</v>
      </c>
    </row>
    <row r="53" spans="1:19" x14ac:dyDescent="0.25">
      <c r="A53" s="1"/>
      <c r="B53" s="249"/>
      <c r="C53" s="249"/>
      <c r="Q53" s="12">
        <v>2</v>
      </c>
      <c r="R53" s="249">
        <v>2011</v>
      </c>
      <c r="S53" s="1">
        <f>COUNTIFS('Systematic Mapping'!$A$3:$A$115,R53,'Systematic Mapping'!$AA$3:$AA$115,"*Approach*")+COUNTIFS('Systematic Mapping'!$A$3:$A$115,R53,'Systematic Mapping'!$AA$3:$AA$115,"*Method*")</f>
        <v>5</v>
      </c>
    </row>
    <row r="54" spans="1:19" x14ac:dyDescent="0.25">
      <c r="A54" s="1"/>
      <c r="B54" s="249"/>
      <c r="C54" s="249"/>
      <c r="Q54" s="12">
        <v>3</v>
      </c>
      <c r="R54" s="249">
        <v>2011</v>
      </c>
      <c r="S54" s="1">
        <f>COUNTIFS('Systematic Mapping'!$A$3:$A$115,R54,'Systematic Mapping'!$AA$3:$AA$115,"*Framework*")+COUNTIFS('Systematic Mapping'!$A$3:$A$115,R54,'Systematic Mapping'!$AA$3:$AA$115,"*Model*")</f>
        <v>2</v>
      </c>
    </row>
    <row r="55" spans="1:19" x14ac:dyDescent="0.25">
      <c r="A55" s="1"/>
      <c r="B55" s="249"/>
      <c r="C55" s="249"/>
      <c r="Q55" s="12">
        <v>4</v>
      </c>
      <c r="R55" s="249">
        <v>2011</v>
      </c>
      <c r="S55" s="1">
        <f>COUNTIFS('Systematic Mapping'!$A$3:$A$115,R55,'Systematic Mapping'!$AA$3:$AA$115,"*Process*")+COUNTIFS('Systematic Mapping'!$A$3:$A$115,R55,'Systematic Mapping'!$AA$3:$AA$115,"*Algorithm*")</f>
        <v>1</v>
      </c>
    </row>
    <row r="56" spans="1:19" x14ac:dyDescent="0.25">
      <c r="A56" s="1"/>
      <c r="B56" s="249"/>
      <c r="C56" s="249"/>
      <c r="Q56" s="12">
        <v>5</v>
      </c>
      <c r="R56" s="249">
        <v>2011</v>
      </c>
      <c r="S56" s="1">
        <f>COUNTIFS('Systematic Mapping'!$A$3:$A$115,R56,'Systematic Mapping'!$AA$3:$AA$115,"*Metric*")+COUNTIFS('Systematic Mapping'!$A$3:$A$115,R56,'Systematic Mapping'!$AA$3:$AA$115,"*Benchmark*")</f>
        <v>0</v>
      </c>
    </row>
    <row r="57" spans="1:19" x14ac:dyDescent="0.25">
      <c r="A57" s="1"/>
      <c r="B57" s="249"/>
      <c r="C57" s="249"/>
      <c r="Q57" s="12">
        <v>1</v>
      </c>
      <c r="R57" s="249">
        <v>2012</v>
      </c>
      <c r="S57" s="1">
        <f>COUNTIFS('Systematic Mapping'!A3:A115,"2012",'Systematic Mapping'!AA3:AA115,"*Tool*")</f>
        <v>4</v>
      </c>
    </row>
    <row r="58" spans="1:19" x14ac:dyDescent="0.25">
      <c r="A58" s="1"/>
      <c r="B58" s="249"/>
      <c r="C58" s="249"/>
      <c r="Q58" s="12">
        <v>2</v>
      </c>
      <c r="R58" s="249">
        <v>2012</v>
      </c>
      <c r="S58" s="1">
        <f>COUNTIFS('Systematic Mapping'!$A$3:$A$115,R58,'Systematic Mapping'!$AA$3:$AA$115,"*Approach*")+COUNTIFS('Systematic Mapping'!$A$3:$A$115,R58,'Systematic Mapping'!$AA$3:$AA$115,"*Method*")</f>
        <v>5</v>
      </c>
    </row>
    <row r="59" spans="1:19" x14ac:dyDescent="0.25">
      <c r="A59" s="1"/>
      <c r="B59" s="249"/>
      <c r="C59" s="249"/>
      <c r="Q59" s="12">
        <v>3</v>
      </c>
      <c r="R59" s="249">
        <v>2012</v>
      </c>
      <c r="S59" s="1">
        <f>COUNTIFS('Systematic Mapping'!$A$3:$A$115,R59,'Systematic Mapping'!$AA$3:$AA$115,"*Framework*")+COUNTIFS('Systematic Mapping'!$A$3:$A$115,R59,'Systematic Mapping'!$AA$3:$AA$115,"*Model*")</f>
        <v>1</v>
      </c>
    </row>
    <row r="60" spans="1:19" x14ac:dyDescent="0.25">
      <c r="A60" s="1"/>
      <c r="B60" s="249"/>
      <c r="C60" s="249"/>
      <c r="Q60" s="12">
        <v>4</v>
      </c>
      <c r="R60" s="249">
        <v>2012</v>
      </c>
      <c r="S60" s="1">
        <f>COUNTIFS('Systematic Mapping'!$A$3:$A$115,R60,'Systematic Mapping'!$AA$3:$AA$115,"*Process*")+COUNTIFS('Systematic Mapping'!$A$3:$A$115,R60,'Systematic Mapping'!$AA$3:$AA$115,"*Algorithm*")</f>
        <v>3</v>
      </c>
    </row>
    <row r="61" spans="1:19" x14ac:dyDescent="0.25">
      <c r="A61" s="1"/>
      <c r="B61" s="249"/>
      <c r="C61" s="249"/>
      <c r="Q61" s="12">
        <v>5</v>
      </c>
      <c r="R61" s="249">
        <v>2012</v>
      </c>
      <c r="S61" s="1">
        <f>COUNTIFS('Systematic Mapping'!$A$3:$A$115,R61,'Systematic Mapping'!$AA$3:$AA$115,"*Metric*")+COUNTIFS('Systematic Mapping'!$A$3:$A$115,R61,'Systematic Mapping'!$AA$3:$AA$115,"*Benchmark*")</f>
        <v>0</v>
      </c>
    </row>
    <row r="62" spans="1:19" x14ac:dyDescent="0.25">
      <c r="A62" s="1"/>
      <c r="B62" s="249"/>
      <c r="C62" s="249"/>
      <c r="Q62" s="12">
        <v>1</v>
      </c>
      <c r="R62" s="249">
        <v>2013</v>
      </c>
      <c r="S62" s="1">
        <f>COUNTIFS('Systematic Mapping'!A3:A115,"2013",'Systematic Mapping'!AA3:AA115,"*Tool*")</f>
        <v>7</v>
      </c>
    </row>
    <row r="63" spans="1:19" x14ac:dyDescent="0.25">
      <c r="A63" s="1"/>
      <c r="B63" s="249"/>
      <c r="C63" s="249"/>
      <c r="Q63" s="12">
        <v>2</v>
      </c>
      <c r="R63" s="249">
        <v>2013</v>
      </c>
      <c r="S63" s="1">
        <f>COUNTIFS('Systematic Mapping'!$A$3:$A$115,R63,'Systematic Mapping'!$AA$3:$AA$115,"*Approach*")+COUNTIFS('Systematic Mapping'!$A$3:$A$115,R63,'Systematic Mapping'!$AA$3:$AA$115,"*Method*")</f>
        <v>7</v>
      </c>
    </row>
    <row r="64" spans="1:19" x14ac:dyDescent="0.25">
      <c r="A64" s="1"/>
      <c r="B64" s="249"/>
      <c r="C64" s="249"/>
      <c r="Q64" s="12">
        <v>3</v>
      </c>
      <c r="R64" s="249">
        <v>2013</v>
      </c>
      <c r="S64" s="1">
        <f>COUNTIFS('Systematic Mapping'!$A$3:$A$115,R64,'Systematic Mapping'!$AA$3:$AA$115,"*Framework*")+COUNTIFS('Systematic Mapping'!$A$3:$A$115,R64,'Systematic Mapping'!$AA$3:$AA$115,"*Model*")</f>
        <v>0</v>
      </c>
    </row>
    <row r="65" spans="1:19" x14ac:dyDescent="0.25">
      <c r="A65" s="1"/>
      <c r="B65" s="249"/>
      <c r="C65" s="249"/>
      <c r="Q65" s="12">
        <v>4</v>
      </c>
      <c r="R65" s="249">
        <v>2013</v>
      </c>
      <c r="S65" s="1">
        <f>COUNTIFS('Systematic Mapping'!$A$3:$A$115,R65,'Systematic Mapping'!$AA$3:$AA$115,"*Process*")+COUNTIFS('Systematic Mapping'!$A$3:$A$115,R65,'Systematic Mapping'!$AA$3:$AA$115,"*Algorithm*")</f>
        <v>4</v>
      </c>
    </row>
    <row r="66" spans="1:19" x14ac:dyDescent="0.25">
      <c r="A66" s="1"/>
      <c r="B66" s="249"/>
      <c r="C66" s="249"/>
      <c r="Q66" s="12">
        <v>5</v>
      </c>
      <c r="R66" s="249">
        <v>2013</v>
      </c>
      <c r="S66" s="1">
        <f>COUNTIFS('Systematic Mapping'!$A$3:$A$115,R66,'Systematic Mapping'!$AA$3:$AA$115,"*Metric*")+COUNTIFS('Systematic Mapping'!$A$3:$A$115,R66,'Systematic Mapping'!$AA$3:$AA$115,"*Benchmark*")</f>
        <v>0</v>
      </c>
    </row>
    <row r="67" spans="1:19" x14ac:dyDescent="0.25">
      <c r="A67" s="1"/>
      <c r="B67" s="249"/>
      <c r="C67" s="249"/>
      <c r="P67" s="71"/>
      <c r="Q67" s="12">
        <v>1</v>
      </c>
      <c r="R67" s="249">
        <v>2014</v>
      </c>
      <c r="S67" s="1">
        <f>COUNTIFS('Systematic Mapping'!A3:A115,"2014",'Systematic Mapping'!AA3:AA115,"*Tool*")</f>
        <v>5</v>
      </c>
    </row>
    <row r="68" spans="1:19" x14ac:dyDescent="0.25">
      <c r="A68" s="1"/>
      <c r="B68" s="249"/>
      <c r="C68" s="249"/>
      <c r="Q68" s="12">
        <v>2</v>
      </c>
      <c r="R68" s="249">
        <v>2014</v>
      </c>
      <c r="S68" s="1">
        <f>COUNTIFS('Systematic Mapping'!$A$3:$A$115,R68,'Systematic Mapping'!$AA$3:$AA$115,"*Approach*")+COUNTIFS('Systematic Mapping'!$A$3:$A$115,R68,'Systematic Mapping'!$AA$3:$AA$115,"*Method*")</f>
        <v>6</v>
      </c>
    </row>
    <row r="69" spans="1:19" x14ac:dyDescent="0.25">
      <c r="A69" s="1"/>
      <c r="B69" s="249"/>
      <c r="C69" s="249"/>
      <c r="Q69" s="12">
        <v>3</v>
      </c>
      <c r="R69" s="249">
        <v>2014</v>
      </c>
      <c r="S69" s="1">
        <f>COUNTIFS('Systematic Mapping'!$A$3:$A$115,R69,'Systematic Mapping'!$AA$3:$AA$115,"*Framework*")+COUNTIFS('Systematic Mapping'!$A$3:$A$115,R69,'Systematic Mapping'!$AA$3:$AA$115,"*Model*")</f>
        <v>2</v>
      </c>
    </row>
    <row r="70" spans="1:19" x14ac:dyDescent="0.25">
      <c r="A70" s="1"/>
      <c r="B70" s="249"/>
      <c r="C70" s="249"/>
      <c r="Q70" s="12">
        <v>4</v>
      </c>
      <c r="R70" s="249">
        <v>2014</v>
      </c>
      <c r="S70" s="1">
        <f>COUNTIFS('Systematic Mapping'!$A$3:$A$115,R70,'Systematic Mapping'!$AA$3:$AA$115,"*Process*")+COUNTIFS('Systematic Mapping'!$A$3:$A$115,R70,'Systematic Mapping'!$AA$3:$AA$115,"*Algorithm*")</f>
        <v>2</v>
      </c>
    </row>
    <row r="71" spans="1:19" x14ac:dyDescent="0.25">
      <c r="A71" s="1"/>
      <c r="B71" s="249"/>
      <c r="C71" s="249"/>
      <c r="Q71" s="12">
        <v>5</v>
      </c>
      <c r="R71" s="249">
        <v>2014</v>
      </c>
      <c r="S71" s="1">
        <f>COUNTIFS('Systematic Mapping'!$A$3:$A$115,R71,'Systematic Mapping'!$AA$3:$AA$115,"*Metric*")+COUNTIFS('Systematic Mapping'!$A$3:$A$115,R71,'Systematic Mapping'!$AA$3:$AA$115,"*Benchmark*")</f>
        <v>2</v>
      </c>
    </row>
    <row r="72" spans="1:19" x14ac:dyDescent="0.25">
      <c r="A72" s="1"/>
      <c r="B72" s="249"/>
      <c r="C72" s="249"/>
      <c r="Q72" s="12">
        <v>1</v>
      </c>
      <c r="R72" s="1">
        <v>2015</v>
      </c>
      <c r="S72" s="1">
        <f>COUNTIFS('Systematic Mapping'!A3:A115,"2015",'Systematic Mapping'!AA3:AA115,"*Tool*")</f>
        <v>7</v>
      </c>
    </row>
    <row r="73" spans="1:19" x14ac:dyDescent="0.25">
      <c r="A73" s="1"/>
      <c r="B73" s="249"/>
      <c r="C73" s="249"/>
      <c r="Q73" s="12">
        <v>2</v>
      </c>
      <c r="R73" s="1">
        <v>2015</v>
      </c>
      <c r="S73" s="1">
        <f>COUNTIFS('Systematic Mapping'!$A$3:$A$115,R73,'Systematic Mapping'!$AA$3:$AA$115,"*Approach*")+COUNTIFS('Systematic Mapping'!$A$3:$A$115,R73,'Systematic Mapping'!$AA$3:$AA$115,"*Method*")</f>
        <v>6</v>
      </c>
    </row>
    <row r="74" spans="1:19" x14ac:dyDescent="0.25">
      <c r="A74" s="1"/>
      <c r="B74" s="249"/>
      <c r="C74" s="249"/>
      <c r="Q74" s="12">
        <v>3</v>
      </c>
      <c r="R74" s="1">
        <v>2015</v>
      </c>
      <c r="S74" s="1">
        <f>COUNTIFS('Systematic Mapping'!$A$3:$A$115,R74,'Systematic Mapping'!$AA$3:$AA$115,"*Framework*")+COUNTIFS('Systematic Mapping'!$A$3:$A$115,R74,'Systematic Mapping'!$AA$3:$AA$115,"*Model*")</f>
        <v>3</v>
      </c>
    </row>
    <row r="75" spans="1:19" x14ac:dyDescent="0.25">
      <c r="A75" s="1"/>
      <c r="B75" s="249"/>
      <c r="C75" s="249"/>
      <c r="Q75" s="12">
        <v>4</v>
      </c>
      <c r="R75" s="1">
        <v>2015</v>
      </c>
      <c r="S75" s="1">
        <f>COUNTIFS('Systematic Mapping'!$A$3:$A$115,R75,'Systematic Mapping'!$AA$3:$AA$115,"*Process*")+COUNTIFS('Systematic Mapping'!$A$3:$A$115,R75,'Systematic Mapping'!$AA$3:$AA$115,"*Algorithm*")</f>
        <v>2</v>
      </c>
    </row>
    <row r="76" spans="1:19" x14ac:dyDescent="0.25">
      <c r="A76" s="1"/>
      <c r="B76" s="249"/>
      <c r="C76" s="249"/>
      <c r="Q76" s="12">
        <v>5</v>
      </c>
      <c r="R76" s="1">
        <v>2015</v>
      </c>
      <c r="S76" s="1">
        <f>COUNTIFS('Systematic Mapping'!$A$3:$A$115,R76,'Systematic Mapping'!$AA$3:$AA$115,"*Metric*")+COUNTIFS('Systematic Mapping'!$A$3:$A$115,R76,'Systematic Mapping'!$AA$3:$AA$115,"*Benchmark*")</f>
        <v>2</v>
      </c>
    </row>
    <row r="77" spans="1:19" x14ac:dyDescent="0.25">
      <c r="A77" s="1"/>
      <c r="B77" s="249"/>
      <c r="C77" s="249"/>
      <c r="Q77" s="12">
        <v>1</v>
      </c>
      <c r="R77" s="1">
        <v>2016</v>
      </c>
      <c r="S77" s="1">
        <f>COUNTIFS('Systematic Mapping'!A3:A115,"2016",'Systematic Mapping'!AA3:AA115,"*Tool*")</f>
        <v>5</v>
      </c>
    </row>
    <row r="78" spans="1:19" x14ac:dyDescent="0.25">
      <c r="A78" s="1"/>
      <c r="B78" s="249"/>
      <c r="C78" s="249"/>
      <c r="Q78" s="12">
        <v>2</v>
      </c>
      <c r="R78" s="1">
        <v>2016</v>
      </c>
      <c r="S78" s="1">
        <f>COUNTIFS('Systematic Mapping'!$A$3:$A$115,R78,'Systematic Mapping'!$AA$3:$AA$115,"*Approach*")+COUNTIFS('Systematic Mapping'!$A$3:$A$115,R78,'Systematic Mapping'!$AA$3:$AA$115,"*Method*")</f>
        <v>6</v>
      </c>
    </row>
    <row r="79" spans="1:19" x14ac:dyDescent="0.25">
      <c r="A79" s="1"/>
      <c r="B79" s="249"/>
      <c r="C79" s="249"/>
      <c r="Q79" s="12">
        <v>3</v>
      </c>
      <c r="R79" s="1">
        <v>2016</v>
      </c>
      <c r="S79" s="1">
        <f>COUNTIFS('Systematic Mapping'!$A$3:$A$115,R79,'Systematic Mapping'!$AA$3:$AA$115,"*Framework*")+COUNTIFS('Systematic Mapping'!$A$3:$A$115,R79,'Systematic Mapping'!$AA$3:$AA$115,"*Model*")</f>
        <v>2</v>
      </c>
    </row>
    <row r="80" spans="1:19" x14ac:dyDescent="0.25">
      <c r="A80" s="1"/>
      <c r="B80" s="249"/>
      <c r="C80" s="249"/>
      <c r="Q80" s="12">
        <v>4</v>
      </c>
      <c r="R80" s="1">
        <v>2016</v>
      </c>
      <c r="S80" s="1">
        <f>COUNTIFS('Systematic Mapping'!$A$3:$A$115,R80,'Systematic Mapping'!$AA$3:$AA$115,"*Process*")+COUNTIFS('Systematic Mapping'!$A$3:$A$115,R80,'Systematic Mapping'!$AA$3:$AA$115,"*Algorithm*")</f>
        <v>2</v>
      </c>
    </row>
    <row r="81" spans="1:19" x14ac:dyDescent="0.25">
      <c r="A81" s="1"/>
      <c r="B81" s="249"/>
      <c r="C81" s="249"/>
      <c r="Q81" s="12">
        <v>5</v>
      </c>
      <c r="R81" s="1">
        <v>2016</v>
      </c>
      <c r="S81" s="1">
        <f>COUNTIFS('Systematic Mapping'!$A$3:$A$115,R81,'Systematic Mapping'!$AA$3:$AA$115,"*Metric*")+COUNTIFS('Systematic Mapping'!$A$3:$A$115,R81,'Systematic Mapping'!$AA$3:$AA$115,"*Benchmark*")</f>
        <v>3</v>
      </c>
    </row>
    <row r="82" spans="1:19" x14ac:dyDescent="0.25">
      <c r="A82" s="1"/>
      <c r="B82" s="249"/>
      <c r="C82" s="249"/>
      <c r="Q82" s="12">
        <v>1</v>
      </c>
      <c r="R82" s="1">
        <v>2017</v>
      </c>
      <c r="S82" s="1">
        <f>COUNTIFS('Systematic Mapping'!A3:A115,"2017",'Systematic Mapping'!AA3:AA115,"*Tool*")</f>
        <v>6</v>
      </c>
    </row>
    <row r="83" spans="1:19" x14ac:dyDescent="0.25">
      <c r="A83" s="1"/>
      <c r="B83" s="249"/>
      <c r="C83" s="249"/>
      <c r="Q83" s="12">
        <v>2</v>
      </c>
      <c r="R83" s="1">
        <v>2017</v>
      </c>
      <c r="S83" s="1">
        <f>COUNTIFS('Systematic Mapping'!$A$3:$A$115,R83,'Systematic Mapping'!$AA$3:$AA$115,"*Approach*")+COUNTIFS('Systematic Mapping'!$A$3:$A$115,R83,'Systematic Mapping'!$AA$3:$AA$115,"*Method*")</f>
        <v>6</v>
      </c>
    </row>
    <row r="84" spans="1:19" x14ac:dyDescent="0.25">
      <c r="A84" s="1"/>
      <c r="B84" s="249"/>
      <c r="C84" s="249"/>
      <c r="Q84" s="12">
        <v>3</v>
      </c>
      <c r="R84" s="1">
        <v>2017</v>
      </c>
      <c r="S84" s="1">
        <f>COUNTIFS('Systematic Mapping'!$A$3:$A$115,R84,'Systematic Mapping'!$AA$3:$AA$115,"*Framework*")+COUNTIFS('Systematic Mapping'!$A$3:$A$115,R84,'Systematic Mapping'!$AA$3:$AA$115,"*Model*")</f>
        <v>4</v>
      </c>
    </row>
    <row r="85" spans="1:19" x14ac:dyDescent="0.25">
      <c r="A85" s="1"/>
      <c r="B85" s="249"/>
      <c r="C85" s="249"/>
      <c r="Q85" s="12">
        <v>4</v>
      </c>
      <c r="R85" s="1">
        <v>2017</v>
      </c>
      <c r="S85" s="1">
        <f>COUNTIFS('Systematic Mapping'!$A$3:$A$115,R85,'Systematic Mapping'!$AA$3:$AA$115,"*Process*")+COUNTIFS('Systematic Mapping'!$A$3:$A$115,R85,'Systematic Mapping'!$AA$3:$AA$115,"*Algorithm*")</f>
        <v>5</v>
      </c>
    </row>
    <row r="86" spans="1:19" x14ac:dyDescent="0.25">
      <c r="A86" s="1"/>
      <c r="B86" s="249"/>
      <c r="C86" s="249"/>
      <c r="Q86" s="12">
        <v>5</v>
      </c>
      <c r="R86" s="1">
        <v>2017</v>
      </c>
      <c r="S86" s="1">
        <f>COUNTIFS('Systematic Mapping'!$A$3:$A$115,R86,'Systematic Mapping'!$AA$3:$AA$115,"*Metric*")+COUNTIFS('Systematic Mapping'!$A$3:$A$115,R86,'Systematic Mapping'!$AA$3:$AA$115,"*Benchmark*")</f>
        <v>1</v>
      </c>
    </row>
    <row r="87" spans="1:19" x14ac:dyDescent="0.25">
      <c r="A87" s="1"/>
      <c r="B87" s="249"/>
      <c r="C87" s="249"/>
      <c r="Q87" s="12">
        <v>1</v>
      </c>
      <c r="R87" s="1">
        <v>2018</v>
      </c>
      <c r="S87" s="1">
        <f>COUNTIFS('Systematic Mapping'!A3:A115,"2018",'Systematic Mapping'!AA3:AA115,"*Tool*")</f>
        <v>3</v>
      </c>
    </row>
    <row r="88" spans="1:19" x14ac:dyDescent="0.25">
      <c r="A88" s="1"/>
      <c r="B88" s="249"/>
      <c r="C88" s="249"/>
      <c r="Q88" s="12">
        <v>2</v>
      </c>
      <c r="R88" s="1">
        <v>2018</v>
      </c>
      <c r="S88" s="1">
        <f>COUNTIFS('Systematic Mapping'!$A$3:$A$115,R88,'Systematic Mapping'!$AA$3:$AA$115,"*Approach*")+COUNTIFS('Systematic Mapping'!$A$3:$A$115,R88,'Systematic Mapping'!$AA$3:$AA$115,"*Method*")</f>
        <v>5</v>
      </c>
    </row>
    <row r="89" spans="1:19" x14ac:dyDescent="0.25">
      <c r="A89" s="1"/>
      <c r="B89" s="249"/>
      <c r="C89" s="249"/>
      <c r="Q89" s="12">
        <v>3</v>
      </c>
      <c r="R89" s="1">
        <v>2018</v>
      </c>
      <c r="S89" s="1">
        <f>COUNTIFS('Systematic Mapping'!$A$3:$A$115,R89,'Systematic Mapping'!$AA$3:$AA$115,"*Framework*")+COUNTIFS('Systematic Mapping'!$A$3:$A$115,R89,'Systematic Mapping'!$AA$3:$AA$115,"*Model*")</f>
        <v>1</v>
      </c>
    </row>
    <row r="90" spans="1:19" x14ac:dyDescent="0.25">
      <c r="A90" s="1"/>
      <c r="B90" s="249"/>
      <c r="C90" s="249"/>
      <c r="Q90" s="12">
        <v>4</v>
      </c>
      <c r="R90" s="1">
        <v>2018</v>
      </c>
      <c r="S90" s="1">
        <f>COUNTIFS('Systematic Mapping'!$A$3:$A$115,R90,'Systematic Mapping'!$AA$3:$AA$115,"*Process*")+COUNTIFS('Systematic Mapping'!$A$3:$A$115,R90,'Systematic Mapping'!$AA$3:$AA$115,"*Algorithm*")</f>
        <v>0</v>
      </c>
    </row>
    <row r="91" spans="1:19" x14ac:dyDescent="0.25">
      <c r="A91" s="1"/>
      <c r="B91" s="249"/>
      <c r="C91" s="249"/>
      <c r="Q91" s="12">
        <v>5</v>
      </c>
      <c r="R91" s="1">
        <v>2018</v>
      </c>
      <c r="S91" s="1">
        <f>COUNTIFS('Systematic Mapping'!$A$3:$A$115,R91,'Systematic Mapping'!$AA$3:$AA$115,"*Metric*")+COUNTIFS('Systematic Mapping'!$A$3:$A$115,R91,'Systematic Mapping'!$AA$3:$AA$115,"*Benchmark*")</f>
        <v>0</v>
      </c>
    </row>
    <row r="92" spans="1:19" x14ac:dyDescent="0.25">
      <c r="A92" s="1"/>
      <c r="B92" s="249"/>
      <c r="C92" s="249"/>
      <c r="Q92" s="12">
        <v>1</v>
      </c>
      <c r="R92" s="1">
        <v>2019</v>
      </c>
      <c r="S92" s="1">
        <f>COUNTIFS('Systematic Mapping'!A3:A115,"2019",'Systematic Mapping'!AA3:AA115,"*Tool*")</f>
        <v>8</v>
      </c>
    </row>
    <row r="93" spans="1:19" x14ac:dyDescent="0.25">
      <c r="A93" s="1"/>
      <c r="B93" s="249"/>
      <c r="C93" s="249"/>
      <c r="Q93" s="12">
        <v>2</v>
      </c>
      <c r="R93" s="1">
        <v>2019</v>
      </c>
      <c r="S93" s="1">
        <f>COUNTIFS('Systematic Mapping'!$A$3:$A$115,R93,'Systematic Mapping'!$AA$3:$AA$115,"*Approach*")+COUNTIFS('Systematic Mapping'!$A$3:$A$115,R93,'Systematic Mapping'!$AA$3:$AA$115,"*Method*")</f>
        <v>7</v>
      </c>
    </row>
    <row r="94" spans="1:19" x14ac:dyDescent="0.25">
      <c r="A94" s="1"/>
      <c r="B94" s="249"/>
      <c r="C94" s="249"/>
      <c r="Q94" s="12">
        <v>3</v>
      </c>
      <c r="R94" s="1">
        <v>2019</v>
      </c>
      <c r="S94" s="1">
        <f>COUNTIFS('Systematic Mapping'!$A$3:$A$115,R94,'Systematic Mapping'!$AA$3:$AA$115,"*Framework*")+COUNTIFS('Systematic Mapping'!$A$3:$A$115,R94,'Systematic Mapping'!$AA$3:$AA$115,"*Model*")</f>
        <v>2</v>
      </c>
    </row>
    <row r="95" spans="1:19" x14ac:dyDescent="0.25">
      <c r="A95" s="1"/>
      <c r="B95" s="249"/>
      <c r="C95" s="249"/>
      <c r="Q95" s="12">
        <v>4</v>
      </c>
      <c r="R95" s="1">
        <v>2019</v>
      </c>
      <c r="S95" s="1">
        <f>COUNTIFS('Systematic Mapping'!$A$3:$A$115,R95,'Systematic Mapping'!$AA$3:$AA$115,"*Process*")+COUNTIFS('Systematic Mapping'!$A$3:$A$115,R95,'Systematic Mapping'!$AA$3:$AA$115,"*Algorithm*")</f>
        <v>2</v>
      </c>
    </row>
    <row r="96" spans="1:19" x14ac:dyDescent="0.25">
      <c r="A96" s="1"/>
      <c r="B96" s="249"/>
      <c r="C96" s="249"/>
      <c r="Q96" s="12">
        <v>5</v>
      </c>
      <c r="R96" s="1">
        <v>2019</v>
      </c>
      <c r="S96" s="1">
        <f>COUNTIFS('Systematic Mapping'!$A$3:$A$115,R96,'Systematic Mapping'!$AA$3:$AA$115,"*Metric*")+COUNTIFS('Systematic Mapping'!$A$3:$A$115,R96,'Systematic Mapping'!$AA$3:$AA$115,"*Benchmark*")</f>
        <v>0</v>
      </c>
    </row>
    <row r="97" spans="1:19" x14ac:dyDescent="0.25">
      <c r="A97" s="1"/>
      <c r="B97" s="295"/>
      <c r="C97" s="295"/>
      <c r="Q97" s="12">
        <v>1</v>
      </c>
      <c r="R97" s="1">
        <v>2020</v>
      </c>
      <c r="S97" s="1">
        <f>COUNTIFS('Systematic Mapping'!A3:A115,R97,'Systematic Mapping'!AA3:AA115,"*Tool*")</f>
        <v>6</v>
      </c>
    </row>
    <row r="98" spans="1:19" x14ac:dyDescent="0.25">
      <c r="A98" s="1"/>
      <c r="B98" s="295"/>
      <c r="C98" s="295"/>
      <c r="Q98" s="12">
        <v>2</v>
      </c>
      <c r="R98" s="1">
        <v>2020</v>
      </c>
      <c r="S98" s="1">
        <f>COUNTIFS('Systematic Mapping'!$A$3:$A$115,R98,'Systematic Mapping'!$AA$3:$AA$115,"*Approach*")+COUNTIFS('Systematic Mapping'!$A$3:$A$115,R98,'Systematic Mapping'!$AA$3:$AA$115,"*Method*")</f>
        <v>8</v>
      </c>
    </row>
    <row r="99" spans="1:19" x14ac:dyDescent="0.25">
      <c r="A99" s="1"/>
      <c r="B99" s="295"/>
      <c r="C99" s="295"/>
      <c r="Q99" s="12">
        <v>3</v>
      </c>
      <c r="R99" s="1">
        <v>2020</v>
      </c>
      <c r="S99" s="1">
        <f>COUNTIFS('Systematic Mapping'!$A$3:$A$115,R99,'Systematic Mapping'!$AA$3:$AA$115,"*Framework*")+COUNTIFS('Systematic Mapping'!$A$3:$A$115,R99,'Systematic Mapping'!$AA$3:$AA$115,"*Model*")</f>
        <v>1</v>
      </c>
    </row>
    <row r="100" spans="1:19" x14ac:dyDescent="0.25">
      <c r="A100" s="1"/>
      <c r="B100" s="295"/>
      <c r="C100" s="295"/>
      <c r="Q100" s="12">
        <v>4</v>
      </c>
      <c r="R100" s="1">
        <v>2020</v>
      </c>
      <c r="S100" s="1">
        <f>COUNTIFS('Systematic Mapping'!$A$3:$A$115,R100,'Systematic Mapping'!$AA$3:$AA$115,"*Process*")+COUNTIFS('Systematic Mapping'!$A$3:$A$115,R100,'Systematic Mapping'!$AA$3:$AA$115,"*Algorithm*")</f>
        <v>5</v>
      </c>
    </row>
    <row r="101" spans="1:19" x14ac:dyDescent="0.25">
      <c r="A101" s="1"/>
      <c r="B101" s="295"/>
      <c r="C101" s="295"/>
      <c r="Q101" s="12">
        <v>5</v>
      </c>
      <c r="R101" s="1">
        <v>2020</v>
      </c>
      <c r="S101" s="1">
        <f>COUNTIFS('Systematic Mapping'!$A$3:$A$115,R101,'Systematic Mapping'!$AA$3:$AA$115,"*Metric*")+COUNTIFS('Systematic Mapping'!$A$3:$A$115,R101,'Systematic Mapping'!$AA$3:$AA$115,"*Benchmark*")</f>
        <v>1</v>
      </c>
    </row>
    <row r="102" spans="1:19" x14ac:dyDescent="0.25">
      <c r="Q102" s="12">
        <v>1</v>
      </c>
      <c r="R102" s="1">
        <v>2021</v>
      </c>
      <c r="S102" s="1">
        <f>COUNTIFS('Systematic Mapping'!A3:A115,R102,'Systematic Mapping'!AA3:AA115,"*Tool*")</f>
        <v>3</v>
      </c>
    </row>
    <row r="103" spans="1:19" x14ac:dyDescent="0.25">
      <c r="Q103" s="12">
        <v>2</v>
      </c>
      <c r="R103" s="1">
        <v>2021</v>
      </c>
      <c r="S103" s="1">
        <f>COUNTIFS('Systematic Mapping'!$A$3:$A$115,R103,'Systematic Mapping'!$AA$3:$AA$115,"*Approach*")+COUNTIFS('Systematic Mapping'!$A$3:$A$115,R103,'Systematic Mapping'!$AA$3:$AA$115,"*Method*")</f>
        <v>6</v>
      </c>
    </row>
    <row r="104" spans="1:19" x14ac:dyDescent="0.25">
      <c r="Q104" s="12">
        <v>3</v>
      </c>
      <c r="R104" s="1">
        <v>2021</v>
      </c>
      <c r="S104" s="1">
        <f>COUNTIFS('Systematic Mapping'!$A$3:$A$115,R104,'Systematic Mapping'!$AA$3:$AA$115,"*Framework*")+COUNTIFS('Systematic Mapping'!$A$3:$A$115,R104,'Systematic Mapping'!$AA$3:$AA$115,"*Model*")</f>
        <v>0</v>
      </c>
    </row>
    <row r="105" spans="1:19" x14ac:dyDescent="0.25">
      <c r="Q105" s="12">
        <v>4</v>
      </c>
      <c r="R105" s="1">
        <v>2021</v>
      </c>
      <c r="S105" s="1">
        <f>COUNTIFS('Systematic Mapping'!$A$3:$A$115,R105,'Systematic Mapping'!$AA$3:$AA$115,"*Process*")+COUNTIFS('Systematic Mapping'!$A$3:$A$115,R105,'Systematic Mapping'!$AA$3:$AA$115,"*Algorithm*")</f>
        <v>4</v>
      </c>
    </row>
    <row r="106" spans="1:19" x14ac:dyDescent="0.25">
      <c r="Q106" s="12">
        <v>5</v>
      </c>
      <c r="R106" s="1">
        <v>2021</v>
      </c>
      <c r="S106" s="1">
        <f>COUNTIFS('Systematic Mapping'!$A$3:$A$115,R106,'Systematic Mapping'!$AA$3:$AA$115,"*Metric*")+COUNTIFS('Systematic Mapping'!$A$3:$A$115,R106,'Systematic Mapping'!$AA$3:$AA$115,"*Benchmark*")</f>
        <v>0</v>
      </c>
    </row>
  </sheetData>
  <autoFilter ref="Q1:S106" xr:uid="{64FFEB62-F7A5-4F89-B783-04F54F55282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6124-0BDE-411A-A55D-F5AF2100FE86}">
  <dimension ref="A1:C6"/>
  <sheetViews>
    <sheetView workbookViewId="0">
      <selection activeCell="N28" sqref="N28"/>
    </sheetView>
  </sheetViews>
  <sheetFormatPr defaultRowHeight="15" x14ac:dyDescent="0.25"/>
  <cols>
    <col min="1" max="1" width="25.42578125" customWidth="1"/>
    <col min="2" max="2" width="19.5703125" customWidth="1"/>
    <col min="3" max="3" width="12.85546875" customWidth="1"/>
  </cols>
  <sheetData>
    <row r="1" spans="1:3" ht="30" x14ac:dyDescent="0.25">
      <c r="A1" s="2" t="s">
        <v>2529</v>
      </c>
      <c r="B1" s="122" t="s">
        <v>2527</v>
      </c>
      <c r="C1" s="2" t="s">
        <v>2530</v>
      </c>
    </row>
    <row r="2" spans="1:3" x14ac:dyDescent="0.25">
      <c r="A2" t="s">
        <v>2698</v>
      </c>
      <c r="B2" s="245">
        <f>COUNTIF('Systematic Mapping'!N:N,"Validation Research")</f>
        <v>26</v>
      </c>
      <c r="C2" s="123">
        <f>B2/B6</f>
        <v>0.24761904761904763</v>
      </c>
    </row>
    <row r="3" spans="1:3" x14ac:dyDescent="0.25">
      <c r="A3" t="s">
        <v>2696</v>
      </c>
      <c r="B3" s="245">
        <f>COUNTIF('Systematic Mapping'!N:N,"Solution Proposal")</f>
        <v>67</v>
      </c>
      <c r="C3" s="123">
        <f>B3/B6</f>
        <v>0.63809523809523805</v>
      </c>
    </row>
    <row r="4" spans="1:3" x14ac:dyDescent="0.25">
      <c r="A4" t="s">
        <v>2709</v>
      </c>
      <c r="B4" s="245">
        <f>COUNTIF('Systematic Mapping'!N:N,"Evaluation Research")</f>
        <v>12</v>
      </c>
      <c r="C4" s="123">
        <f>B4/B6</f>
        <v>0.11428571428571428</v>
      </c>
    </row>
    <row r="6" spans="1:3" x14ac:dyDescent="0.25">
      <c r="A6" t="s">
        <v>2528</v>
      </c>
      <c r="B6" s="1">
        <f>SUM(B2:B4)</f>
        <v>105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A4275-97E2-422C-BDE1-C03DDC9A468C}">
  <dimension ref="A1:V91"/>
  <sheetViews>
    <sheetView topLeftCell="A13" workbookViewId="0">
      <selection activeCell="C30" sqref="C30"/>
    </sheetView>
  </sheetViews>
  <sheetFormatPr defaultRowHeight="15" x14ac:dyDescent="0.25"/>
  <cols>
    <col min="1" max="1" width="17.85546875" customWidth="1"/>
    <col min="2" max="2" width="19.5703125" customWidth="1"/>
    <col min="3" max="3" width="19" customWidth="1"/>
    <col min="14" max="14" width="21.85546875" customWidth="1"/>
    <col min="17" max="17" width="19.42578125" style="1" customWidth="1"/>
    <col min="18" max="18" width="11.7109375" style="1" customWidth="1"/>
    <col min="19" max="19" width="9.140625" style="1"/>
    <col min="21" max="21" width="19.42578125" customWidth="1"/>
  </cols>
  <sheetData>
    <row r="1" spans="1:22" x14ac:dyDescent="0.25">
      <c r="A1" s="2"/>
      <c r="B1" s="122"/>
      <c r="C1" s="122"/>
      <c r="Q1" s="2" t="s">
        <v>1639</v>
      </c>
      <c r="R1" s="122" t="s">
        <v>0</v>
      </c>
      <c r="S1" s="122" t="s">
        <v>2708</v>
      </c>
    </row>
    <row r="2" spans="1:22" x14ac:dyDescent="0.25">
      <c r="A2" s="12"/>
      <c r="B2" s="13"/>
      <c r="C2" s="13"/>
      <c r="Q2" s="12">
        <v>1</v>
      </c>
      <c r="R2" s="1">
        <v>2001</v>
      </c>
      <c r="S2" s="1">
        <f>COUNTIFS('Systematic Mapping'!A3:A115,R2,'Systematic Mapping'!N3:N115,"*Validation Research*")</f>
        <v>0</v>
      </c>
      <c r="U2" t="s">
        <v>2698</v>
      </c>
      <c r="V2" s="1">
        <v>1</v>
      </c>
    </row>
    <row r="3" spans="1:22" x14ac:dyDescent="0.25">
      <c r="A3" s="12"/>
      <c r="B3" s="13"/>
      <c r="C3" s="13"/>
      <c r="Q3" s="12">
        <v>2</v>
      </c>
      <c r="R3" s="1">
        <v>2001</v>
      </c>
      <c r="S3" s="1">
        <f>COUNTIFS('Systematic Mapping'!$A$3:$A$115,R3,'Systematic Mapping'!$N$3:$N$115,"*Solution Proposal*")</f>
        <v>1</v>
      </c>
      <c r="U3" t="s">
        <v>2696</v>
      </c>
      <c r="V3" s="1">
        <v>2</v>
      </c>
    </row>
    <row r="4" spans="1:22" x14ac:dyDescent="0.25">
      <c r="A4" s="12"/>
      <c r="B4" s="13"/>
      <c r="C4" s="13"/>
      <c r="Q4" s="12">
        <v>3</v>
      </c>
      <c r="R4" s="1">
        <v>2001</v>
      </c>
      <c r="S4" s="1">
        <f>COUNTIFS('Systematic Mapping'!$A$3:$A$115,R4,'Systematic Mapping'!$N$3:$N$115,"*Evaluation Research*")</f>
        <v>0</v>
      </c>
      <c r="U4" t="s">
        <v>2709</v>
      </c>
      <c r="V4" s="1">
        <v>3</v>
      </c>
    </row>
    <row r="5" spans="1:22" x14ac:dyDescent="0.25">
      <c r="A5" s="12"/>
      <c r="B5" s="13"/>
      <c r="C5" s="13"/>
      <c r="Q5" s="12">
        <v>1</v>
      </c>
      <c r="R5" s="1">
        <v>2002</v>
      </c>
      <c r="S5" s="1">
        <f>COUNTIFS('Systematic Mapping'!A3:A115,R5,'Systematic Mapping'!N3:N115,"*Validation Research*")</f>
        <v>0</v>
      </c>
      <c r="V5" s="1"/>
    </row>
    <row r="6" spans="1:22" x14ac:dyDescent="0.25">
      <c r="A6" s="12"/>
      <c r="B6" s="13"/>
      <c r="C6" s="13"/>
      <c r="Q6" s="12">
        <v>2</v>
      </c>
      <c r="R6" s="1">
        <v>2002</v>
      </c>
      <c r="S6" s="1">
        <f>COUNTIFS('Systematic Mapping'!$A$3:$A$115,R6,'Systematic Mapping'!$N$3:$N$115,"*Solution Proposal*")</f>
        <v>0</v>
      </c>
      <c r="V6" s="1"/>
    </row>
    <row r="7" spans="1:22" x14ac:dyDescent="0.25">
      <c r="A7" s="12"/>
      <c r="B7" s="13"/>
      <c r="C7" s="13"/>
      <c r="Q7" s="12">
        <v>3</v>
      </c>
      <c r="R7" s="1">
        <v>2002</v>
      </c>
      <c r="S7" s="1">
        <f>COUNTIFS('Systematic Mapping'!$A$3:$A$115,R7,'Systematic Mapping'!$N$3:$N$115,"*Evaluation Research*")</f>
        <v>0</v>
      </c>
      <c r="V7" s="1"/>
    </row>
    <row r="8" spans="1:22" x14ac:dyDescent="0.25">
      <c r="A8" s="12"/>
      <c r="B8" s="13"/>
      <c r="C8" s="13"/>
      <c r="Q8" s="12">
        <v>1</v>
      </c>
      <c r="R8" s="1">
        <v>2003</v>
      </c>
      <c r="S8" s="1">
        <f>COUNTIFS('Systematic Mapping'!A3:A115,R8,'Systematic Mapping'!N3:N115,"*Validation Research*")</f>
        <v>2</v>
      </c>
      <c r="V8" s="1"/>
    </row>
    <row r="9" spans="1:22" x14ac:dyDescent="0.25">
      <c r="A9" s="12"/>
      <c r="B9" s="13"/>
      <c r="C9" s="13"/>
      <c r="Q9" s="12">
        <v>2</v>
      </c>
      <c r="R9" s="1">
        <v>2003</v>
      </c>
      <c r="S9" s="1">
        <f>COUNTIFS('Systematic Mapping'!$A$3:$A$115,R9,'Systematic Mapping'!$N$3:$N$115,"*Solution Proposal*")</f>
        <v>0</v>
      </c>
      <c r="V9" s="1"/>
    </row>
    <row r="10" spans="1:22" x14ac:dyDescent="0.25">
      <c r="A10" s="12"/>
      <c r="B10" s="13"/>
      <c r="C10" s="13"/>
      <c r="Q10" s="12">
        <v>3</v>
      </c>
      <c r="R10" s="1">
        <v>2003</v>
      </c>
      <c r="S10" s="1">
        <f>COUNTIFS('Systematic Mapping'!$A$3:$A$115,R10,'Systematic Mapping'!$N$3:$N$115,"*Evaluation Research*")</f>
        <v>0</v>
      </c>
      <c r="V10" s="1"/>
    </row>
    <row r="11" spans="1:22" x14ac:dyDescent="0.25">
      <c r="A11" s="12"/>
      <c r="B11" s="13"/>
      <c r="C11" s="13"/>
      <c r="Q11" s="12">
        <v>1</v>
      </c>
      <c r="R11" s="1">
        <v>2004</v>
      </c>
      <c r="S11" s="1">
        <f>COUNTIFS('Systematic Mapping'!A3:A115,R11,'Systematic Mapping'!N3:N115,"*Validation Research*")</f>
        <v>0</v>
      </c>
      <c r="V11" s="1"/>
    </row>
    <row r="12" spans="1:22" x14ac:dyDescent="0.25">
      <c r="A12" s="12"/>
      <c r="B12" s="13"/>
      <c r="C12" s="13"/>
      <c r="Q12" s="12">
        <v>2</v>
      </c>
      <c r="R12" s="1">
        <v>2004</v>
      </c>
      <c r="S12" s="1">
        <f>COUNTIFS('Systematic Mapping'!$A$3:$A$115,R12,'Systematic Mapping'!$N$3:$N$115,"*Solution Proposal*")</f>
        <v>0</v>
      </c>
      <c r="V12" s="1"/>
    </row>
    <row r="13" spans="1:22" x14ac:dyDescent="0.25">
      <c r="A13" s="12"/>
      <c r="B13" s="13"/>
      <c r="C13" s="13"/>
      <c r="Q13" s="12">
        <v>3</v>
      </c>
      <c r="R13" s="1">
        <v>2004</v>
      </c>
      <c r="S13" s="1">
        <f>COUNTIFS('Systematic Mapping'!$A$3:$A$115,R13,'Systematic Mapping'!$N$3:$N$115,"*Evaluation Research*")</f>
        <v>0</v>
      </c>
      <c r="V13" s="1"/>
    </row>
    <row r="14" spans="1:22" x14ac:dyDescent="0.25">
      <c r="A14" s="12"/>
      <c r="B14" s="13"/>
      <c r="C14" s="13"/>
      <c r="Q14" s="12">
        <v>1</v>
      </c>
      <c r="R14" s="1">
        <v>2005</v>
      </c>
      <c r="S14" s="1">
        <f>COUNTIFS('Systematic Mapping'!A3:A115,R14,'Systematic Mapping'!N3:N115,"*Validation Research*")</f>
        <v>1</v>
      </c>
      <c r="V14" s="1"/>
    </row>
    <row r="15" spans="1:22" x14ac:dyDescent="0.25">
      <c r="A15" s="12"/>
      <c r="B15" s="13"/>
      <c r="C15" s="13"/>
      <c r="Q15" s="12">
        <v>2</v>
      </c>
      <c r="R15" s="1">
        <v>2005</v>
      </c>
      <c r="S15" s="1">
        <f>COUNTIFS('Systematic Mapping'!$A$3:$A$115,R15,'Systematic Mapping'!$N$3:$N$115,"*Solution Proposal*")</f>
        <v>2</v>
      </c>
      <c r="V15" s="1"/>
    </row>
    <row r="16" spans="1:22" x14ac:dyDescent="0.25">
      <c r="A16" s="12"/>
      <c r="B16" s="13"/>
      <c r="C16" s="13"/>
      <c r="Q16" s="12">
        <v>3</v>
      </c>
      <c r="R16" s="1">
        <v>2005</v>
      </c>
      <c r="S16" s="1">
        <f>COUNTIFS('Systematic Mapping'!$A$3:$A$115,R16,'Systematic Mapping'!$N$3:$N$115,"*Evaluation Research*")</f>
        <v>0</v>
      </c>
      <c r="V16" s="1"/>
    </row>
    <row r="17" spans="1:21" x14ac:dyDescent="0.25">
      <c r="A17" s="1"/>
      <c r="B17" s="13"/>
      <c r="C17" s="13"/>
      <c r="Q17" s="12">
        <v>1</v>
      </c>
      <c r="R17" s="1">
        <v>2006</v>
      </c>
      <c r="S17" s="1">
        <f>COUNTIFS('Systematic Mapping'!A3:A115,"2006",'Systematic Mapping'!N3:N115,"*Validation Research*")</f>
        <v>0</v>
      </c>
      <c r="U17" s="248"/>
    </row>
    <row r="18" spans="1:21" x14ac:dyDescent="0.25">
      <c r="A18" s="1"/>
      <c r="B18" s="13"/>
      <c r="C18" s="13"/>
      <c r="Q18" s="12">
        <v>2</v>
      </c>
      <c r="R18" s="1">
        <v>2006</v>
      </c>
      <c r="S18" s="1">
        <f>COUNTIFS('Systematic Mapping'!$A$3:$A$115,R18,'Systematic Mapping'!$N$3:$N$115,"*Solution Proposal*")</f>
        <v>3</v>
      </c>
      <c r="U18" s="248"/>
    </row>
    <row r="19" spans="1:21" x14ac:dyDescent="0.25">
      <c r="A19" s="1"/>
      <c r="B19" s="13"/>
      <c r="C19" s="13"/>
      <c r="Q19" s="12">
        <v>3</v>
      </c>
      <c r="R19" s="1">
        <v>2006</v>
      </c>
      <c r="S19" s="1">
        <f>COUNTIFS('Systematic Mapping'!$A$3:$A$115,R19,'Systematic Mapping'!$N$3:$N$115,"*Evaluation Research*")</f>
        <v>0</v>
      </c>
    </row>
    <row r="20" spans="1:21" x14ac:dyDescent="0.25">
      <c r="A20" s="1"/>
      <c r="B20" s="13"/>
      <c r="C20" s="13"/>
      <c r="Q20" s="12">
        <v>1</v>
      </c>
      <c r="R20" s="250">
        <v>2007</v>
      </c>
      <c r="S20" s="1">
        <f>COUNTIFS('Systematic Mapping'!A3:A115,"2007",'Systematic Mapping'!N3:N115,"*Validation Research*")</f>
        <v>1</v>
      </c>
    </row>
    <row r="21" spans="1:21" x14ac:dyDescent="0.25">
      <c r="A21" s="1"/>
      <c r="B21" s="13"/>
      <c r="C21" s="13"/>
      <c r="Q21" s="12">
        <v>2</v>
      </c>
      <c r="R21" s="250">
        <v>2007</v>
      </c>
      <c r="S21" s="1">
        <f>COUNTIFS('Systematic Mapping'!$A$3:$A$115,R21,'Systematic Mapping'!$N$3:$N$115,"*Solution Proposal*")</f>
        <v>3</v>
      </c>
    </row>
    <row r="22" spans="1:21" x14ac:dyDescent="0.25">
      <c r="A22" s="1"/>
      <c r="B22" s="13"/>
      <c r="C22" s="13"/>
      <c r="Q22" s="12">
        <v>3</v>
      </c>
      <c r="R22" s="250">
        <v>2007</v>
      </c>
      <c r="S22" s="1">
        <f>COUNTIFS('Systematic Mapping'!$A$3:$A$115,R22,'Systematic Mapping'!$N$3:$N$115,"*Evaluation Research*")</f>
        <v>0</v>
      </c>
    </row>
    <row r="23" spans="1:21" x14ac:dyDescent="0.25">
      <c r="A23" s="1"/>
      <c r="B23" s="13"/>
      <c r="C23" s="13"/>
      <c r="Q23" s="12">
        <v>1</v>
      </c>
      <c r="R23" s="13">
        <v>2008</v>
      </c>
      <c r="S23" s="1">
        <f>COUNTIFS('Systematic Mapping'!A3:A115,"2008",'Systematic Mapping'!N3:N115,"*Validation Research*")</f>
        <v>0</v>
      </c>
    </row>
    <row r="24" spans="1:21" x14ac:dyDescent="0.25">
      <c r="A24" s="1"/>
      <c r="B24" s="13"/>
      <c r="C24" s="13"/>
      <c r="Q24" s="12">
        <v>2</v>
      </c>
      <c r="R24" s="13">
        <v>2008</v>
      </c>
      <c r="S24" s="1">
        <f>COUNTIFS('Systematic Mapping'!$A$3:$A$115,R24,'Systematic Mapping'!$N$3:$N$115,"*Solution Proposal*")</f>
        <v>2</v>
      </c>
    </row>
    <row r="25" spans="1:21" x14ac:dyDescent="0.25">
      <c r="A25" s="1"/>
      <c r="B25" s="13"/>
      <c r="C25" s="13"/>
      <c r="Q25" s="12">
        <v>3</v>
      </c>
      <c r="R25" s="13">
        <v>2008</v>
      </c>
      <c r="S25" s="1">
        <f>COUNTIFS('Systematic Mapping'!$A$3:$A$115,R25,'Systematic Mapping'!$N$3:$N$115,"*Evaluation Research*")</f>
        <v>0</v>
      </c>
    </row>
    <row r="26" spans="1:21" x14ac:dyDescent="0.25">
      <c r="A26" s="1"/>
      <c r="B26" s="13"/>
      <c r="C26" s="13"/>
      <c r="Q26" s="12">
        <v>1</v>
      </c>
      <c r="R26" s="250">
        <v>2009</v>
      </c>
      <c r="S26" s="1">
        <f>COUNTIFS('Systematic Mapping'!A3:A115,"2009",'Systematic Mapping'!N3:N115,"*Validation Research*")</f>
        <v>1</v>
      </c>
    </row>
    <row r="27" spans="1:21" x14ac:dyDescent="0.25">
      <c r="A27" s="1"/>
      <c r="B27" s="13"/>
      <c r="C27" s="13"/>
      <c r="Q27" s="12">
        <v>2</v>
      </c>
      <c r="R27" s="250">
        <v>2009</v>
      </c>
      <c r="S27" s="1">
        <f>COUNTIFS('Systematic Mapping'!$A$3:$A$115,R27,'Systematic Mapping'!$N$3:$N$115,"*Solution Proposal*")</f>
        <v>5</v>
      </c>
    </row>
    <row r="28" spans="1:21" x14ac:dyDescent="0.25">
      <c r="A28" s="1"/>
      <c r="B28" s="13"/>
      <c r="C28" s="13"/>
      <c r="Q28" s="12">
        <v>3</v>
      </c>
      <c r="R28" s="250">
        <v>2009</v>
      </c>
      <c r="S28" s="1">
        <f>COUNTIFS('Systematic Mapping'!$A$3:$A$115,R28,'Systematic Mapping'!$N$3:$N$115,"*Evaluation Research*")</f>
        <v>1</v>
      </c>
    </row>
    <row r="29" spans="1:21" x14ac:dyDescent="0.25">
      <c r="A29" s="1"/>
      <c r="B29" s="13"/>
      <c r="C29" s="13"/>
      <c r="Q29" s="12">
        <v>1</v>
      </c>
      <c r="R29" s="250">
        <v>2010</v>
      </c>
      <c r="S29" s="1">
        <f>COUNTIFS('Systematic Mapping'!A3:A115,"2010",'Systematic Mapping'!N3:N115,"*Validation Research*")</f>
        <v>4</v>
      </c>
    </row>
    <row r="30" spans="1:21" x14ac:dyDescent="0.25">
      <c r="A30" s="1"/>
      <c r="B30" s="250"/>
      <c r="C30" s="250"/>
      <c r="Q30" s="12">
        <v>2</v>
      </c>
      <c r="R30" s="250">
        <v>2010</v>
      </c>
      <c r="S30" s="1">
        <f>COUNTIFS('Systematic Mapping'!$A$3:$A$115,R30,'Systematic Mapping'!$N$3:$N$115,"*Solution Proposal*")</f>
        <v>5</v>
      </c>
    </row>
    <row r="31" spans="1:21" x14ac:dyDescent="0.25">
      <c r="A31" s="1"/>
      <c r="B31" s="13"/>
      <c r="C31" s="13"/>
      <c r="Q31" s="12">
        <v>3</v>
      </c>
      <c r="R31" s="250">
        <v>2010</v>
      </c>
      <c r="S31" s="1">
        <f>COUNTIFS('Systematic Mapping'!$A$3:$A$115,R31,'Systematic Mapping'!$N$3:$N$115,"*Evaluation Research*")</f>
        <v>1</v>
      </c>
    </row>
    <row r="32" spans="1:21" x14ac:dyDescent="0.25">
      <c r="A32" s="1"/>
      <c r="B32" s="13"/>
      <c r="C32" s="13"/>
      <c r="Q32" s="12">
        <v>1</v>
      </c>
      <c r="R32" s="250">
        <v>2011</v>
      </c>
      <c r="S32" s="1">
        <f>COUNTIFS('Systematic Mapping'!A3:A115,"2011",'Systematic Mapping'!N3:N115,"*Validation Research*")</f>
        <v>4</v>
      </c>
    </row>
    <row r="33" spans="1:19" x14ac:dyDescent="0.25">
      <c r="A33" s="1"/>
      <c r="B33" s="13"/>
      <c r="C33" s="13"/>
      <c r="Q33" s="12">
        <v>2</v>
      </c>
      <c r="R33" s="250">
        <v>2011</v>
      </c>
      <c r="S33" s="1">
        <f>COUNTIFS('Systematic Mapping'!$A$3:$A$115,R33,'Systematic Mapping'!$N$3:$N$115,"*Solution Proposal*")</f>
        <v>2</v>
      </c>
    </row>
    <row r="34" spans="1:19" x14ac:dyDescent="0.25">
      <c r="A34" s="1"/>
      <c r="B34" s="13"/>
      <c r="C34" s="13"/>
      <c r="Q34" s="12">
        <v>3</v>
      </c>
      <c r="R34" s="250">
        <v>2011</v>
      </c>
      <c r="S34" s="1">
        <f>COUNTIFS('Systematic Mapping'!$A$3:$A$115,R34,'Systematic Mapping'!$N$3:$N$115,"*Evaluation Research*")</f>
        <v>0</v>
      </c>
    </row>
    <row r="35" spans="1:19" x14ac:dyDescent="0.25">
      <c r="A35" s="1"/>
      <c r="B35" s="13"/>
      <c r="C35" s="13"/>
      <c r="Q35" s="12">
        <v>1</v>
      </c>
      <c r="R35" s="250">
        <v>2012</v>
      </c>
      <c r="S35" s="1">
        <f>COUNTIFS('Systematic Mapping'!A3:A115,"2012",'Systematic Mapping'!N3:N115,"*Validation Research*")</f>
        <v>1</v>
      </c>
    </row>
    <row r="36" spans="1:19" x14ac:dyDescent="0.25">
      <c r="A36" s="1"/>
      <c r="B36" s="13"/>
      <c r="C36" s="13"/>
      <c r="Q36" s="12">
        <v>2</v>
      </c>
      <c r="R36" s="250">
        <v>2012</v>
      </c>
      <c r="S36" s="1">
        <f>COUNTIFS('Systematic Mapping'!$A$3:$A$115,R36,'Systematic Mapping'!$N$3:$N$115,"*Solution Proposal*")</f>
        <v>4</v>
      </c>
    </row>
    <row r="37" spans="1:19" x14ac:dyDescent="0.25">
      <c r="A37" s="1"/>
      <c r="B37" s="13"/>
      <c r="C37" s="13"/>
      <c r="Q37" s="12">
        <v>3</v>
      </c>
      <c r="R37" s="250">
        <v>2012</v>
      </c>
      <c r="S37" s="1">
        <f>COUNTIFS('Systematic Mapping'!$A$3:$A$115,R37,'Systematic Mapping'!$N$3:$N$115,"*Evaluation Research*")</f>
        <v>0</v>
      </c>
    </row>
    <row r="38" spans="1:19" x14ac:dyDescent="0.25">
      <c r="A38" s="1"/>
      <c r="B38" s="13"/>
      <c r="C38" s="13"/>
      <c r="Q38" s="12">
        <v>1</v>
      </c>
      <c r="R38" s="250">
        <v>2013</v>
      </c>
      <c r="S38" s="1">
        <f>COUNTIFS('Systematic Mapping'!A3:A115,"2013",'Systematic Mapping'!N3:N115,"*Validation Research*")</f>
        <v>2</v>
      </c>
    </row>
    <row r="39" spans="1:19" x14ac:dyDescent="0.25">
      <c r="A39" s="1"/>
      <c r="B39" s="13"/>
      <c r="C39" s="13"/>
      <c r="Q39" s="12">
        <v>2</v>
      </c>
      <c r="R39" s="250">
        <v>2013</v>
      </c>
      <c r="S39" s="1">
        <f>COUNTIFS('Systematic Mapping'!$A$3:$A$115,R39,'Systematic Mapping'!$N$3:$N$115,"*Solution Proposal*")</f>
        <v>5</v>
      </c>
    </row>
    <row r="40" spans="1:19" x14ac:dyDescent="0.25">
      <c r="A40" s="1"/>
      <c r="B40" s="13"/>
      <c r="C40" s="13"/>
      <c r="Q40" s="12">
        <v>3</v>
      </c>
      <c r="R40" s="250">
        <v>2013</v>
      </c>
      <c r="S40" s="1">
        <f>COUNTIFS('Systematic Mapping'!$A$3:$A$115,R40,'Systematic Mapping'!$N$3:$N$115,"*Evaluation Research*")</f>
        <v>1</v>
      </c>
    </row>
    <row r="41" spans="1:19" x14ac:dyDescent="0.25">
      <c r="A41" s="1"/>
      <c r="B41" s="13"/>
      <c r="C41" s="13"/>
      <c r="Q41" s="12">
        <v>1</v>
      </c>
      <c r="R41" s="250">
        <v>2014</v>
      </c>
      <c r="S41" s="1">
        <f>COUNTIFS('Systematic Mapping'!A3:A115,"2014",'Systematic Mapping'!N3:N115,"*Validation Research*")</f>
        <v>1</v>
      </c>
    </row>
    <row r="42" spans="1:19" x14ac:dyDescent="0.25">
      <c r="A42" s="1"/>
      <c r="B42" s="13"/>
      <c r="C42" s="13"/>
      <c r="Q42" s="12">
        <v>2</v>
      </c>
      <c r="R42" s="250">
        <v>2014</v>
      </c>
      <c r="S42" s="1">
        <f>COUNTIFS('Systematic Mapping'!$A$3:$A$115,R42,'Systematic Mapping'!$N$3:$N$115,"*Solution Proposal*")</f>
        <v>4</v>
      </c>
    </row>
    <row r="43" spans="1:19" x14ac:dyDescent="0.25">
      <c r="A43" s="1"/>
      <c r="B43" s="250"/>
      <c r="C43" s="250"/>
      <c r="Q43" s="12">
        <v>3</v>
      </c>
      <c r="R43" s="250">
        <v>2014</v>
      </c>
      <c r="S43" s="1">
        <f>COUNTIFS('Systematic Mapping'!$A$3:$A$115,R43,'Systematic Mapping'!$N$3:$N$115,"*Evaluation Research*")</f>
        <v>2</v>
      </c>
    </row>
    <row r="44" spans="1:19" x14ac:dyDescent="0.25">
      <c r="A44" s="1"/>
      <c r="B44" s="250"/>
      <c r="C44" s="250"/>
      <c r="Q44" s="12">
        <v>1</v>
      </c>
      <c r="R44" s="1">
        <v>2015</v>
      </c>
      <c r="S44" s="1">
        <f>COUNTIFS('Systematic Mapping'!A3:A115,"2015",'Systematic Mapping'!N3:N115,"*Validation Research*")</f>
        <v>0</v>
      </c>
    </row>
    <row r="45" spans="1:19" x14ac:dyDescent="0.25">
      <c r="A45" s="1"/>
      <c r="B45" s="250"/>
      <c r="C45" s="250"/>
      <c r="Q45" s="12">
        <v>2</v>
      </c>
      <c r="R45" s="1">
        <v>2015</v>
      </c>
      <c r="S45" s="1">
        <f>COUNTIFS('Systematic Mapping'!$A$3:$A$115,R45,'Systematic Mapping'!$N$3:$N$115,"*Solution Proposal*")</f>
        <v>4</v>
      </c>
    </row>
    <row r="46" spans="1:19" x14ac:dyDescent="0.25">
      <c r="A46" s="1"/>
      <c r="B46" s="250"/>
      <c r="C46" s="250"/>
      <c r="Q46" s="12">
        <v>3</v>
      </c>
      <c r="R46" s="1">
        <v>2015</v>
      </c>
      <c r="S46" s="1">
        <f>COUNTIFS('Systematic Mapping'!$A$3:$A$115,R46,'Systematic Mapping'!$N$3:$N$115,"*Evaluation Research*")</f>
        <v>3</v>
      </c>
    </row>
    <row r="47" spans="1:19" x14ac:dyDescent="0.25">
      <c r="A47" s="1"/>
      <c r="B47" s="250"/>
      <c r="C47" s="250"/>
      <c r="Q47" s="12">
        <v>1</v>
      </c>
      <c r="R47" s="1">
        <v>2016</v>
      </c>
      <c r="S47" s="1">
        <f>COUNTIFS('Systematic Mapping'!A3:A115,"2016",'Systematic Mapping'!N3:N115,"*Validation Research*")</f>
        <v>1</v>
      </c>
    </row>
    <row r="48" spans="1:19" x14ac:dyDescent="0.25">
      <c r="A48" s="1"/>
      <c r="B48" s="250"/>
      <c r="C48" s="250"/>
      <c r="Q48" s="12">
        <v>2</v>
      </c>
      <c r="R48" s="1">
        <v>2016</v>
      </c>
      <c r="S48" s="1">
        <f>COUNTIFS('Systematic Mapping'!$A$3:$A$115,R48,'Systematic Mapping'!$N$3:$N$115,"*Solution Proposal*")</f>
        <v>4</v>
      </c>
    </row>
    <row r="49" spans="1:19" x14ac:dyDescent="0.25">
      <c r="A49" s="1"/>
      <c r="B49" s="250"/>
      <c r="C49" s="250"/>
      <c r="Q49" s="12">
        <v>3</v>
      </c>
      <c r="R49" s="1">
        <v>2016</v>
      </c>
      <c r="S49" s="1">
        <f>COUNTIFS('Systematic Mapping'!$A$3:$A$115,R49,'Systematic Mapping'!$N$3:$N$115,"*Evaluation Research*")</f>
        <v>1</v>
      </c>
    </row>
    <row r="50" spans="1:19" x14ac:dyDescent="0.25">
      <c r="A50" s="1"/>
      <c r="B50" s="250"/>
      <c r="C50" s="250"/>
      <c r="Q50" s="12">
        <v>1</v>
      </c>
      <c r="R50" s="1">
        <v>2017</v>
      </c>
      <c r="S50" s="1">
        <f>COUNTIFS('Systematic Mapping'!A3:A115,"2017",'Systematic Mapping'!N3:N115,"*Validation Research*")</f>
        <v>1</v>
      </c>
    </row>
    <row r="51" spans="1:19" x14ac:dyDescent="0.25">
      <c r="A51" s="1"/>
      <c r="B51" s="250"/>
      <c r="C51" s="250"/>
      <c r="Q51" s="12">
        <v>2</v>
      </c>
      <c r="R51" s="1">
        <v>2017</v>
      </c>
      <c r="S51" s="1">
        <f>COUNTIFS('Systematic Mapping'!$A$3:$A$115,R51,'Systematic Mapping'!$N$3:$N$115,"*Solution Proposal*")</f>
        <v>5</v>
      </c>
    </row>
    <row r="52" spans="1:19" x14ac:dyDescent="0.25">
      <c r="A52" s="1"/>
      <c r="B52" s="250"/>
      <c r="C52" s="250"/>
      <c r="Q52" s="12">
        <v>3</v>
      </c>
      <c r="R52" s="1">
        <v>2017</v>
      </c>
      <c r="S52" s="1">
        <f>COUNTIFS('Systematic Mapping'!$A$3:$A$115,R52,'Systematic Mapping'!$N$3:$N$115,"*Evaluation Research*")</f>
        <v>1</v>
      </c>
    </row>
    <row r="53" spans="1:19" x14ac:dyDescent="0.25">
      <c r="A53" s="1"/>
      <c r="B53" s="250"/>
      <c r="C53" s="250"/>
      <c r="Q53" s="12">
        <v>1</v>
      </c>
      <c r="R53" s="1">
        <v>2018</v>
      </c>
      <c r="S53" s="1">
        <f>COUNTIFS('Systematic Mapping'!A3:A115,"2018",'Systematic Mapping'!N3:N115,"*Validation Research*")</f>
        <v>2</v>
      </c>
    </row>
    <row r="54" spans="1:19" x14ac:dyDescent="0.25">
      <c r="A54" s="1"/>
      <c r="B54" s="250"/>
      <c r="C54" s="250"/>
      <c r="Q54" s="12">
        <v>2</v>
      </c>
      <c r="R54" s="1">
        <v>2018</v>
      </c>
      <c r="S54" s="1">
        <f>COUNTIFS('Systematic Mapping'!$A$3:$A$115,R54,'Systematic Mapping'!$N$3:$N$115,"*Solution Proposal*")</f>
        <v>3</v>
      </c>
    </row>
    <row r="55" spans="1:19" x14ac:dyDescent="0.25">
      <c r="A55" s="1"/>
      <c r="B55" s="250"/>
      <c r="C55" s="250"/>
      <c r="Q55" s="12">
        <v>3</v>
      </c>
      <c r="R55" s="1">
        <v>2018</v>
      </c>
      <c r="S55" s="1">
        <f>COUNTIFS('Systematic Mapping'!$A$3:$A$115,R55,'Systematic Mapping'!$N$3:$N$115,"*Evaluation Research*")</f>
        <v>1</v>
      </c>
    </row>
    <row r="56" spans="1:19" x14ac:dyDescent="0.25">
      <c r="A56" s="1"/>
      <c r="B56" s="250"/>
      <c r="C56" s="250"/>
      <c r="Q56" s="12">
        <v>1</v>
      </c>
      <c r="R56" s="1">
        <v>2019</v>
      </c>
      <c r="S56" s="1">
        <f>COUNTIFS('Systematic Mapping'!A3:A115,"2019",'Systematic Mapping'!N3:N115,"*Validation Research*")</f>
        <v>1</v>
      </c>
    </row>
    <row r="57" spans="1:19" x14ac:dyDescent="0.25">
      <c r="A57" s="1"/>
      <c r="B57" s="250"/>
      <c r="C57" s="250"/>
      <c r="Q57" s="12">
        <v>2</v>
      </c>
      <c r="R57" s="1">
        <v>2019</v>
      </c>
      <c r="S57" s="1">
        <f>COUNTIFS('Systematic Mapping'!$A$3:$A$115,R57,'Systematic Mapping'!$N$3:$N$115,"*Solution Proposal*")</f>
        <v>7</v>
      </c>
    </row>
    <row r="58" spans="1:19" x14ac:dyDescent="0.25">
      <c r="A58" s="1"/>
      <c r="B58" s="250"/>
      <c r="C58" s="250"/>
      <c r="Q58" s="12">
        <v>3</v>
      </c>
      <c r="R58" s="1">
        <v>2019</v>
      </c>
      <c r="S58" s="1">
        <f>COUNTIFS('Systematic Mapping'!$A$3:$A$115,R58,'Systematic Mapping'!$N$3:$N$115,"*Evaluation Research*")</f>
        <v>0</v>
      </c>
    </row>
    <row r="59" spans="1:19" x14ac:dyDescent="0.25">
      <c r="A59" s="1"/>
      <c r="B59" s="295"/>
      <c r="C59" s="295"/>
      <c r="Q59" s="12">
        <v>1</v>
      </c>
      <c r="R59" s="1">
        <v>2020</v>
      </c>
      <c r="S59" s="1">
        <f>COUNTIFS('Systematic Mapping'!A3:A115,"2020",'Systematic Mapping'!N3:N115,"*Validation Research*")</f>
        <v>2</v>
      </c>
    </row>
    <row r="60" spans="1:19" x14ac:dyDescent="0.25">
      <c r="A60" s="1"/>
      <c r="B60" s="295"/>
      <c r="C60" s="295"/>
      <c r="Q60" s="12">
        <v>2</v>
      </c>
      <c r="R60" s="1">
        <v>2020</v>
      </c>
      <c r="S60" s="1">
        <f>COUNTIFS('Systematic Mapping'!$A$3:$A$115,R60,'Systematic Mapping'!$N$3:$N$115,"*Solution Proposal*")</f>
        <v>5</v>
      </c>
    </row>
    <row r="61" spans="1:19" x14ac:dyDescent="0.25">
      <c r="A61" s="1"/>
      <c r="B61" s="295"/>
      <c r="C61" s="295"/>
      <c r="Q61" s="12">
        <v>3</v>
      </c>
      <c r="R61" s="1">
        <v>2020</v>
      </c>
      <c r="S61" s="1">
        <f>COUNTIFS('Systematic Mapping'!$A$3:$A$115,R61,'Systematic Mapping'!$N$3:$N$115,"*Evaluation Research*")</f>
        <v>1</v>
      </c>
    </row>
    <row r="62" spans="1:19" x14ac:dyDescent="0.25">
      <c r="A62" s="1"/>
      <c r="B62" s="250"/>
      <c r="C62" s="250"/>
      <c r="P62" s="71"/>
      <c r="Q62" s="12">
        <v>1</v>
      </c>
      <c r="R62" s="1">
        <v>2021</v>
      </c>
      <c r="S62" s="1">
        <f>COUNTIFS('Systematic Mapping'!A3:A115,"2021",'Systematic Mapping'!N3:N115,"*Validation Research*")</f>
        <v>2</v>
      </c>
    </row>
    <row r="63" spans="1:19" x14ac:dyDescent="0.25">
      <c r="A63" s="1"/>
      <c r="B63" s="250"/>
      <c r="C63" s="250"/>
      <c r="Q63" s="12">
        <v>2</v>
      </c>
      <c r="R63" s="1">
        <v>2021</v>
      </c>
      <c r="S63" s="1">
        <f>COUNTIFS('Systematic Mapping'!$A$3:$A$115,R63,'Systematic Mapping'!$N$3:$N$115,"*Solution Proposal*")</f>
        <v>3</v>
      </c>
    </row>
    <row r="64" spans="1:19" x14ac:dyDescent="0.25">
      <c r="A64" s="1"/>
      <c r="B64" s="250"/>
      <c r="C64" s="250"/>
      <c r="Q64" s="12">
        <v>3</v>
      </c>
      <c r="R64" s="1">
        <v>2021</v>
      </c>
      <c r="S64" s="1">
        <f>COUNTIFS('Systematic Mapping'!$A$3:$A$115,R64,'Systematic Mapping'!$N$3:$N$115,"*Evaluation Research*")</f>
        <v>0</v>
      </c>
    </row>
    <row r="65" spans="1:17" x14ac:dyDescent="0.25">
      <c r="A65" s="1"/>
      <c r="B65" s="250"/>
      <c r="C65" s="250"/>
      <c r="Q65" s="12"/>
    </row>
    <row r="66" spans="1:17" x14ac:dyDescent="0.25">
      <c r="A66" s="1"/>
      <c r="B66" s="250"/>
      <c r="C66" s="250"/>
      <c r="Q66" s="12"/>
    </row>
    <row r="67" spans="1:17" x14ac:dyDescent="0.25">
      <c r="A67" s="1"/>
      <c r="B67" s="250"/>
      <c r="C67" s="250"/>
    </row>
    <row r="68" spans="1:17" x14ac:dyDescent="0.25">
      <c r="A68" s="1"/>
      <c r="B68" s="250"/>
      <c r="C68" s="250"/>
    </row>
    <row r="69" spans="1:17" x14ac:dyDescent="0.25">
      <c r="A69" s="1"/>
      <c r="B69" s="250"/>
      <c r="C69" s="250"/>
    </row>
    <row r="70" spans="1:17" x14ac:dyDescent="0.25">
      <c r="A70" s="1"/>
      <c r="B70" s="250"/>
      <c r="C70" s="250"/>
    </row>
    <row r="71" spans="1:17" x14ac:dyDescent="0.25">
      <c r="A71" s="1"/>
      <c r="B71" s="250"/>
      <c r="C71" s="250"/>
    </row>
    <row r="72" spans="1:17" x14ac:dyDescent="0.25">
      <c r="A72" s="1"/>
      <c r="B72" s="250"/>
      <c r="C72" s="250"/>
    </row>
    <row r="73" spans="1:17" x14ac:dyDescent="0.25">
      <c r="A73" s="1"/>
      <c r="B73" s="250"/>
      <c r="C73" s="250"/>
    </row>
    <row r="74" spans="1:17" x14ac:dyDescent="0.25">
      <c r="A74" s="1"/>
      <c r="B74" s="250"/>
      <c r="C74" s="250"/>
    </row>
    <row r="75" spans="1:17" x14ac:dyDescent="0.25">
      <c r="A75" s="1"/>
      <c r="B75" s="250"/>
      <c r="C75" s="250"/>
    </row>
    <row r="76" spans="1:17" x14ac:dyDescent="0.25">
      <c r="A76" s="1"/>
      <c r="B76" s="250"/>
      <c r="C76" s="250"/>
    </row>
    <row r="77" spans="1:17" x14ac:dyDescent="0.25">
      <c r="A77" s="1"/>
      <c r="B77" s="250"/>
      <c r="C77" s="250"/>
    </row>
    <row r="78" spans="1:17" x14ac:dyDescent="0.25">
      <c r="A78" s="1"/>
      <c r="B78" s="250"/>
      <c r="C78" s="250"/>
    </row>
    <row r="79" spans="1:17" x14ac:dyDescent="0.25">
      <c r="A79" s="1"/>
      <c r="B79" s="250"/>
      <c r="C79" s="250"/>
    </row>
    <row r="80" spans="1:17" x14ac:dyDescent="0.25">
      <c r="A80" s="1"/>
      <c r="B80" s="250"/>
      <c r="C80" s="250"/>
    </row>
    <row r="81" spans="1:3" x14ac:dyDescent="0.25">
      <c r="A81" s="1"/>
      <c r="B81" s="250"/>
      <c r="C81" s="250"/>
    </row>
    <row r="82" spans="1:3" x14ac:dyDescent="0.25">
      <c r="A82" s="1"/>
      <c r="B82" s="250"/>
      <c r="C82" s="250"/>
    </row>
    <row r="83" spans="1:3" x14ac:dyDescent="0.25">
      <c r="A83" s="1"/>
      <c r="B83" s="250"/>
      <c r="C83" s="250"/>
    </row>
    <row r="84" spans="1:3" x14ac:dyDescent="0.25">
      <c r="A84" s="1"/>
      <c r="B84" s="250"/>
      <c r="C84" s="250"/>
    </row>
    <row r="85" spans="1:3" x14ac:dyDescent="0.25">
      <c r="A85" s="1"/>
      <c r="B85" s="250"/>
      <c r="C85" s="250"/>
    </row>
    <row r="86" spans="1:3" x14ac:dyDescent="0.25">
      <c r="A86" s="1"/>
      <c r="B86" s="250"/>
      <c r="C86" s="250"/>
    </row>
    <row r="87" spans="1:3" x14ac:dyDescent="0.25">
      <c r="A87" s="1"/>
      <c r="B87" s="250"/>
      <c r="C87" s="250"/>
    </row>
    <row r="88" spans="1:3" x14ac:dyDescent="0.25">
      <c r="A88" s="1"/>
      <c r="B88" s="250"/>
      <c r="C88" s="250"/>
    </row>
    <row r="89" spans="1:3" x14ac:dyDescent="0.25">
      <c r="A89" s="1"/>
      <c r="B89" s="250"/>
      <c r="C89" s="250"/>
    </row>
    <row r="90" spans="1:3" x14ac:dyDescent="0.25">
      <c r="A90" s="1"/>
      <c r="B90" s="250"/>
      <c r="C90" s="250"/>
    </row>
    <row r="91" spans="1:3" x14ac:dyDescent="0.25">
      <c r="A91" s="1"/>
      <c r="B91" s="250"/>
      <c r="C91" s="250"/>
    </row>
  </sheetData>
  <autoFilter ref="Q1:S66" xr:uid="{64FFEB62-F7A5-4F89-B783-04F54F55282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D8F53-6249-4B53-ABEE-35C62CAEDEAF}">
  <dimension ref="A1:E6"/>
  <sheetViews>
    <sheetView zoomScale="130" zoomScaleNormal="130" workbookViewId="0">
      <selection activeCell="I19" sqref="I19"/>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105</v>
      </c>
    </row>
    <row r="2" spans="1:5" x14ac:dyDescent="0.25">
      <c r="A2" s="167" t="s">
        <v>2833</v>
      </c>
      <c r="B2" s="167" t="s">
        <v>2670</v>
      </c>
      <c r="C2" s="176" t="s">
        <v>2666</v>
      </c>
    </row>
    <row r="3" spans="1:5" x14ac:dyDescent="0.25">
      <c r="A3" s="168" t="s">
        <v>1709</v>
      </c>
      <c r="B3" s="199">
        <f>COUNTIFS('Feature Study'!AR:AR,"Not implemented",'Feature Study'!G:G,"Approved")</f>
        <v>20</v>
      </c>
      <c r="C3" s="174">
        <f>B3/E1</f>
        <v>0.19047619047619047</v>
      </c>
    </row>
    <row r="4" spans="1:5" x14ac:dyDescent="0.25">
      <c r="A4" s="169" t="s">
        <v>1755</v>
      </c>
      <c r="B4" s="199">
        <f>COUNTIFS('Feature Study'!AR:AR,"Partially implemented",'Feature Study'!G:G,"Approved")+COUNTIFS('Feature Study'!AR:AR,"Prototype",'Feature Study'!G:G,"Approved")</f>
        <v>73</v>
      </c>
      <c r="C4" s="174">
        <f>B4/E1</f>
        <v>0.69523809523809521</v>
      </c>
    </row>
    <row r="5" spans="1:5" x14ac:dyDescent="0.25">
      <c r="A5" s="170" t="s">
        <v>1765</v>
      </c>
      <c r="B5" s="199">
        <f>COUNTIFS('Feature Study'!AR:AR,"Fully implemented",'Feature Study'!G:G,"Approved")</f>
        <v>9</v>
      </c>
      <c r="C5" s="174">
        <f>B5/E1</f>
        <v>8.5714285714285715E-2</v>
      </c>
    </row>
    <row r="6" spans="1:5" x14ac:dyDescent="0.25">
      <c r="A6" s="170" t="s">
        <v>1718</v>
      </c>
      <c r="B6" s="199">
        <f>COUNTIFS('Feature Study'!AR:AR,"Empirical evaluation",'Feature Study'!G:G,"Approved")</f>
        <v>3</v>
      </c>
      <c r="C6" s="174">
        <f>B6/E1</f>
        <v>2.8571428571428571E-2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94"/>
  <sheetViews>
    <sheetView zoomScaleNormal="100" workbookViewId="0">
      <pane ySplit="1" topLeftCell="A2" activePane="bottomLeft" state="frozen"/>
      <selection activeCell="E1" sqref="E1"/>
      <selection pane="bottomLeft" activeCell="A365" sqref="A365"/>
    </sheetView>
  </sheetViews>
  <sheetFormatPr defaultRowHeight="15" x14ac:dyDescent="0.25"/>
  <cols>
    <col min="1" max="1" width="14.5703125" style="5" customWidth="1"/>
    <col min="2" max="2" width="13.28515625" style="5" customWidth="1"/>
    <col min="3" max="3" width="10.42578125" style="1" customWidth="1"/>
    <col min="4" max="4" width="146.85546875" style="5" customWidth="1"/>
    <col min="5" max="5" width="22.28515625" style="3" customWidth="1"/>
    <col min="6" max="6" width="50.28515625" style="5" customWidth="1"/>
    <col min="7" max="7" width="19.140625" style="5" customWidth="1"/>
    <col min="8" max="8" width="9.140625" style="3"/>
    <col min="9" max="9" width="9.140625" style="222"/>
    <col min="10" max="10" width="7.85546875" style="3" customWidth="1"/>
    <col min="11" max="11" width="12.7109375" style="3" customWidth="1"/>
    <col min="12" max="12" width="11.7109375" style="3" customWidth="1"/>
    <col min="13" max="13" width="14.7109375" style="3" customWidth="1"/>
    <col min="14" max="14" width="14" style="3" customWidth="1"/>
    <col min="15" max="15" width="22.7109375" style="52" customWidth="1"/>
    <col min="16" max="16" width="28.42578125" style="5" customWidth="1"/>
    <col min="17" max="18" width="27.85546875" style="5" customWidth="1"/>
    <col min="19" max="19" width="20.28515625" style="5" customWidth="1"/>
    <col min="20" max="20" width="22.28515625" style="5" customWidth="1"/>
    <col min="21" max="21" width="18.42578125" style="5" customWidth="1"/>
    <col min="22" max="22" width="16.42578125" style="5" customWidth="1"/>
    <col min="23" max="23" width="18.5703125" style="5" bestFit="1" customWidth="1"/>
    <col min="24" max="24" width="18.7109375" style="5" customWidth="1"/>
    <col min="25" max="25" width="16.42578125" style="5" customWidth="1"/>
    <col min="26" max="26" width="19" style="5" customWidth="1"/>
    <col min="27" max="16384" width="9.140625" style="5"/>
  </cols>
  <sheetData>
    <row r="1" spans="1:26" s="26" customFormat="1" ht="25.5" x14ac:dyDescent="0.25">
      <c r="A1" s="26" t="s">
        <v>4</v>
      </c>
      <c r="B1" s="26" t="s">
        <v>3</v>
      </c>
      <c r="C1" s="26" t="s">
        <v>0</v>
      </c>
      <c r="D1" s="26" t="s">
        <v>1</v>
      </c>
      <c r="E1" s="26" t="s">
        <v>569</v>
      </c>
      <c r="F1" s="26" t="s">
        <v>2</v>
      </c>
      <c r="G1" s="26" t="s">
        <v>9</v>
      </c>
      <c r="H1" s="26" t="s">
        <v>19</v>
      </c>
      <c r="I1" s="26" t="s">
        <v>2875</v>
      </c>
      <c r="J1" s="26" t="s">
        <v>82</v>
      </c>
      <c r="K1" s="26" t="s">
        <v>1523</v>
      </c>
      <c r="L1" s="26" t="s">
        <v>1524</v>
      </c>
      <c r="M1" s="26" t="s">
        <v>1607</v>
      </c>
      <c r="N1" s="26" t="s">
        <v>2078</v>
      </c>
      <c r="O1" s="26" t="s">
        <v>561</v>
      </c>
      <c r="P1" s="26" t="s">
        <v>562</v>
      </c>
      <c r="Q1" s="26" t="s">
        <v>563</v>
      </c>
      <c r="R1" s="26" t="s">
        <v>564</v>
      </c>
      <c r="S1" s="26" t="s">
        <v>565</v>
      </c>
      <c r="T1" s="26" t="s">
        <v>566</v>
      </c>
      <c r="U1" s="26" t="s">
        <v>567</v>
      </c>
      <c r="V1" s="26" t="s">
        <v>568</v>
      </c>
      <c r="W1" s="26" t="s">
        <v>600</v>
      </c>
      <c r="X1" s="26" t="s">
        <v>601</v>
      </c>
      <c r="Y1" s="26" t="s">
        <v>603</v>
      </c>
      <c r="Z1" s="26" t="s">
        <v>602</v>
      </c>
    </row>
    <row r="2" spans="1:26" x14ac:dyDescent="0.25">
      <c r="A2" s="263" t="s">
        <v>5</v>
      </c>
      <c r="B2" s="263" t="s">
        <v>7</v>
      </c>
      <c r="C2" s="316">
        <v>2012</v>
      </c>
      <c r="D2" s="10" t="s">
        <v>10</v>
      </c>
      <c r="E2" s="13" t="s">
        <v>1038</v>
      </c>
      <c r="F2" s="8" t="s">
        <v>11</v>
      </c>
      <c r="G2" s="8" t="s">
        <v>12</v>
      </c>
      <c r="H2" s="13">
        <v>1</v>
      </c>
      <c r="I2" s="13"/>
      <c r="J2" s="3" t="s">
        <v>8</v>
      </c>
      <c r="K2" s="3" t="s">
        <v>1522</v>
      </c>
      <c r="L2" s="166" t="s">
        <v>1573</v>
      </c>
      <c r="M2" s="166" t="s">
        <v>1609</v>
      </c>
      <c r="N2" s="166"/>
      <c r="O2" s="52" t="s">
        <v>1818</v>
      </c>
      <c r="P2" s="5" t="s">
        <v>1052</v>
      </c>
      <c r="Q2" s="5" t="s">
        <v>1053</v>
      </c>
    </row>
    <row r="3" spans="1:26" ht="15" customHeight="1" x14ac:dyDescent="0.25">
      <c r="A3" s="263" t="s">
        <v>5</v>
      </c>
      <c r="B3" s="263" t="s">
        <v>7</v>
      </c>
      <c r="C3" s="316">
        <v>2014</v>
      </c>
      <c r="D3" s="11" t="s">
        <v>14</v>
      </c>
      <c r="E3" s="13" t="s">
        <v>687</v>
      </c>
      <c r="F3" s="9" t="s">
        <v>13</v>
      </c>
      <c r="G3" s="9" t="s">
        <v>15</v>
      </c>
      <c r="H3" s="13">
        <v>1</v>
      </c>
      <c r="I3" s="13">
        <v>16</v>
      </c>
      <c r="J3" s="3" t="s">
        <v>8</v>
      </c>
      <c r="K3" s="3" t="s">
        <v>1522</v>
      </c>
      <c r="L3" s="166" t="s">
        <v>1573</v>
      </c>
      <c r="M3" s="166" t="s">
        <v>1610</v>
      </c>
      <c r="N3" s="166" t="s">
        <v>2080</v>
      </c>
      <c r="O3" s="52" t="s">
        <v>1588</v>
      </c>
      <c r="P3" s="5" t="s">
        <v>845</v>
      </c>
      <c r="Q3" s="5" t="s">
        <v>846</v>
      </c>
    </row>
    <row r="4" spans="1:26" x14ac:dyDescent="0.25">
      <c r="A4" s="263" t="s">
        <v>5</v>
      </c>
      <c r="B4" s="263" t="s">
        <v>7</v>
      </c>
      <c r="C4" s="316">
        <v>2016</v>
      </c>
      <c r="D4" s="11" t="s">
        <v>16</v>
      </c>
      <c r="E4" s="13" t="s">
        <v>816</v>
      </c>
      <c r="F4" s="9" t="s">
        <v>17</v>
      </c>
      <c r="G4" s="9" t="s">
        <v>18</v>
      </c>
      <c r="H4" s="13">
        <v>2</v>
      </c>
      <c r="I4" s="13">
        <v>4</v>
      </c>
      <c r="J4" s="3" t="s">
        <v>8</v>
      </c>
      <c r="K4" s="3" t="s">
        <v>1522</v>
      </c>
      <c r="L4" s="166" t="s">
        <v>1573</v>
      </c>
      <c r="M4" s="166" t="s">
        <v>1610</v>
      </c>
      <c r="N4" s="166" t="s">
        <v>2080</v>
      </c>
      <c r="O4" s="52" t="s">
        <v>1745</v>
      </c>
      <c r="P4" s="5" t="s">
        <v>1056</v>
      </c>
      <c r="Q4" s="5" t="s">
        <v>817</v>
      </c>
      <c r="R4" s="5" t="s">
        <v>818</v>
      </c>
    </row>
    <row r="5" spans="1:26" x14ac:dyDescent="0.25">
      <c r="A5" s="263" t="s">
        <v>5</v>
      </c>
      <c r="B5" s="263" t="s">
        <v>23</v>
      </c>
      <c r="C5" s="316">
        <v>2014</v>
      </c>
      <c r="D5" s="11" t="s">
        <v>20</v>
      </c>
      <c r="E5" s="13" t="s">
        <v>1039</v>
      </c>
      <c r="F5" s="9" t="s">
        <v>21</v>
      </c>
      <c r="G5" s="9" t="s">
        <v>22</v>
      </c>
      <c r="H5" s="13">
        <v>0</v>
      </c>
      <c r="I5" s="13"/>
      <c r="J5" s="3" t="s">
        <v>8</v>
      </c>
      <c r="K5" s="3" t="s">
        <v>1522</v>
      </c>
      <c r="L5" s="166" t="s">
        <v>1574</v>
      </c>
      <c r="M5" s="166" t="s">
        <v>1609</v>
      </c>
      <c r="N5" s="166"/>
      <c r="P5" s="5" t="s">
        <v>1057</v>
      </c>
      <c r="Q5" s="5" t="s">
        <v>1058</v>
      </c>
      <c r="R5" s="5" t="s">
        <v>1059</v>
      </c>
    </row>
    <row r="6" spans="1:26" x14ac:dyDescent="0.25">
      <c r="A6" s="263" t="s">
        <v>5</v>
      </c>
      <c r="B6" s="263" t="s">
        <v>23</v>
      </c>
      <c r="C6" s="316">
        <v>2009</v>
      </c>
      <c r="D6" s="11" t="s">
        <v>24</v>
      </c>
      <c r="E6" s="13" t="s">
        <v>936</v>
      </c>
      <c r="F6" s="9" t="s">
        <v>26</v>
      </c>
      <c r="G6" s="8" t="s">
        <v>25</v>
      </c>
      <c r="H6" s="13">
        <v>22</v>
      </c>
      <c r="I6" s="13">
        <v>69</v>
      </c>
      <c r="J6" s="3" t="s">
        <v>8</v>
      </c>
      <c r="K6" s="3" t="s">
        <v>1522</v>
      </c>
      <c r="L6" s="166" t="s">
        <v>1573</v>
      </c>
      <c r="M6" s="166" t="s">
        <v>1610</v>
      </c>
      <c r="N6" s="166" t="s">
        <v>2080</v>
      </c>
      <c r="O6" s="52" t="s">
        <v>1756</v>
      </c>
      <c r="P6" s="5" t="s">
        <v>854</v>
      </c>
      <c r="Q6" s="5" t="s">
        <v>856</v>
      </c>
      <c r="R6" s="5" t="s">
        <v>1060</v>
      </c>
    </row>
    <row r="7" spans="1:26" x14ac:dyDescent="0.25">
      <c r="A7" s="263" t="s">
        <v>5</v>
      </c>
      <c r="B7" s="263" t="s">
        <v>7</v>
      </c>
      <c r="C7" s="316">
        <v>2008</v>
      </c>
      <c r="D7" s="11" t="s">
        <v>27</v>
      </c>
      <c r="E7" s="13" t="s">
        <v>1040</v>
      </c>
      <c r="F7" s="4" t="s">
        <v>28</v>
      </c>
      <c r="G7" s="4" t="s">
        <v>29</v>
      </c>
      <c r="H7" s="13">
        <v>0</v>
      </c>
      <c r="I7" s="13"/>
      <c r="J7" s="3" t="s">
        <v>8</v>
      </c>
      <c r="K7" s="3" t="s">
        <v>1522</v>
      </c>
      <c r="L7" s="166" t="s">
        <v>1573</v>
      </c>
      <c r="M7" s="166" t="s">
        <v>1609</v>
      </c>
      <c r="N7" s="166"/>
      <c r="O7" s="52" t="s">
        <v>1817</v>
      </c>
      <c r="P7" s="5" t="s">
        <v>1079</v>
      </c>
      <c r="Q7" s="5" t="s">
        <v>1080</v>
      </c>
    </row>
    <row r="8" spans="1:26" x14ac:dyDescent="0.25">
      <c r="A8" s="263" t="s">
        <v>5</v>
      </c>
      <c r="B8" s="263" t="s">
        <v>6</v>
      </c>
      <c r="C8" s="265">
        <v>2018</v>
      </c>
      <c r="D8" s="11" t="s">
        <v>30</v>
      </c>
      <c r="E8" s="13" t="s">
        <v>849</v>
      </c>
      <c r="F8" s="4" t="s">
        <v>849</v>
      </c>
      <c r="G8" s="6" t="s">
        <v>31</v>
      </c>
      <c r="H8" s="13">
        <v>0</v>
      </c>
      <c r="I8" s="13">
        <v>1</v>
      </c>
      <c r="J8" s="3" t="s">
        <v>8</v>
      </c>
      <c r="K8" s="3" t="s">
        <v>1522</v>
      </c>
      <c r="L8" s="166" t="s">
        <v>1573</v>
      </c>
      <c r="M8" s="166" t="s">
        <v>1610</v>
      </c>
      <c r="N8" s="166" t="s">
        <v>2080</v>
      </c>
      <c r="O8" s="52" t="s">
        <v>1575</v>
      </c>
      <c r="P8" s="5" t="s">
        <v>1010</v>
      </c>
      <c r="Q8" s="5" t="s">
        <v>595</v>
      </c>
      <c r="R8" s="5" t="s">
        <v>1081</v>
      </c>
    </row>
    <row r="9" spans="1:26" x14ac:dyDescent="0.25">
      <c r="A9" s="263" t="s">
        <v>5</v>
      </c>
      <c r="B9" s="263" t="s">
        <v>7</v>
      </c>
      <c r="C9" s="265">
        <v>2010</v>
      </c>
      <c r="D9" s="11" t="s">
        <v>32</v>
      </c>
      <c r="E9" s="13" t="s">
        <v>864</v>
      </c>
      <c r="F9" s="4" t="s">
        <v>33</v>
      </c>
      <c r="G9" s="4" t="s">
        <v>34</v>
      </c>
      <c r="H9" s="13">
        <v>10</v>
      </c>
      <c r="I9" s="13"/>
      <c r="J9" s="3" t="s">
        <v>8</v>
      </c>
      <c r="K9" s="3" t="s">
        <v>1522</v>
      </c>
      <c r="L9" s="166" t="s">
        <v>1573</v>
      </c>
      <c r="M9" s="166" t="s">
        <v>1609</v>
      </c>
      <c r="N9" s="166"/>
      <c r="O9" s="52" t="s">
        <v>1599</v>
      </c>
      <c r="P9" s="5" t="s">
        <v>854</v>
      </c>
      <c r="Q9" s="5" t="s">
        <v>856</v>
      </c>
    </row>
    <row r="10" spans="1:26" x14ac:dyDescent="0.25">
      <c r="A10" s="263" t="s">
        <v>5</v>
      </c>
      <c r="B10" s="263" t="s">
        <v>7</v>
      </c>
      <c r="C10" s="265">
        <v>2014</v>
      </c>
      <c r="D10" s="11" t="s">
        <v>35</v>
      </c>
      <c r="E10" s="13" t="s">
        <v>803</v>
      </c>
      <c r="F10" s="4" t="s">
        <v>36</v>
      </c>
      <c r="G10" s="6" t="s">
        <v>37</v>
      </c>
      <c r="H10" s="13">
        <v>5</v>
      </c>
      <c r="I10" s="13">
        <v>16</v>
      </c>
      <c r="J10" s="3" t="s">
        <v>8</v>
      </c>
      <c r="K10" s="3" t="s">
        <v>1522</v>
      </c>
      <c r="L10" s="166" t="s">
        <v>1573</v>
      </c>
      <c r="M10" s="166" t="s">
        <v>1610</v>
      </c>
      <c r="N10" s="166" t="s">
        <v>2080</v>
      </c>
      <c r="O10" s="52" t="s">
        <v>1790</v>
      </c>
      <c r="P10" s="5" t="s">
        <v>804</v>
      </c>
      <c r="Q10" s="5" t="s">
        <v>805</v>
      </c>
      <c r="R10" s="5" t="s">
        <v>806</v>
      </c>
    </row>
    <row r="11" spans="1:26" x14ac:dyDescent="0.25">
      <c r="A11" s="263" t="s">
        <v>5</v>
      </c>
      <c r="B11" s="263" t="s">
        <v>23</v>
      </c>
      <c r="C11" s="265">
        <v>2013</v>
      </c>
      <c r="D11" s="11" t="s">
        <v>38</v>
      </c>
      <c r="E11" s="13" t="s">
        <v>1041</v>
      </c>
      <c r="F11" s="4" t="s">
        <v>39</v>
      </c>
      <c r="G11" s="6" t="s">
        <v>40</v>
      </c>
      <c r="H11" s="13">
        <v>1</v>
      </c>
      <c r="I11" s="13"/>
      <c r="J11" s="3" t="s">
        <v>8</v>
      </c>
      <c r="K11" s="3" t="s">
        <v>1522</v>
      </c>
      <c r="L11" s="166" t="s">
        <v>1573</v>
      </c>
      <c r="M11" s="166" t="s">
        <v>1610</v>
      </c>
      <c r="N11" s="166" t="s">
        <v>2080</v>
      </c>
      <c r="O11" s="52" t="s">
        <v>1807</v>
      </c>
      <c r="P11" s="5" t="s">
        <v>1082</v>
      </c>
      <c r="Q11" s="5" t="s">
        <v>1083</v>
      </c>
    </row>
    <row r="12" spans="1:26" x14ac:dyDescent="0.25">
      <c r="A12" s="263" t="s">
        <v>5</v>
      </c>
      <c r="B12" s="263" t="s">
        <v>7</v>
      </c>
      <c r="C12" s="265">
        <v>2018</v>
      </c>
      <c r="D12" s="11" t="s">
        <v>42</v>
      </c>
      <c r="E12" s="13" t="s">
        <v>1054</v>
      </c>
      <c r="F12" s="4" t="s">
        <v>41</v>
      </c>
      <c r="G12" s="4" t="s">
        <v>43</v>
      </c>
      <c r="H12" s="13">
        <v>0</v>
      </c>
      <c r="I12" s="13"/>
      <c r="J12" s="3" t="s">
        <v>8</v>
      </c>
      <c r="K12" s="3" t="s">
        <v>1522</v>
      </c>
      <c r="L12" s="166" t="s">
        <v>1573</v>
      </c>
      <c r="M12" s="166" t="s">
        <v>1609</v>
      </c>
      <c r="N12" s="166"/>
      <c r="O12" s="52" t="s">
        <v>1576</v>
      </c>
      <c r="P12" s="5" t="s">
        <v>1084</v>
      </c>
      <c r="Q12" s="5" t="s">
        <v>677</v>
      </c>
      <c r="R12" s="5" t="s">
        <v>1085</v>
      </c>
      <c r="S12" s="5" t="s">
        <v>1086</v>
      </c>
      <c r="T12" s="5" t="s">
        <v>1087</v>
      </c>
    </row>
    <row r="13" spans="1:26" x14ac:dyDescent="0.25">
      <c r="A13" s="263" t="s">
        <v>5</v>
      </c>
      <c r="B13" s="263" t="s">
        <v>7</v>
      </c>
      <c r="C13" s="265">
        <v>2009</v>
      </c>
      <c r="D13" s="11" t="s">
        <v>44</v>
      </c>
      <c r="E13" s="13" t="s">
        <v>1042</v>
      </c>
      <c r="F13" s="4" t="s">
        <v>46</v>
      </c>
      <c r="G13" s="4" t="s">
        <v>45</v>
      </c>
      <c r="H13" s="13">
        <v>4</v>
      </c>
      <c r="I13" s="13"/>
      <c r="J13" s="3" t="s">
        <v>8</v>
      </c>
      <c r="K13" s="3" t="s">
        <v>1522</v>
      </c>
      <c r="L13" s="166" t="s">
        <v>1574</v>
      </c>
      <c r="M13" s="166" t="s">
        <v>1609</v>
      </c>
      <c r="N13" s="166"/>
      <c r="P13" s="5" t="s">
        <v>670</v>
      </c>
    </row>
    <row r="14" spans="1:26" x14ac:dyDescent="0.25">
      <c r="A14" s="263" t="s">
        <v>5</v>
      </c>
      <c r="B14" s="263" t="s">
        <v>7</v>
      </c>
      <c r="C14" s="265">
        <v>2015</v>
      </c>
      <c r="D14" s="11" t="s">
        <v>47</v>
      </c>
      <c r="E14" s="13" t="s">
        <v>803</v>
      </c>
      <c r="F14" s="4" t="s">
        <v>36</v>
      </c>
      <c r="G14" s="6" t="s">
        <v>48</v>
      </c>
      <c r="H14" s="13">
        <v>3</v>
      </c>
      <c r="I14" s="13">
        <v>6</v>
      </c>
      <c r="J14" s="3" t="s">
        <v>8</v>
      </c>
      <c r="K14" s="3" t="s">
        <v>1522</v>
      </c>
      <c r="L14" s="166" t="s">
        <v>1573</v>
      </c>
      <c r="M14" s="166" t="s">
        <v>1610</v>
      </c>
      <c r="N14" s="166" t="s">
        <v>2080</v>
      </c>
      <c r="O14" s="52" t="s">
        <v>1575</v>
      </c>
      <c r="P14" s="5" t="s">
        <v>814</v>
      </c>
      <c r="Q14" s="5" t="s">
        <v>815</v>
      </c>
    </row>
    <row r="15" spans="1:26" x14ac:dyDescent="0.25">
      <c r="A15" s="263" t="s">
        <v>5</v>
      </c>
      <c r="B15" s="263" t="s">
        <v>7</v>
      </c>
      <c r="C15" s="265">
        <v>2010</v>
      </c>
      <c r="D15" s="11" t="s">
        <v>49</v>
      </c>
      <c r="E15" s="13" t="s">
        <v>1043</v>
      </c>
      <c r="F15" s="4" t="s">
        <v>50</v>
      </c>
      <c r="G15" s="6" t="s">
        <v>51</v>
      </c>
      <c r="H15" s="13">
        <v>23</v>
      </c>
      <c r="I15" s="13"/>
      <c r="J15" s="3" t="s">
        <v>8</v>
      </c>
      <c r="K15" s="3" t="s">
        <v>1522</v>
      </c>
      <c r="L15" s="166" t="s">
        <v>1573</v>
      </c>
      <c r="M15" s="166" t="s">
        <v>1609</v>
      </c>
      <c r="N15" s="166"/>
      <c r="O15" s="52" t="s">
        <v>1859</v>
      </c>
      <c r="P15" s="5" t="s">
        <v>906</v>
      </c>
      <c r="Q15" s="5" t="s">
        <v>908</v>
      </c>
      <c r="R15" s="5" t="s">
        <v>907</v>
      </c>
      <c r="S15" s="5" t="s">
        <v>909</v>
      </c>
    </row>
    <row r="16" spans="1:26" x14ac:dyDescent="0.25">
      <c r="A16" s="263" t="s">
        <v>5</v>
      </c>
      <c r="B16" s="263" t="s">
        <v>7</v>
      </c>
      <c r="C16" s="265">
        <v>2010</v>
      </c>
      <c r="D16" s="11" t="s">
        <v>52</v>
      </c>
      <c r="E16" s="13" t="s">
        <v>1044</v>
      </c>
      <c r="F16" s="4" t="s">
        <v>39</v>
      </c>
      <c r="G16" s="6" t="s">
        <v>53</v>
      </c>
      <c r="H16" s="13">
        <v>14</v>
      </c>
      <c r="I16" s="13"/>
      <c r="J16" s="3" t="s">
        <v>8</v>
      </c>
      <c r="K16" s="3" t="s">
        <v>1522</v>
      </c>
      <c r="L16" s="166" t="s">
        <v>1573</v>
      </c>
      <c r="M16" s="166" t="s">
        <v>1609</v>
      </c>
      <c r="N16" s="166"/>
      <c r="O16" s="52" t="s">
        <v>1756</v>
      </c>
      <c r="P16" s="5" t="s">
        <v>854</v>
      </c>
      <c r="Q16" s="5" t="s">
        <v>1088</v>
      </c>
      <c r="R16" s="5" t="s">
        <v>1089</v>
      </c>
      <c r="S16" s="5" t="s">
        <v>856</v>
      </c>
      <c r="T16" s="5" t="s">
        <v>1090</v>
      </c>
    </row>
    <row r="17" spans="1:20" x14ac:dyDescent="0.25">
      <c r="A17" s="263" t="s">
        <v>5</v>
      </c>
      <c r="B17" s="263" t="s">
        <v>7</v>
      </c>
      <c r="C17" s="265">
        <v>2011</v>
      </c>
      <c r="D17" s="11" t="s">
        <v>54</v>
      </c>
      <c r="E17" s="13" t="s">
        <v>1045</v>
      </c>
      <c r="F17" s="4" t="s">
        <v>55</v>
      </c>
      <c r="G17" s="4" t="s">
        <v>56</v>
      </c>
      <c r="H17" s="13">
        <v>0</v>
      </c>
      <c r="I17" s="13">
        <v>2</v>
      </c>
      <c r="J17" s="3" t="s">
        <v>8</v>
      </c>
      <c r="K17" s="3" t="s">
        <v>1522</v>
      </c>
      <c r="L17" s="166" t="s">
        <v>1573</v>
      </c>
      <c r="M17" s="166" t="s">
        <v>1610</v>
      </c>
      <c r="N17" s="166" t="s">
        <v>2080</v>
      </c>
      <c r="O17" s="52" t="s">
        <v>1881</v>
      </c>
      <c r="P17" s="5" t="s">
        <v>973</v>
      </c>
    </row>
    <row r="18" spans="1:20" x14ac:dyDescent="0.25">
      <c r="A18" s="263" t="s">
        <v>5</v>
      </c>
      <c r="B18" s="263" t="s">
        <v>7</v>
      </c>
      <c r="C18" s="265">
        <v>2013</v>
      </c>
      <c r="D18" s="11" t="s">
        <v>57</v>
      </c>
      <c r="E18" s="13" t="s">
        <v>623</v>
      </c>
      <c r="F18" s="4" t="s">
        <v>58</v>
      </c>
      <c r="G18" s="4" t="s">
        <v>59</v>
      </c>
      <c r="H18" s="13">
        <v>23</v>
      </c>
      <c r="I18" s="13">
        <v>71</v>
      </c>
      <c r="J18" s="3" t="s">
        <v>8</v>
      </c>
      <c r="K18" s="3" t="s">
        <v>1522</v>
      </c>
      <c r="L18" s="166" t="s">
        <v>1573</v>
      </c>
      <c r="M18" s="166" t="s">
        <v>1610</v>
      </c>
      <c r="N18" s="166" t="s">
        <v>2080</v>
      </c>
      <c r="O18" s="52" t="s">
        <v>1899</v>
      </c>
      <c r="P18" s="5" t="s">
        <v>1091</v>
      </c>
      <c r="Q18" s="5" t="s">
        <v>1092</v>
      </c>
      <c r="R18" s="5" t="s">
        <v>1093</v>
      </c>
    </row>
    <row r="19" spans="1:20" x14ac:dyDescent="0.25">
      <c r="A19" s="263" t="s">
        <v>5</v>
      </c>
      <c r="B19" s="263" t="s">
        <v>7</v>
      </c>
      <c r="C19" s="265">
        <v>2006</v>
      </c>
      <c r="D19" s="11" t="s">
        <v>60</v>
      </c>
      <c r="E19" s="13" t="s">
        <v>716</v>
      </c>
      <c r="F19" s="4" t="s">
        <v>61</v>
      </c>
      <c r="G19" s="4" t="s">
        <v>62</v>
      </c>
      <c r="H19" s="13">
        <v>7</v>
      </c>
      <c r="I19" s="13">
        <v>35</v>
      </c>
      <c r="J19" s="3" t="s">
        <v>8</v>
      </c>
      <c r="K19" s="3" t="s">
        <v>1522</v>
      </c>
      <c r="L19" s="166" t="s">
        <v>1573</v>
      </c>
      <c r="M19" s="166" t="s">
        <v>1610</v>
      </c>
      <c r="N19" s="166" t="s">
        <v>2080</v>
      </c>
      <c r="O19" s="52" t="s">
        <v>1593</v>
      </c>
      <c r="P19" s="5" t="s">
        <v>896</v>
      </c>
      <c r="Q19" s="5" t="s">
        <v>897</v>
      </c>
      <c r="R19" s="5" t="s">
        <v>1094</v>
      </c>
    </row>
    <row r="20" spans="1:20" x14ac:dyDescent="0.25">
      <c r="A20" s="263" t="s">
        <v>5</v>
      </c>
      <c r="B20" s="263" t="s">
        <v>7</v>
      </c>
      <c r="C20" s="265">
        <v>2017</v>
      </c>
      <c r="D20" s="11" t="s">
        <v>63</v>
      </c>
      <c r="E20" s="13" t="s">
        <v>1046</v>
      </c>
      <c r="F20" s="4" t="s">
        <v>64</v>
      </c>
      <c r="G20" s="4" t="s">
        <v>65</v>
      </c>
      <c r="H20" s="13">
        <v>1</v>
      </c>
      <c r="I20" s="13">
        <v>2</v>
      </c>
      <c r="J20" s="3" t="s">
        <v>8</v>
      </c>
      <c r="K20" s="3" t="s">
        <v>1522</v>
      </c>
      <c r="L20" s="166" t="s">
        <v>1573</v>
      </c>
      <c r="M20" s="166" t="s">
        <v>1610</v>
      </c>
      <c r="N20" s="166" t="s">
        <v>2080</v>
      </c>
      <c r="O20" s="52" t="s">
        <v>1892</v>
      </c>
      <c r="P20" s="5" t="s">
        <v>1095</v>
      </c>
      <c r="Q20" s="5" t="s">
        <v>1096</v>
      </c>
    </row>
    <row r="21" spans="1:20" x14ac:dyDescent="0.25">
      <c r="A21" s="263" t="s">
        <v>5</v>
      </c>
      <c r="B21" s="263" t="s">
        <v>7</v>
      </c>
      <c r="C21" s="265">
        <v>2009</v>
      </c>
      <c r="D21" s="11" t="s">
        <v>66</v>
      </c>
      <c r="E21" s="13" t="s">
        <v>1047</v>
      </c>
      <c r="F21" s="4" t="s">
        <v>67</v>
      </c>
      <c r="G21" s="4" t="s">
        <v>68</v>
      </c>
      <c r="H21" s="13">
        <v>5</v>
      </c>
      <c r="I21" s="13"/>
      <c r="J21" s="3" t="s">
        <v>8</v>
      </c>
      <c r="K21" s="3" t="s">
        <v>1522</v>
      </c>
      <c r="L21" s="166" t="s">
        <v>1573</v>
      </c>
      <c r="M21" s="166" t="s">
        <v>1609</v>
      </c>
      <c r="N21" s="166"/>
      <c r="O21" s="52" t="s">
        <v>1597</v>
      </c>
      <c r="P21" s="5" t="s">
        <v>1097</v>
      </c>
      <c r="Q21" s="5" t="s">
        <v>1098</v>
      </c>
      <c r="R21" s="5" t="s">
        <v>880</v>
      </c>
      <c r="S21" s="5" t="s">
        <v>879</v>
      </c>
    </row>
    <row r="22" spans="1:20" x14ac:dyDescent="0.25">
      <c r="A22" s="263" t="s">
        <v>5</v>
      </c>
      <c r="B22" s="263" t="s">
        <v>7</v>
      </c>
      <c r="C22" s="265">
        <v>2005</v>
      </c>
      <c r="D22" s="11" t="s">
        <v>69</v>
      </c>
      <c r="E22" s="13" t="s">
        <v>581</v>
      </c>
      <c r="F22" s="4" t="s">
        <v>70</v>
      </c>
      <c r="G22" s="4" t="s">
        <v>71</v>
      </c>
      <c r="H22" s="13">
        <v>2</v>
      </c>
      <c r="I22" s="13"/>
      <c r="J22" s="3" t="s">
        <v>8</v>
      </c>
      <c r="K22" s="3" t="s">
        <v>1522</v>
      </c>
      <c r="L22" s="166" t="s">
        <v>1573</v>
      </c>
      <c r="M22" s="166" t="s">
        <v>1609</v>
      </c>
      <c r="N22" s="166"/>
      <c r="P22" s="5" t="s">
        <v>1099</v>
      </c>
      <c r="Q22" s="5" t="s">
        <v>1100</v>
      </c>
      <c r="R22" s="5" t="s">
        <v>1101</v>
      </c>
    </row>
    <row r="23" spans="1:20" x14ac:dyDescent="0.25">
      <c r="A23" s="263" t="s">
        <v>5</v>
      </c>
      <c r="B23" s="263" t="s">
        <v>7</v>
      </c>
      <c r="C23" s="265">
        <v>2005</v>
      </c>
      <c r="D23" s="11" t="s">
        <v>72</v>
      </c>
      <c r="E23" s="13" t="s">
        <v>699</v>
      </c>
      <c r="F23" s="4" t="s">
        <v>73</v>
      </c>
      <c r="G23" s="4" t="s">
        <v>74</v>
      </c>
      <c r="H23" s="13">
        <v>3</v>
      </c>
      <c r="I23" s="13"/>
      <c r="J23" s="3" t="s">
        <v>8</v>
      </c>
      <c r="K23" s="3" t="s">
        <v>1522</v>
      </c>
      <c r="L23" s="166" t="s">
        <v>1574</v>
      </c>
      <c r="M23" s="166" t="s">
        <v>1609</v>
      </c>
      <c r="N23" s="166"/>
      <c r="O23" s="52" t="s">
        <v>3238</v>
      </c>
      <c r="P23" s="5" t="s">
        <v>1102</v>
      </c>
      <c r="Q23" s="5" t="s">
        <v>1103</v>
      </c>
    </row>
    <row r="24" spans="1:20" x14ac:dyDescent="0.25">
      <c r="A24" s="263" t="s">
        <v>5</v>
      </c>
      <c r="B24" s="263" t="s">
        <v>6</v>
      </c>
      <c r="C24" s="265">
        <v>2016</v>
      </c>
      <c r="D24" s="11" t="s">
        <v>75</v>
      </c>
      <c r="E24" s="13" t="s">
        <v>1048</v>
      </c>
      <c r="F24" s="4" t="s">
        <v>76</v>
      </c>
      <c r="G24" s="4" t="s">
        <v>77</v>
      </c>
      <c r="H24" s="13">
        <v>7</v>
      </c>
      <c r="I24" s="13"/>
      <c r="J24" s="3" t="s">
        <v>8</v>
      </c>
      <c r="K24" s="3" t="s">
        <v>1522</v>
      </c>
      <c r="L24" s="166" t="s">
        <v>1574</v>
      </c>
      <c r="M24" s="166" t="s">
        <v>1609</v>
      </c>
      <c r="N24" s="166"/>
      <c r="P24" s="5" t="s">
        <v>1057</v>
      </c>
      <c r="Q24" s="5" t="s">
        <v>1104</v>
      </c>
      <c r="R24" s="5" t="s">
        <v>1105</v>
      </c>
    </row>
    <row r="25" spans="1:20" x14ac:dyDescent="0.25">
      <c r="A25" s="263" t="s">
        <v>5</v>
      </c>
      <c r="B25" s="263" t="s">
        <v>7</v>
      </c>
      <c r="C25" s="265">
        <v>2015</v>
      </c>
      <c r="D25" s="11" t="s">
        <v>78</v>
      </c>
      <c r="E25" s="13" t="s">
        <v>623</v>
      </c>
      <c r="F25" s="4" t="s">
        <v>58</v>
      </c>
      <c r="G25" s="4" t="s">
        <v>79</v>
      </c>
      <c r="H25" s="13">
        <v>4</v>
      </c>
      <c r="I25" s="13"/>
      <c r="J25" s="3" t="s">
        <v>8</v>
      </c>
      <c r="K25" s="3" t="s">
        <v>1522</v>
      </c>
      <c r="L25" s="166" t="s">
        <v>1574</v>
      </c>
      <c r="M25" s="166" t="s">
        <v>1609</v>
      </c>
      <c r="N25" s="166"/>
      <c r="P25" s="5" t="s">
        <v>1106</v>
      </c>
      <c r="Q25" s="5" t="s">
        <v>1091</v>
      </c>
      <c r="R25" s="5" t="s">
        <v>1092</v>
      </c>
      <c r="S25" s="5" t="s">
        <v>1107</v>
      </c>
      <c r="T25" s="5" t="s">
        <v>1108</v>
      </c>
    </row>
    <row r="26" spans="1:20" x14ac:dyDescent="0.25">
      <c r="A26" s="263" t="s">
        <v>5</v>
      </c>
      <c r="B26" s="263" t="s">
        <v>7</v>
      </c>
      <c r="C26" s="265">
        <v>2015</v>
      </c>
      <c r="D26" s="11" t="s">
        <v>80</v>
      </c>
      <c r="E26" s="13" t="s">
        <v>687</v>
      </c>
      <c r="F26" s="4" t="s">
        <v>13</v>
      </c>
      <c r="G26" s="4" t="s">
        <v>81</v>
      </c>
      <c r="H26" s="13">
        <v>0</v>
      </c>
      <c r="I26" s="13"/>
      <c r="J26" s="3" t="s">
        <v>8</v>
      </c>
      <c r="K26" s="3" t="s">
        <v>1522</v>
      </c>
      <c r="L26" s="166" t="s">
        <v>1573</v>
      </c>
      <c r="M26" s="166" t="s">
        <v>1609</v>
      </c>
      <c r="N26" s="166"/>
      <c r="O26" s="52" t="s">
        <v>1737</v>
      </c>
      <c r="P26" s="5" t="s">
        <v>845</v>
      </c>
      <c r="Q26" s="5" t="s">
        <v>846</v>
      </c>
    </row>
    <row r="27" spans="1:20" x14ac:dyDescent="0.25">
      <c r="A27" s="263" t="s">
        <v>5</v>
      </c>
      <c r="B27" s="263" t="s">
        <v>6</v>
      </c>
      <c r="C27" s="265">
        <v>2010</v>
      </c>
      <c r="D27" s="11" t="s">
        <v>83</v>
      </c>
      <c r="E27" s="13" t="s">
        <v>1049</v>
      </c>
      <c r="F27" s="4" t="s">
        <v>84</v>
      </c>
      <c r="G27" s="4" t="s">
        <v>85</v>
      </c>
      <c r="H27" s="13">
        <v>1</v>
      </c>
      <c r="I27" s="13"/>
      <c r="J27" s="3" t="s">
        <v>8</v>
      </c>
      <c r="K27" s="3" t="s">
        <v>1522</v>
      </c>
      <c r="L27" s="166" t="s">
        <v>1573</v>
      </c>
      <c r="M27" s="166" t="s">
        <v>1609</v>
      </c>
      <c r="N27" s="166"/>
      <c r="O27" s="52" t="s">
        <v>1968</v>
      </c>
      <c r="P27" s="5" t="s">
        <v>1109</v>
      </c>
      <c r="Q27" s="5" t="s">
        <v>1110</v>
      </c>
    </row>
    <row r="28" spans="1:20" x14ac:dyDescent="0.25">
      <c r="A28" s="263" t="s">
        <v>5</v>
      </c>
      <c r="B28" s="263" t="s">
        <v>23</v>
      </c>
      <c r="C28" s="265">
        <v>2009</v>
      </c>
      <c r="D28" s="11" t="s">
        <v>86</v>
      </c>
      <c r="E28" s="13" t="s">
        <v>936</v>
      </c>
      <c r="F28" s="4" t="s">
        <v>26</v>
      </c>
      <c r="G28" s="4" t="s">
        <v>87</v>
      </c>
      <c r="H28" s="13">
        <v>6</v>
      </c>
      <c r="I28" s="13"/>
      <c r="J28" s="3" t="s">
        <v>8</v>
      </c>
      <c r="K28" s="3" t="s">
        <v>1522</v>
      </c>
      <c r="L28" s="166" t="s">
        <v>1573</v>
      </c>
      <c r="M28" s="166" t="s">
        <v>1609</v>
      </c>
      <c r="N28" s="166"/>
      <c r="O28" s="52" t="s">
        <v>1905</v>
      </c>
      <c r="P28" s="5" t="s">
        <v>1111</v>
      </c>
      <c r="Q28" s="5" t="s">
        <v>1112</v>
      </c>
      <c r="R28" s="5" t="s">
        <v>1091</v>
      </c>
      <c r="S28" s="5" t="s">
        <v>1092</v>
      </c>
    </row>
    <row r="29" spans="1:20" x14ac:dyDescent="0.25">
      <c r="A29" s="263" t="s">
        <v>5</v>
      </c>
      <c r="B29" s="263" t="s">
        <v>7</v>
      </c>
      <c r="C29" s="265">
        <v>2018</v>
      </c>
      <c r="D29" s="11" t="s">
        <v>88</v>
      </c>
      <c r="E29" s="13" t="s">
        <v>1055</v>
      </c>
      <c r="F29" s="4" t="s">
        <v>91</v>
      </c>
      <c r="G29" s="4" t="s">
        <v>89</v>
      </c>
      <c r="H29" s="13">
        <v>1</v>
      </c>
      <c r="I29" s="13"/>
      <c r="J29" s="3" t="s">
        <v>90</v>
      </c>
      <c r="K29" s="3" t="s">
        <v>1522</v>
      </c>
      <c r="L29" s="166" t="s">
        <v>1574</v>
      </c>
      <c r="M29" s="166" t="s">
        <v>1609</v>
      </c>
      <c r="N29" s="166"/>
      <c r="P29" s="5" t="s">
        <v>1113</v>
      </c>
      <c r="Q29" s="5" t="s">
        <v>1114</v>
      </c>
      <c r="R29" s="5" t="s">
        <v>1115</v>
      </c>
    </row>
    <row r="30" spans="1:20" x14ac:dyDescent="0.25">
      <c r="A30" s="263" t="s">
        <v>5</v>
      </c>
      <c r="B30" s="263" t="s">
        <v>7</v>
      </c>
      <c r="C30" s="265">
        <v>2010</v>
      </c>
      <c r="D30" s="11" t="s">
        <v>92</v>
      </c>
      <c r="E30" s="13" t="s">
        <v>1045</v>
      </c>
      <c r="F30" s="4" t="s">
        <v>55</v>
      </c>
      <c r="G30" s="6" t="s">
        <v>93</v>
      </c>
      <c r="H30" s="13">
        <v>1</v>
      </c>
      <c r="I30" s="13">
        <v>2</v>
      </c>
      <c r="J30" s="3" t="s">
        <v>8</v>
      </c>
      <c r="K30" s="3" t="s">
        <v>1522</v>
      </c>
      <c r="L30" s="166" t="s">
        <v>1573</v>
      </c>
      <c r="M30" s="166" t="s">
        <v>1610</v>
      </c>
      <c r="N30" s="166" t="s">
        <v>2080</v>
      </c>
      <c r="O30" s="52" t="s">
        <v>1882</v>
      </c>
      <c r="P30" s="5" t="s">
        <v>973</v>
      </c>
      <c r="Q30" s="5" t="s">
        <v>1116</v>
      </c>
    </row>
    <row r="31" spans="1:20" x14ac:dyDescent="0.25">
      <c r="A31" s="263" t="s">
        <v>5</v>
      </c>
      <c r="B31" s="263" t="s">
        <v>7</v>
      </c>
      <c r="C31" s="265">
        <v>2011</v>
      </c>
      <c r="D31" s="11" t="s">
        <v>94</v>
      </c>
      <c r="E31" s="13" t="s">
        <v>1050</v>
      </c>
      <c r="F31" s="4" t="s">
        <v>95</v>
      </c>
      <c r="G31" s="4" t="s">
        <v>96</v>
      </c>
      <c r="H31" s="13">
        <v>4</v>
      </c>
      <c r="I31" s="13"/>
      <c r="J31" s="3" t="s">
        <v>8</v>
      </c>
      <c r="K31" s="3" t="s">
        <v>1522</v>
      </c>
      <c r="L31" s="166" t="s">
        <v>1574</v>
      </c>
      <c r="M31" s="166" t="s">
        <v>1609</v>
      </c>
      <c r="N31" s="166"/>
      <c r="P31" s="5" t="s">
        <v>1117</v>
      </c>
      <c r="Q31" s="5" t="s">
        <v>1118</v>
      </c>
    </row>
    <row r="32" spans="1:20" x14ac:dyDescent="0.25">
      <c r="A32" s="263" t="s">
        <v>5</v>
      </c>
      <c r="B32" s="263" t="s">
        <v>7</v>
      </c>
      <c r="C32" s="265">
        <v>2011</v>
      </c>
      <c r="D32" s="11" t="s">
        <v>97</v>
      </c>
      <c r="E32" s="13" t="s">
        <v>864</v>
      </c>
      <c r="F32" s="4" t="s">
        <v>98</v>
      </c>
      <c r="G32" s="4" t="s">
        <v>99</v>
      </c>
      <c r="H32" s="13">
        <v>0</v>
      </c>
      <c r="I32" s="13"/>
      <c r="J32" s="3" t="s">
        <v>8</v>
      </c>
      <c r="K32" s="3" t="s">
        <v>1522</v>
      </c>
      <c r="L32" s="166" t="s">
        <v>1574</v>
      </c>
      <c r="M32" s="166" t="s">
        <v>1609</v>
      </c>
      <c r="N32" s="166"/>
      <c r="P32" s="5" t="s">
        <v>805</v>
      </c>
    </row>
    <row r="33" spans="1:19" x14ac:dyDescent="0.25">
      <c r="A33" s="263" t="s">
        <v>5</v>
      </c>
      <c r="B33" s="263" t="s">
        <v>7</v>
      </c>
      <c r="C33" s="265">
        <v>2012</v>
      </c>
      <c r="D33" s="11" t="s">
        <v>100</v>
      </c>
      <c r="E33" s="13" t="s">
        <v>623</v>
      </c>
      <c r="F33" s="4" t="s">
        <v>101</v>
      </c>
      <c r="G33" s="4" t="s">
        <v>102</v>
      </c>
      <c r="H33" s="13">
        <v>14</v>
      </c>
      <c r="I33" s="13"/>
      <c r="J33" s="3" t="s">
        <v>8</v>
      </c>
      <c r="K33" s="3" t="s">
        <v>1522</v>
      </c>
      <c r="L33" s="166" t="s">
        <v>1574</v>
      </c>
      <c r="M33" s="166" t="s">
        <v>1609</v>
      </c>
      <c r="N33" s="166"/>
      <c r="P33" s="5" t="s">
        <v>805</v>
      </c>
      <c r="Q33" s="5" t="s">
        <v>806</v>
      </c>
    </row>
    <row r="34" spans="1:19" x14ac:dyDescent="0.25">
      <c r="A34" s="263" t="s">
        <v>5</v>
      </c>
      <c r="B34" s="263" t="s">
        <v>7</v>
      </c>
      <c r="C34" s="265">
        <v>2016</v>
      </c>
      <c r="D34" s="11" t="s">
        <v>103</v>
      </c>
      <c r="E34" s="13" t="s">
        <v>1055</v>
      </c>
      <c r="F34" s="4" t="s">
        <v>105</v>
      </c>
      <c r="G34" s="4" t="s">
        <v>104</v>
      </c>
      <c r="H34" s="13">
        <v>0</v>
      </c>
      <c r="I34" s="13"/>
      <c r="J34" s="3" t="s">
        <v>8</v>
      </c>
      <c r="K34" s="3" t="s">
        <v>1522</v>
      </c>
      <c r="L34" s="166" t="s">
        <v>1574</v>
      </c>
      <c r="M34" s="166" t="s">
        <v>1609</v>
      </c>
      <c r="N34" s="166"/>
      <c r="P34" s="5" t="s">
        <v>1113</v>
      </c>
      <c r="Q34" s="5" t="s">
        <v>1114</v>
      </c>
      <c r="R34" s="5" t="s">
        <v>1115</v>
      </c>
    </row>
    <row r="35" spans="1:19" x14ac:dyDescent="0.25">
      <c r="A35" s="263" t="s">
        <v>5</v>
      </c>
      <c r="B35" s="263" t="s">
        <v>7</v>
      </c>
      <c r="C35" s="265">
        <v>2014</v>
      </c>
      <c r="D35" s="11" t="s">
        <v>106</v>
      </c>
      <c r="E35" s="13" t="s">
        <v>581</v>
      </c>
      <c r="F35" s="4" t="s">
        <v>70</v>
      </c>
      <c r="G35" s="4" t="s">
        <v>107</v>
      </c>
      <c r="H35" s="13">
        <v>0</v>
      </c>
      <c r="I35" s="13"/>
      <c r="J35" s="3" t="s">
        <v>8</v>
      </c>
      <c r="K35" s="3" t="s">
        <v>1522</v>
      </c>
      <c r="L35" s="166" t="s">
        <v>1574</v>
      </c>
      <c r="M35" s="166" t="s">
        <v>1609</v>
      </c>
      <c r="N35" s="166"/>
      <c r="P35" s="5" t="s">
        <v>1119</v>
      </c>
      <c r="Q35" s="5" t="s">
        <v>1120</v>
      </c>
    </row>
    <row r="36" spans="1:19" x14ac:dyDescent="0.25">
      <c r="A36" s="263" t="s">
        <v>5</v>
      </c>
      <c r="B36" s="263" t="s">
        <v>7</v>
      </c>
      <c r="C36" s="265">
        <v>2019</v>
      </c>
      <c r="D36" s="11" t="s">
        <v>108</v>
      </c>
      <c r="E36" s="13" t="s">
        <v>576</v>
      </c>
      <c r="F36" s="4" t="s">
        <v>109</v>
      </c>
      <c r="G36" s="4" t="s">
        <v>110</v>
      </c>
      <c r="H36" s="13">
        <v>1</v>
      </c>
      <c r="I36" s="13"/>
      <c r="J36" s="3" t="s">
        <v>8</v>
      </c>
      <c r="K36" s="3" t="s">
        <v>1522</v>
      </c>
      <c r="L36" s="166" t="s">
        <v>1574</v>
      </c>
      <c r="M36" s="166" t="s">
        <v>1609</v>
      </c>
      <c r="N36" s="166"/>
      <c r="P36" s="5" t="s">
        <v>577</v>
      </c>
      <c r="Q36" s="5" t="s">
        <v>578</v>
      </c>
      <c r="R36" s="5" t="s">
        <v>579</v>
      </c>
    </row>
    <row r="37" spans="1:19" x14ac:dyDescent="0.25">
      <c r="A37" s="263" t="s">
        <v>5</v>
      </c>
      <c r="B37" s="263" t="s">
        <v>7</v>
      </c>
      <c r="C37" s="265">
        <v>2008</v>
      </c>
      <c r="D37" s="11" t="s">
        <v>111</v>
      </c>
      <c r="E37" s="13" t="s">
        <v>1051</v>
      </c>
      <c r="F37" s="4" t="s">
        <v>112</v>
      </c>
      <c r="G37" s="4" t="s">
        <v>113</v>
      </c>
      <c r="H37" s="13">
        <v>21</v>
      </c>
      <c r="I37" s="13"/>
      <c r="J37" s="3" t="s">
        <v>8</v>
      </c>
      <c r="K37" s="3" t="s">
        <v>1522</v>
      </c>
      <c r="L37" s="166" t="s">
        <v>1574</v>
      </c>
      <c r="M37" s="166" t="s">
        <v>1609</v>
      </c>
      <c r="N37" s="166"/>
      <c r="P37" s="5" t="s">
        <v>1121</v>
      </c>
      <c r="Q37" s="5" t="s">
        <v>1122</v>
      </c>
      <c r="R37" s="5" t="s">
        <v>1123</v>
      </c>
    </row>
    <row r="38" spans="1:19" x14ac:dyDescent="0.25">
      <c r="A38" s="263" t="s">
        <v>5</v>
      </c>
      <c r="B38" s="263" t="s">
        <v>7</v>
      </c>
      <c r="C38" s="265">
        <v>2015</v>
      </c>
      <c r="D38" s="11" t="s">
        <v>114</v>
      </c>
      <c r="E38" s="13" t="s">
        <v>576</v>
      </c>
      <c r="F38" s="4" t="s">
        <v>115</v>
      </c>
      <c r="G38" s="4" t="s">
        <v>116</v>
      </c>
      <c r="H38" s="13">
        <v>1</v>
      </c>
      <c r="I38" s="13"/>
      <c r="J38" s="3" t="s">
        <v>8</v>
      </c>
      <c r="K38" s="3" t="s">
        <v>1522</v>
      </c>
      <c r="L38" s="166" t="s">
        <v>1573</v>
      </c>
      <c r="M38" s="166" t="s">
        <v>1609</v>
      </c>
      <c r="N38" s="166"/>
      <c r="O38" s="52" t="s">
        <v>1972</v>
      </c>
      <c r="P38" s="5" t="s">
        <v>1124</v>
      </c>
      <c r="Q38" s="5" t="s">
        <v>1125</v>
      </c>
      <c r="R38" s="5" t="s">
        <v>1126</v>
      </c>
      <c r="S38" s="5" t="s">
        <v>1127</v>
      </c>
    </row>
    <row r="39" spans="1:19" x14ac:dyDescent="0.25">
      <c r="A39" s="263" t="s">
        <v>5</v>
      </c>
      <c r="B39" s="263" t="s">
        <v>7</v>
      </c>
      <c r="C39" s="265">
        <v>2018</v>
      </c>
      <c r="D39" s="11" t="s">
        <v>117</v>
      </c>
      <c r="E39" s="13" t="s">
        <v>1055</v>
      </c>
      <c r="F39" s="4" t="s">
        <v>91</v>
      </c>
      <c r="G39" s="4" t="s">
        <v>118</v>
      </c>
      <c r="H39" s="13">
        <v>0</v>
      </c>
      <c r="I39" s="13">
        <v>0</v>
      </c>
      <c r="J39" s="3" t="s">
        <v>8</v>
      </c>
      <c r="K39" s="3" t="s">
        <v>1522</v>
      </c>
      <c r="L39" s="166" t="s">
        <v>1573</v>
      </c>
      <c r="M39" s="166" t="s">
        <v>1610</v>
      </c>
      <c r="N39" s="166" t="s">
        <v>2080</v>
      </c>
      <c r="O39" s="52" t="s">
        <v>1577</v>
      </c>
      <c r="P39" s="5" t="s">
        <v>1128</v>
      </c>
      <c r="Q39" s="5" t="s">
        <v>1129</v>
      </c>
      <c r="R39" s="5" t="s">
        <v>1130</v>
      </c>
    </row>
    <row r="40" spans="1:19" x14ac:dyDescent="0.25">
      <c r="A40" s="263" t="s">
        <v>5</v>
      </c>
      <c r="B40" s="263" t="s">
        <v>7</v>
      </c>
      <c r="C40" s="265">
        <v>2017</v>
      </c>
      <c r="D40" s="11" t="s">
        <v>119</v>
      </c>
      <c r="E40" s="13" t="s">
        <v>1061</v>
      </c>
      <c r="F40" s="4" t="s">
        <v>120</v>
      </c>
      <c r="G40" s="4" t="s">
        <v>121</v>
      </c>
      <c r="H40" s="13">
        <v>1</v>
      </c>
      <c r="I40" s="13"/>
      <c r="J40" s="3" t="s">
        <v>8</v>
      </c>
      <c r="K40" s="3" t="s">
        <v>1522</v>
      </c>
      <c r="L40" s="166" t="s">
        <v>1573</v>
      </c>
      <c r="M40" s="166" t="s">
        <v>1610</v>
      </c>
      <c r="N40" s="166" t="s">
        <v>2079</v>
      </c>
      <c r="O40" s="52" t="s">
        <v>1577</v>
      </c>
      <c r="P40" s="5" t="s">
        <v>1128</v>
      </c>
      <c r="Q40" s="5" t="s">
        <v>1129</v>
      </c>
      <c r="R40" s="5" t="s">
        <v>1130</v>
      </c>
      <c r="S40" s="5" t="s">
        <v>1131</v>
      </c>
    </row>
    <row r="41" spans="1:19" x14ac:dyDescent="0.25">
      <c r="A41" s="263" t="s">
        <v>5</v>
      </c>
      <c r="B41" s="263" t="s">
        <v>23</v>
      </c>
      <c r="C41" s="265">
        <v>2016</v>
      </c>
      <c r="D41" s="11" t="s">
        <v>122</v>
      </c>
      <c r="E41" s="13" t="s">
        <v>1039</v>
      </c>
      <c r="F41" s="4" t="s">
        <v>123</v>
      </c>
      <c r="G41" s="4" t="s">
        <v>124</v>
      </c>
      <c r="H41" s="13">
        <v>3</v>
      </c>
      <c r="I41" s="13"/>
      <c r="J41" s="3" t="s">
        <v>8</v>
      </c>
      <c r="K41" s="3" t="s">
        <v>1522</v>
      </c>
      <c r="L41" s="166" t="s">
        <v>1574</v>
      </c>
      <c r="M41" s="166" t="s">
        <v>1609</v>
      </c>
      <c r="N41" s="166"/>
      <c r="P41" s="5" t="s">
        <v>1016</v>
      </c>
    </row>
    <row r="42" spans="1:19" x14ac:dyDescent="0.25">
      <c r="A42" s="263" t="s">
        <v>5</v>
      </c>
      <c r="B42" s="263" t="s">
        <v>7</v>
      </c>
      <c r="C42" s="265">
        <v>2012</v>
      </c>
      <c r="D42" s="11" t="s">
        <v>125</v>
      </c>
      <c r="E42" s="13" t="s">
        <v>1062</v>
      </c>
      <c r="F42" s="4" t="s">
        <v>126</v>
      </c>
      <c r="G42" s="4" t="s">
        <v>127</v>
      </c>
      <c r="H42" s="13">
        <v>3</v>
      </c>
      <c r="I42" s="13"/>
      <c r="J42" s="3" t="s">
        <v>8</v>
      </c>
      <c r="K42" s="3" t="s">
        <v>1522</v>
      </c>
      <c r="L42" s="166" t="s">
        <v>1574</v>
      </c>
      <c r="M42" s="166" t="s">
        <v>1609</v>
      </c>
      <c r="N42" s="166"/>
      <c r="P42" s="5" t="s">
        <v>1133</v>
      </c>
      <c r="Q42" s="5" t="s">
        <v>1134</v>
      </c>
      <c r="R42" s="5" t="s">
        <v>1135</v>
      </c>
    </row>
    <row r="43" spans="1:19" x14ac:dyDescent="0.25">
      <c r="A43" s="263" t="s">
        <v>5</v>
      </c>
      <c r="B43" s="263" t="s">
        <v>7</v>
      </c>
      <c r="C43" s="265">
        <v>2019</v>
      </c>
      <c r="D43" s="11" t="s">
        <v>1565</v>
      </c>
      <c r="E43" s="13" t="s">
        <v>1063</v>
      </c>
      <c r="F43" s="4" t="s">
        <v>128</v>
      </c>
      <c r="G43" s="4" t="s">
        <v>129</v>
      </c>
      <c r="H43" s="13">
        <v>0</v>
      </c>
      <c r="I43" s="13"/>
      <c r="J43" s="3" t="s">
        <v>1566</v>
      </c>
      <c r="K43" s="3" t="s">
        <v>1522</v>
      </c>
      <c r="L43" s="166" t="s">
        <v>1574</v>
      </c>
      <c r="M43" s="166" t="s">
        <v>1609</v>
      </c>
      <c r="N43" s="166"/>
      <c r="P43" s="5" t="s">
        <v>1136</v>
      </c>
      <c r="Q43" s="5" t="s">
        <v>1137</v>
      </c>
      <c r="R43" s="5" t="s">
        <v>1138</v>
      </c>
    </row>
    <row r="44" spans="1:19" x14ac:dyDescent="0.25">
      <c r="A44" s="263" t="s">
        <v>5</v>
      </c>
      <c r="B44" s="263" t="s">
        <v>7</v>
      </c>
      <c r="C44" s="265">
        <v>2009</v>
      </c>
      <c r="D44" s="11" t="s">
        <v>130</v>
      </c>
      <c r="E44" s="13" t="s">
        <v>623</v>
      </c>
      <c r="F44" s="4" t="s">
        <v>131</v>
      </c>
      <c r="G44" s="4" t="s">
        <v>132</v>
      </c>
      <c r="H44" s="13">
        <v>4</v>
      </c>
      <c r="I44" s="13"/>
      <c r="J44" s="3" t="s">
        <v>8</v>
      </c>
      <c r="K44" s="3" t="s">
        <v>1522</v>
      </c>
      <c r="L44" s="166" t="s">
        <v>1574</v>
      </c>
      <c r="M44" s="166" t="s">
        <v>1609</v>
      </c>
      <c r="N44" s="166"/>
      <c r="P44" s="5" t="s">
        <v>1139</v>
      </c>
      <c r="Q44" s="5" t="s">
        <v>1140</v>
      </c>
      <c r="R44" s="5" t="s">
        <v>1141</v>
      </c>
      <c r="S44" s="5" t="s">
        <v>1142</v>
      </c>
    </row>
    <row r="45" spans="1:19" x14ac:dyDescent="0.25">
      <c r="A45" s="263" t="s">
        <v>5</v>
      </c>
      <c r="B45" s="263" t="s">
        <v>6</v>
      </c>
      <c r="C45" s="265">
        <v>2016</v>
      </c>
      <c r="D45" s="11" t="s">
        <v>135</v>
      </c>
      <c r="E45" s="13" t="s">
        <v>1048</v>
      </c>
      <c r="F45" s="4" t="s">
        <v>134</v>
      </c>
      <c r="G45" s="4" t="s">
        <v>133</v>
      </c>
      <c r="H45" s="13">
        <v>2</v>
      </c>
      <c r="I45" s="13"/>
      <c r="J45" s="3" t="s">
        <v>8</v>
      </c>
      <c r="K45" s="3" t="s">
        <v>1522</v>
      </c>
      <c r="L45" s="166" t="s">
        <v>1574</v>
      </c>
      <c r="M45" s="166" t="s">
        <v>1609</v>
      </c>
      <c r="N45" s="166"/>
      <c r="P45" s="5" t="s">
        <v>1143</v>
      </c>
      <c r="Q45" s="5" t="s">
        <v>1144</v>
      </c>
      <c r="R45" s="5" t="s">
        <v>1145</v>
      </c>
    </row>
    <row r="46" spans="1:19" x14ac:dyDescent="0.25">
      <c r="A46" s="263" t="s">
        <v>5</v>
      </c>
      <c r="B46" s="263" t="s">
        <v>7</v>
      </c>
      <c r="C46" s="265">
        <v>2015</v>
      </c>
      <c r="D46" s="11" t="s">
        <v>136</v>
      </c>
      <c r="E46" s="13" t="s">
        <v>1064</v>
      </c>
      <c r="F46" s="4" t="s">
        <v>137</v>
      </c>
      <c r="G46" s="4" t="s">
        <v>138</v>
      </c>
      <c r="H46" s="13">
        <v>2</v>
      </c>
      <c r="I46" s="13"/>
      <c r="J46" s="3" t="s">
        <v>8</v>
      </c>
      <c r="K46" s="3" t="s">
        <v>1522</v>
      </c>
      <c r="L46" s="166" t="s">
        <v>1574</v>
      </c>
      <c r="M46" s="166" t="s">
        <v>1609</v>
      </c>
      <c r="N46" s="166"/>
      <c r="P46" s="5" t="s">
        <v>1146</v>
      </c>
      <c r="Q46" s="5" t="s">
        <v>1147</v>
      </c>
    </row>
    <row r="47" spans="1:19" x14ac:dyDescent="0.25">
      <c r="A47" s="263" t="s">
        <v>5</v>
      </c>
      <c r="B47" s="263" t="s">
        <v>7</v>
      </c>
      <c r="C47" s="265">
        <v>2007</v>
      </c>
      <c r="D47" s="11" t="s">
        <v>139</v>
      </c>
      <c r="E47" s="13" t="s">
        <v>1065</v>
      </c>
      <c r="F47" s="4" t="s">
        <v>140</v>
      </c>
      <c r="G47" s="4" t="s">
        <v>141</v>
      </c>
      <c r="H47" s="13">
        <v>7</v>
      </c>
      <c r="I47" s="13"/>
      <c r="J47" s="3" t="s">
        <v>8</v>
      </c>
      <c r="K47" s="3" t="s">
        <v>1522</v>
      </c>
      <c r="L47" s="166" t="s">
        <v>1574</v>
      </c>
      <c r="M47" s="166" t="s">
        <v>1609</v>
      </c>
      <c r="N47" s="166"/>
      <c r="P47" s="5" t="s">
        <v>1148</v>
      </c>
      <c r="Q47" s="5" t="s">
        <v>1149</v>
      </c>
      <c r="R47" s="5" t="s">
        <v>1150</v>
      </c>
    </row>
    <row r="48" spans="1:19" x14ac:dyDescent="0.25">
      <c r="A48" s="263" t="s">
        <v>5</v>
      </c>
      <c r="B48" s="263" t="s">
        <v>7</v>
      </c>
      <c r="C48" s="265">
        <v>2013</v>
      </c>
      <c r="D48" s="11" t="s">
        <v>142</v>
      </c>
      <c r="E48" s="13" t="s">
        <v>1066</v>
      </c>
      <c r="F48" s="4" t="s">
        <v>143</v>
      </c>
      <c r="G48" s="4" t="s">
        <v>144</v>
      </c>
      <c r="H48" s="13">
        <v>1</v>
      </c>
      <c r="I48" s="13"/>
      <c r="J48" s="3" t="s">
        <v>8</v>
      </c>
      <c r="K48" s="3" t="s">
        <v>1522</v>
      </c>
      <c r="L48" s="166" t="s">
        <v>1574</v>
      </c>
      <c r="M48" s="166" t="s">
        <v>1609</v>
      </c>
      <c r="N48" s="166"/>
      <c r="P48" s="5" t="s">
        <v>1151</v>
      </c>
      <c r="Q48" s="5" t="s">
        <v>1152</v>
      </c>
      <c r="R48" s="5" t="s">
        <v>1153</v>
      </c>
      <c r="S48" s="5" t="s">
        <v>1154</v>
      </c>
    </row>
    <row r="49" spans="1:21" x14ac:dyDescent="0.25">
      <c r="A49" s="263" t="s">
        <v>5</v>
      </c>
      <c r="B49" s="263" t="s">
        <v>7</v>
      </c>
      <c r="C49" s="265">
        <v>2006</v>
      </c>
      <c r="D49" s="11" t="s">
        <v>145</v>
      </c>
      <c r="E49" s="13" t="s">
        <v>623</v>
      </c>
      <c r="F49" s="4" t="s">
        <v>146</v>
      </c>
      <c r="G49" s="4" t="s">
        <v>147</v>
      </c>
      <c r="H49" s="13">
        <v>0</v>
      </c>
      <c r="I49" s="13"/>
      <c r="J49" s="3" t="s">
        <v>8</v>
      </c>
      <c r="K49" s="3" t="s">
        <v>1522</v>
      </c>
      <c r="L49" s="166" t="s">
        <v>1574</v>
      </c>
      <c r="M49" s="166" t="s">
        <v>1609</v>
      </c>
      <c r="N49" s="166"/>
      <c r="P49" s="5" t="s">
        <v>782</v>
      </c>
    </row>
    <row r="50" spans="1:21" x14ac:dyDescent="0.25">
      <c r="A50" s="263" t="s">
        <v>5</v>
      </c>
      <c r="B50" s="263" t="s">
        <v>7</v>
      </c>
      <c r="C50" s="265">
        <v>2017</v>
      </c>
      <c r="D50" s="11" t="s">
        <v>148</v>
      </c>
      <c r="E50" s="13" t="s">
        <v>1067</v>
      </c>
      <c r="F50" s="4" t="s">
        <v>149</v>
      </c>
      <c r="G50" s="4" t="s">
        <v>150</v>
      </c>
      <c r="H50" s="13">
        <v>0</v>
      </c>
      <c r="I50" s="13"/>
      <c r="J50" s="3" t="s">
        <v>8</v>
      </c>
      <c r="K50" s="3" t="s">
        <v>1522</v>
      </c>
      <c r="L50" s="166" t="s">
        <v>1574</v>
      </c>
      <c r="M50" s="166" t="s">
        <v>1609</v>
      </c>
      <c r="N50" s="166"/>
      <c r="P50" s="5" t="s">
        <v>1155</v>
      </c>
      <c r="Q50" s="5" t="s">
        <v>1156</v>
      </c>
    </row>
    <row r="51" spans="1:21" x14ac:dyDescent="0.25">
      <c r="A51" s="263" t="s">
        <v>5</v>
      </c>
      <c r="B51" s="263" t="s">
        <v>6</v>
      </c>
      <c r="C51" s="265">
        <v>2006</v>
      </c>
      <c r="D51" s="11" t="s">
        <v>151</v>
      </c>
      <c r="E51" s="13" t="s">
        <v>1049</v>
      </c>
      <c r="F51" s="4" t="s">
        <v>84</v>
      </c>
      <c r="G51" s="4" t="s">
        <v>152</v>
      </c>
      <c r="H51" s="13">
        <v>3</v>
      </c>
      <c r="I51" s="13"/>
      <c r="J51" s="3" t="s">
        <v>8</v>
      </c>
      <c r="K51" s="3" t="s">
        <v>1522</v>
      </c>
      <c r="L51" s="166" t="s">
        <v>1573</v>
      </c>
      <c r="M51" s="166" t="s">
        <v>1609</v>
      </c>
      <c r="N51" s="166"/>
      <c r="O51" s="52" t="s">
        <v>1985</v>
      </c>
      <c r="P51" s="5" t="s">
        <v>1157</v>
      </c>
      <c r="Q51" s="5" t="s">
        <v>1158</v>
      </c>
    </row>
    <row r="52" spans="1:21" x14ac:dyDescent="0.25">
      <c r="A52" s="263" t="s">
        <v>5</v>
      </c>
      <c r="B52" s="263" t="s">
        <v>6</v>
      </c>
      <c r="C52" s="265">
        <v>2013</v>
      </c>
      <c r="D52" s="11" t="s">
        <v>153</v>
      </c>
      <c r="E52" s="13" t="s">
        <v>1048</v>
      </c>
      <c r="F52" s="4" t="s">
        <v>154</v>
      </c>
      <c r="G52" s="4" t="s">
        <v>155</v>
      </c>
      <c r="H52" s="13">
        <v>12</v>
      </c>
      <c r="I52" s="13"/>
      <c r="J52" s="3" t="s">
        <v>8</v>
      </c>
      <c r="K52" s="3" t="s">
        <v>1522</v>
      </c>
      <c r="L52" s="166" t="s">
        <v>1574</v>
      </c>
      <c r="M52" s="166" t="s">
        <v>1609</v>
      </c>
      <c r="N52" s="166"/>
      <c r="P52" s="5" t="s">
        <v>805</v>
      </c>
      <c r="Q52" s="5" t="s">
        <v>806</v>
      </c>
    </row>
    <row r="53" spans="1:21" x14ac:dyDescent="0.25">
      <c r="A53" s="263" t="s">
        <v>5</v>
      </c>
      <c r="B53" s="263" t="s">
        <v>6</v>
      </c>
      <c r="C53" s="265">
        <v>2014</v>
      </c>
      <c r="D53" s="11" t="s">
        <v>156</v>
      </c>
      <c r="E53" s="13" t="s">
        <v>1068</v>
      </c>
      <c r="F53" s="4" t="s">
        <v>157</v>
      </c>
      <c r="G53" s="4" t="s">
        <v>158</v>
      </c>
      <c r="H53" s="13">
        <v>6</v>
      </c>
      <c r="I53" s="13"/>
      <c r="J53" s="3" t="s">
        <v>8</v>
      </c>
      <c r="K53" s="3" t="s">
        <v>1522</v>
      </c>
      <c r="L53" s="166" t="s">
        <v>1574</v>
      </c>
      <c r="M53" s="166" t="s">
        <v>1609</v>
      </c>
      <c r="N53" s="166"/>
      <c r="P53" s="5" t="s">
        <v>1159</v>
      </c>
      <c r="Q53" s="5" t="s">
        <v>1160</v>
      </c>
      <c r="R53" s="5" t="s">
        <v>1161</v>
      </c>
    </row>
    <row r="54" spans="1:21" x14ac:dyDescent="0.25">
      <c r="A54" s="263" t="s">
        <v>5</v>
      </c>
      <c r="B54" s="263" t="s">
        <v>6</v>
      </c>
      <c r="C54" s="265">
        <v>2000</v>
      </c>
      <c r="D54" s="11" t="s">
        <v>159</v>
      </c>
      <c r="E54" s="13" t="s">
        <v>1162</v>
      </c>
      <c r="F54" s="4" t="s">
        <v>160</v>
      </c>
      <c r="G54" s="4" t="s">
        <v>161</v>
      </c>
      <c r="H54" s="13">
        <v>81</v>
      </c>
      <c r="I54" s="13"/>
      <c r="J54" s="3" t="s">
        <v>8</v>
      </c>
      <c r="K54" s="3" t="s">
        <v>1522</v>
      </c>
      <c r="L54" s="166" t="s">
        <v>1574</v>
      </c>
      <c r="M54" s="166" t="s">
        <v>1609</v>
      </c>
      <c r="N54" s="166"/>
      <c r="P54" s="5" t="s">
        <v>1163</v>
      </c>
      <c r="Q54" s="5" t="s">
        <v>1103</v>
      </c>
      <c r="R54" s="5" t="s">
        <v>1164</v>
      </c>
    </row>
    <row r="55" spans="1:21" x14ac:dyDescent="0.25">
      <c r="A55" s="263" t="s">
        <v>5</v>
      </c>
      <c r="B55" s="263" t="s">
        <v>7</v>
      </c>
      <c r="C55" s="265">
        <v>2019</v>
      </c>
      <c r="D55" s="11" t="s">
        <v>162</v>
      </c>
      <c r="E55" s="13" t="s">
        <v>1069</v>
      </c>
      <c r="F55" s="4" t="s">
        <v>163</v>
      </c>
      <c r="G55" s="4" t="s">
        <v>164</v>
      </c>
      <c r="H55" s="13">
        <v>0</v>
      </c>
      <c r="I55" s="13"/>
      <c r="J55" s="3" t="s">
        <v>8</v>
      </c>
      <c r="K55" s="3" t="s">
        <v>1522</v>
      </c>
      <c r="L55" s="166" t="s">
        <v>1574</v>
      </c>
      <c r="M55" s="166" t="s">
        <v>1609</v>
      </c>
      <c r="N55" s="166"/>
      <c r="P55" s="5" t="s">
        <v>1165</v>
      </c>
      <c r="Q55" s="5" t="s">
        <v>1166</v>
      </c>
      <c r="R55" s="5" t="s">
        <v>1167</v>
      </c>
      <c r="S55" s="5" t="s">
        <v>1168</v>
      </c>
      <c r="T55" s="5" t="s">
        <v>1169</v>
      </c>
      <c r="U55" s="5" t="s">
        <v>1170</v>
      </c>
    </row>
    <row r="56" spans="1:21" x14ac:dyDescent="0.25">
      <c r="A56" s="263" t="s">
        <v>5</v>
      </c>
      <c r="B56" s="263" t="s">
        <v>7</v>
      </c>
      <c r="C56" s="265">
        <v>2009</v>
      </c>
      <c r="D56" s="11" t="s">
        <v>165</v>
      </c>
      <c r="E56" s="13" t="s">
        <v>1070</v>
      </c>
      <c r="F56" s="4" t="s">
        <v>166</v>
      </c>
      <c r="G56" s="4" t="s">
        <v>167</v>
      </c>
      <c r="H56" s="13">
        <v>0</v>
      </c>
      <c r="I56" s="13"/>
      <c r="J56" s="3" t="s">
        <v>8</v>
      </c>
      <c r="K56" s="3" t="s">
        <v>1522</v>
      </c>
      <c r="L56" s="166" t="s">
        <v>1574</v>
      </c>
      <c r="M56" s="166" t="s">
        <v>1609</v>
      </c>
      <c r="N56" s="166"/>
      <c r="P56" s="5" t="s">
        <v>1171</v>
      </c>
      <c r="Q56" s="5" t="s">
        <v>1172</v>
      </c>
    </row>
    <row r="57" spans="1:21" x14ac:dyDescent="0.25">
      <c r="A57" s="263" t="s">
        <v>5</v>
      </c>
      <c r="B57" s="263" t="s">
        <v>7</v>
      </c>
      <c r="C57" s="265">
        <v>2018</v>
      </c>
      <c r="D57" s="11" t="s">
        <v>168</v>
      </c>
      <c r="E57" s="13" t="s">
        <v>1071</v>
      </c>
      <c r="F57" s="4" t="s">
        <v>169</v>
      </c>
      <c r="G57" s="4" t="s">
        <v>170</v>
      </c>
      <c r="H57" s="13">
        <v>0</v>
      </c>
      <c r="I57" s="13"/>
      <c r="J57" s="3" t="s">
        <v>8</v>
      </c>
      <c r="K57" s="3" t="s">
        <v>1522</v>
      </c>
      <c r="L57" s="166" t="s">
        <v>1574</v>
      </c>
      <c r="M57" s="166" t="s">
        <v>1609</v>
      </c>
      <c r="N57" s="166"/>
      <c r="P57" s="5" t="s">
        <v>1173</v>
      </c>
      <c r="Q57" s="5" t="s">
        <v>1174</v>
      </c>
      <c r="R57" s="5" t="s">
        <v>1175</v>
      </c>
      <c r="S57" s="5" t="s">
        <v>1176</v>
      </c>
    </row>
    <row r="58" spans="1:21" x14ac:dyDescent="0.25">
      <c r="A58" s="263" t="s">
        <v>5</v>
      </c>
      <c r="B58" s="263" t="s">
        <v>7</v>
      </c>
      <c r="C58" s="265">
        <v>2018</v>
      </c>
      <c r="D58" s="11" t="s">
        <v>171</v>
      </c>
      <c r="E58" s="13" t="s">
        <v>1132</v>
      </c>
      <c r="F58" s="4" t="s">
        <v>172</v>
      </c>
      <c r="G58" s="4" t="s">
        <v>173</v>
      </c>
      <c r="H58" s="13">
        <v>2</v>
      </c>
      <c r="I58" s="13"/>
      <c r="J58" s="3" t="s">
        <v>8</v>
      </c>
      <c r="K58" s="3" t="s">
        <v>1522</v>
      </c>
      <c r="L58" s="166" t="s">
        <v>1574</v>
      </c>
      <c r="M58" s="166" t="s">
        <v>1609</v>
      </c>
      <c r="N58" s="166"/>
      <c r="P58" s="5" t="s">
        <v>1177</v>
      </c>
      <c r="Q58" s="5" t="s">
        <v>1178</v>
      </c>
      <c r="R58" s="5" t="s">
        <v>560</v>
      </c>
    </row>
    <row r="59" spans="1:21" x14ac:dyDescent="0.25">
      <c r="A59" s="263" t="s">
        <v>5</v>
      </c>
      <c r="B59" s="263" t="s">
        <v>7</v>
      </c>
      <c r="C59" s="265">
        <v>2015</v>
      </c>
      <c r="D59" s="11" t="s">
        <v>174</v>
      </c>
      <c r="E59" s="13" t="s">
        <v>1046</v>
      </c>
      <c r="F59" s="4" t="s">
        <v>175</v>
      </c>
      <c r="G59" s="4" t="s">
        <v>176</v>
      </c>
      <c r="H59" s="13">
        <v>2</v>
      </c>
      <c r="I59" s="13"/>
      <c r="J59" s="3" t="s">
        <v>8</v>
      </c>
      <c r="K59" s="3" t="s">
        <v>1522</v>
      </c>
      <c r="L59" s="166" t="s">
        <v>1574</v>
      </c>
      <c r="M59" s="166" t="s">
        <v>1609</v>
      </c>
      <c r="N59" s="166"/>
      <c r="P59" s="5" t="s">
        <v>1179</v>
      </c>
      <c r="Q59" s="5" t="s">
        <v>1096</v>
      </c>
      <c r="R59" s="5" t="s">
        <v>1180</v>
      </c>
    </row>
    <row r="60" spans="1:21" x14ac:dyDescent="0.25">
      <c r="A60" s="263" t="s">
        <v>5</v>
      </c>
      <c r="B60" s="263" t="s">
        <v>7</v>
      </c>
      <c r="C60" s="265">
        <v>2003</v>
      </c>
      <c r="D60" s="11" t="s">
        <v>177</v>
      </c>
      <c r="E60" s="13" t="s">
        <v>716</v>
      </c>
      <c r="F60" s="4" t="s">
        <v>178</v>
      </c>
      <c r="G60" s="4" t="s">
        <v>179</v>
      </c>
      <c r="H60" s="13">
        <v>72</v>
      </c>
      <c r="I60" s="13"/>
      <c r="J60" s="3" t="s">
        <v>8</v>
      </c>
      <c r="K60" s="3" t="s">
        <v>1522</v>
      </c>
      <c r="L60" s="166" t="s">
        <v>1574</v>
      </c>
      <c r="M60" s="166" t="s">
        <v>1609</v>
      </c>
      <c r="N60" s="166"/>
      <c r="P60" s="5" t="s">
        <v>1181</v>
      </c>
      <c r="Q60" s="5" t="s">
        <v>1182</v>
      </c>
      <c r="R60" s="5" t="s">
        <v>1183</v>
      </c>
    </row>
    <row r="61" spans="1:21" x14ac:dyDescent="0.25">
      <c r="A61" s="263" t="s">
        <v>5</v>
      </c>
      <c r="B61" s="263" t="s">
        <v>7</v>
      </c>
      <c r="C61" s="265">
        <v>2019</v>
      </c>
      <c r="D61" s="11" t="s">
        <v>180</v>
      </c>
      <c r="E61" s="13" t="s">
        <v>1072</v>
      </c>
      <c r="F61" s="4" t="s">
        <v>181</v>
      </c>
      <c r="G61" s="4" t="s">
        <v>182</v>
      </c>
      <c r="H61" s="13">
        <v>0</v>
      </c>
      <c r="I61" s="13"/>
      <c r="J61" s="3" t="s">
        <v>8</v>
      </c>
      <c r="K61" s="3" t="s">
        <v>1522</v>
      </c>
      <c r="L61" s="166" t="s">
        <v>1574</v>
      </c>
      <c r="M61" s="166" t="s">
        <v>1609</v>
      </c>
      <c r="N61" s="166"/>
      <c r="P61" s="5" t="s">
        <v>1184</v>
      </c>
      <c r="Q61" s="5" t="s">
        <v>1185</v>
      </c>
      <c r="R61" s="5" t="s">
        <v>983</v>
      </c>
    </row>
    <row r="62" spans="1:21" x14ac:dyDescent="0.25">
      <c r="A62" s="263" t="s">
        <v>5</v>
      </c>
      <c r="B62" s="263" t="s">
        <v>7</v>
      </c>
      <c r="C62" s="265">
        <v>2008</v>
      </c>
      <c r="D62" s="11" t="s">
        <v>183</v>
      </c>
      <c r="E62" s="13" t="s">
        <v>1051</v>
      </c>
      <c r="F62" s="4" t="s">
        <v>112</v>
      </c>
      <c r="G62" s="4" t="s">
        <v>184</v>
      </c>
      <c r="H62" s="13">
        <v>0</v>
      </c>
      <c r="I62" s="13"/>
      <c r="J62" s="3" t="s">
        <v>8</v>
      </c>
      <c r="K62" s="3" t="s">
        <v>1522</v>
      </c>
      <c r="L62" s="166" t="s">
        <v>1574</v>
      </c>
      <c r="M62" s="166" t="s">
        <v>1609</v>
      </c>
      <c r="N62" s="166"/>
      <c r="P62" s="5" t="s">
        <v>1186</v>
      </c>
      <c r="Q62" s="5" t="s">
        <v>1187</v>
      </c>
    </row>
    <row r="63" spans="1:21" x14ac:dyDescent="0.25">
      <c r="A63" s="263" t="s">
        <v>5</v>
      </c>
      <c r="B63" s="263" t="s">
        <v>7</v>
      </c>
      <c r="C63" s="265">
        <v>2009</v>
      </c>
      <c r="D63" s="11" t="s">
        <v>185</v>
      </c>
      <c r="E63" s="13" t="s">
        <v>1073</v>
      </c>
      <c r="F63" s="4" t="s">
        <v>186</v>
      </c>
      <c r="G63" s="4" t="s">
        <v>187</v>
      </c>
      <c r="H63" s="13">
        <v>5</v>
      </c>
      <c r="I63" s="13">
        <v>14</v>
      </c>
      <c r="J63" s="3" t="s">
        <v>8</v>
      </c>
      <c r="K63" s="3" t="s">
        <v>1522</v>
      </c>
      <c r="L63" s="166" t="s">
        <v>1573</v>
      </c>
      <c r="M63" s="166" t="s">
        <v>1610</v>
      </c>
      <c r="N63" s="166" t="s">
        <v>2080</v>
      </c>
      <c r="O63" s="52" t="s">
        <v>1995</v>
      </c>
      <c r="P63" s="5" t="s">
        <v>1188</v>
      </c>
      <c r="Q63" s="5" t="s">
        <v>1189</v>
      </c>
      <c r="R63" s="5" t="s">
        <v>1190</v>
      </c>
      <c r="S63" s="5" t="s">
        <v>1191</v>
      </c>
    </row>
    <row r="64" spans="1:21" x14ac:dyDescent="0.25">
      <c r="A64" s="263" t="s">
        <v>5</v>
      </c>
      <c r="B64" s="263" t="s">
        <v>7</v>
      </c>
      <c r="C64" s="265">
        <v>2006</v>
      </c>
      <c r="D64" s="11" t="s">
        <v>188</v>
      </c>
      <c r="E64" s="13" t="s">
        <v>795</v>
      </c>
      <c r="F64" s="4" t="s">
        <v>189</v>
      </c>
      <c r="G64" s="4" t="s">
        <v>190</v>
      </c>
      <c r="H64" s="13">
        <v>0</v>
      </c>
      <c r="I64" s="13"/>
      <c r="J64" s="3" t="s">
        <v>8</v>
      </c>
      <c r="K64" s="3" t="s">
        <v>1522</v>
      </c>
      <c r="L64" s="166" t="s">
        <v>1573</v>
      </c>
      <c r="M64" s="166" t="s">
        <v>1609</v>
      </c>
      <c r="N64" s="166"/>
      <c r="O64" s="52" t="s">
        <v>1998</v>
      </c>
      <c r="P64" s="5" t="s">
        <v>1192</v>
      </c>
      <c r="Q64" s="5" t="s">
        <v>1193</v>
      </c>
      <c r="R64" s="5" t="s">
        <v>1194</v>
      </c>
    </row>
    <row r="65" spans="1:22" x14ac:dyDescent="0.25">
      <c r="A65" s="263" t="s">
        <v>5</v>
      </c>
      <c r="B65" s="263" t="s">
        <v>7</v>
      </c>
      <c r="C65" s="265">
        <v>2008</v>
      </c>
      <c r="D65" s="11" t="s">
        <v>191</v>
      </c>
      <c r="E65" s="13" t="s">
        <v>716</v>
      </c>
      <c r="F65" s="4" t="s">
        <v>61</v>
      </c>
      <c r="G65" s="4" t="s">
        <v>192</v>
      </c>
      <c r="H65" s="13">
        <v>2</v>
      </c>
      <c r="I65" s="13"/>
      <c r="J65" s="3" t="s">
        <v>8</v>
      </c>
      <c r="K65" s="3" t="s">
        <v>1522</v>
      </c>
      <c r="L65" s="166" t="s">
        <v>1574</v>
      </c>
      <c r="M65" s="166" t="s">
        <v>1609</v>
      </c>
      <c r="N65" s="166"/>
      <c r="P65" s="5" t="s">
        <v>1195</v>
      </c>
      <c r="Q65" s="5" t="s">
        <v>1188</v>
      </c>
      <c r="R65" s="5" t="s">
        <v>1189</v>
      </c>
      <c r="S65" s="5" t="s">
        <v>1196</v>
      </c>
      <c r="T65" s="5" t="s">
        <v>1190</v>
      </c>
      <c r="U65" s="5" t="s">
        <v>1191</v>
      </c>
    </row>
    <row r="66" spans="1:22" x14ac:dyDescent="0.25">
      <c r="A66" s="263" t="s">
        <v>5</v>
      </c>
      <c r="B66" s="263" t="s">
        <v>7</v>
      </c>
      <c r="C66" s="265">
        <v>2007</v>
      </c>
      <c r="D66" s="11" t="s">
        <v>193</v>
      </c>
      <c r="E66" s="13" t="s">
        <v>1074</v>
      </c>
      <c r="F66" s="4" t="s">
        <v>194</v>
      </c>
      <c r="G66" s="4" t="s">
        <v>195</v>
      </c>
      <c r="H66" s="13">
        <v>0</v>
      </c>
      <c r="I66" s="13"/>
      <c r="J66" s="3" t="s">
        <v>8</v>
      </c>
      <c r="K66" s="3" t="s">
        <v>1522</v>
      </c>
      <c r="L66" s="166" t="s">
        <v>1574</v>
      </c>
      <c r="M66" s="166" t="s">
        <v>1609</v>
      </c>
      <c r="N66" s="166"/>
      <c r="P66" s="5" t="s">
        <v>1197</v>
      </c>
      <c r="Q66" s="5" t="s">
        <v>1198</v>
      </c>
    </row>
    <row r="67" spans="1:22" x14ac:dyDescent="0.25">
      <c r="A67" s="263" t="s">
        <v>5</v>
      </c>
      <c r="B67" s="263" t="s">
        <v>7</v>
      </c>
      <c r="C67" s="265">
        <v>2010</v>
      </c>
      <c r="D67" s="11" t="s">
        <v>196</v>
      </c>
      <c r="E67" s="13" t="s">
        <v>1075</v>
      </c>
      <c r="F67" s="4" t="s">
        <v>197</v>
      </c>
      <c r="G67" s="4" t="s">
        <v>198</v>
      </c>
      <c r="H67" s="13">
        <v>0</v>
      </c>
      <c r="I67" s="13"/>
      <c r="J67" s="3" t="s">
        <v>8</v>
      </c>
      <c r="K67" s="3" t="s">
        <v>1522</v>
      </c>
      <c r="L67" s="166" t="s">
        <v>1574</v>
      </c>
      <c r="M67" s="166" t="s">
        <v>1609</v>
      </c>
      <c r="N67" s="166"/>
      <c r="P67" s="5" t="s">
        <v>1199</v>
      </c>
      <c r="Q67" s="5" t="s">
        <v>1200</v>
      </c>
      <c r="R67" s="5" t="s">
        <v>1201</v>
      </c>
      <c r="S67" s="5" t="s">
        <v>1202</v>
      </c>
    </row>
    <row r="68" spans="1:22" x14ac:dyDescent="0.25">
      <c r="A68" s="263" t="s">
        <v>5</v>
      </c>
      <c r="B68" s="263" t="s">
        <v>7</v>
      </c>
      <c r="C68" s="265">
        <v>2006</v>
      </c>
      <c r="D68" s="11" t="s">
        <v>199</v>
      </c>
      <c r="E68" s="13" t="s">
        <v>795</v>
      </c>
      <c r="F68" s="4" t="s">
        <v>189</v>
      </c>
      <c r="G68" s="4" t="s">
        <v>200</v>
      </c>
      <c r="H68" s="13">
        <v>4</v>
      </c>
      <c r="I68" s="13"/>
      <c r="J68" s="3" t="s">
        <v>8</v>
      </c>
      <c r="K68" s="3" t="s">
        <v>1522</v>
      </c>
      <c r="L68" s="166" t="s">
        <v>1574</v>
      </c>
      <c r="M68" s="166" t="s">
        <v>1609</v>
      </c>
      <c r="N68" s="166"/>
      <c r="P68" s="5" t="s">
        <v>1203</v>
      </c>
      <c r="Q68" s="5" t="s">
        <v>1204</v>
      </c>
      <c r="R68" s="5" t="s">
        <v>1205</v>
      </c>
    </row>
    <row r="69" spans="1:22" x14ac:dyDescent="0.25">
      <c r="A69" s="263" t="s">
        <v>5</v>
      </c>
      <c r="B69" s="263" t="s">
        <v>7</v>
      </c>
      <c r="C69" s="265">
        <v>2001</v>
      </c>
      <c r="D69" s="11" t="s">
        <v>201</v>
      </c>
      <c r="E69" s="13" t="s">
        <v>623</v>
      </c>
      <c r="F69" s="4" t="s">
        <v>202</v>
      </c>
      <c r="G69" s="4" t="s">
        <v>203</v>
      </c>
      <c r="H69" s="13">
        <v>10</v>
      </c>
      <c r="I69" s="13"/>
      <c r="J69" s="3" t="s">
        <v>8</v>
      </c>
      <c r="K69" s="3" t="s">
        <v>1522</v>
      </c>
      <c r="L69" s="166" t="s">
        <v>1574</v>
      </c>
      <c r="M69" s="166" t="s">
        <v>1609</v>
      </c>
      <c r="N69" s="166"/>
      <c r="P69" s="5" t="s">
        <v>1206</v>
      </c>
      <c r="Q69" s="5" t="s">
        <v>1207</v>
      </c>
    </row>
    <row r="70" spans="1:22" ht="16.5" customHeight="1" x14ac:dyDescent="0.25">
      <c r="A70" s="263" t="s">
        <v>5</v>
      </c>
      <c r="B70" s="263" t="s">
        <v>7</v>
      </c>
      <c r="C70" s="265">
        <v>2017</v>
      </c>
      <c r="D70" s="11" t="s">
        <v>204</v>
      </c>
      <c r="E70" s="13" t="s">
        <v>1076</v>
      </c>
      <c r="F70" s="4" t="s">
        <v>205</v>
      </c>
      <c r="G70" s="4" t="s">
        <v>206</v>
      </c>
      <c r="H70" s="13">
        <v>0</v>
      </c>
      <c r="I70" s="13"/>
      <c r="J70" s="3" t="s">
        <v>8</v>
      </c>
      <c r="K70" s="3" t="s">
        <v>1522</v>
      </c>
      <c r="L70" s="166" t="s">
        <v>1574</v>
      </c>
      <c r="M70" s="166" t="s">
        <v>1609</v>
      </c>
      <c r="N70" s="166"/>
      <c r="P70" s="5" t="s">
        <v>1208</v>
      </c>
      <c r="Q70" s="5" t="s">
        <v>1209</v>
      </c>
      <c r="R70" s="5" t="s">
        <v>1210</v>
      </c>
    </row>
    <row r="71" spans="1:22" x14ac:dyDescent="0.25">
      <c r="A71" s="263" t="s">
        <v>5</v>
      </c>
      <c r="B71" s="263" t="s">
        <v>7</v>
      </c>
      <c r="C71" s="265">
        <v>2009</v>
      </c>
      <c r="D71" s="11" t="s">
        <v>207</v>
      </c>
      <c r="E71" s="13" t="s">
        <v>1077</v>
      </c>
      <c r="F71" s="4" t="s">
        <v>208</v>
      </c>
      <c r="G71" s="4" t="s">
        <v>209</v>
      </c>
      <c r="H71" s="13">
        <v>9</v>
      </c>
      <c r="I71" s="13"/>
      <c r="J71" s="3" t="s">
        <v>8</v>
      </c>
      <c r="K71" s="3" t="s">
        <v>1522</v>
      </c>
      <c r="L71" s="166" t="s">
        <v>1574</v>
      </c>
      <c r="M71" s="166" t="s">
        <v>1609</v>
      </c>
      <c r="N71" s="166"/>
      <c r="P71" s="5" t="s">
        <v>1211</v>
      </c>
      <c r="Q71" s="5" t="s">
        <v>1175</v>
      </c>
      <c r="R71" s="5" t="s">
        <v>1212</v>
      </c>
      <c r="S71" s="5" t="s">
        <v>1176</v>
      </c>
    </row>
    <row r="72" spans="1:22" x14ac:dyDescent="0.25">
      <c r="A72" s="263" t="s">
        <v>5</v>
      </c>
      <c r="B72" s="263" t="s">
        <v>7</v>
      </c>
      <c r="C72" s="265">
        <v>2007</v>
      </c>
      <c r="D72" s="11" t="s">
        <v>210</v>
      </c>
      <c r="E72" s="13" t="s">
        <v>1078</v>
      </c>
      <c r="F72" s="4" t="s">
        <v>211</v>
      </c>
      <c r="G72" s="4" t="s">
        <v>212</v>
      </c>
      <c r="H72" s="13">
        <v>3</v>
      </c>
      <c r="I72" s="13"/>
      <c r="J72" s="3" t="s">
        <v>8</v>
      </c>
      <c r="K72" s="3" t="s">
        <v>1522</v>
      </c>
      <c r="L72" s="166" t="s">
        <v>1574</v>
      </c>
      <c r="M72" s="166" t="s">
        <v>1609</v>
      </c>
      <c r="N72" s="166"/>
      <c r="P72" s="5" t="s">
        <v>1213</v>
      </c>
      <c r="Q72" s="5" t="s">
        <v>1214</v>
      </c>
    </row>
    <row r="73" spans="1:22" x14ac:dyDescent="0.25">
      <c r="A73" s="263" t="s">
        <v>5</v>
      </c>
      <c r="B73" s="263" t="s">
        <v>6</v>
      </c>
      <c r="C73" s="265">
        <v>2006</v>
      </c>
      <c r="D73" s="11" t="s">
        <v>213</v>
      </c>
      <c r="E73" s="13" t="s">
        <v>1048</v>
      </c>
      <c r="F73" s="4" t="s">
        <v>76</v>
      </c>
      <c r="G73" s="4" t="s">
        <v>214</v>
      </c>
      <c r="H73" s="13">
        <v>11</v>
      </c>
      <c r="I73" s="13"/>
      <c r="J73" s="3" t="s">
        <v>8</v>
      </c>
      <c r="K73" s="3" t="s">
        <v>1522</v>
      </c>
      <c r="L73" s="166" t="s">
        <v>1574</v>
      </c>
      <c r="M73" s="166" t="s">
        <v>1609</v>
      </c>
      <c r="N73" s="166"/>
      <c r="P73" s="5" t="s">
        <v>806</v>
      </c>
      <c r="Q73" s="5" t="s">
        <v>1215</v>
      </c>
    </row>
    <row r="74" spans="1:22" x14ac:dyDescent="0.25">
      <c r="A74" s="263" t="s">
        <v>5</v>
      </c>
      <c r="B74" s="263" t="s">
        <v>7</v>
      </c>
      <c r="C74" s="265">
        <v>2001</v>
      </c>
      <c r="D74" s="11" t="s">
        <v>215</v>
      </c>
      <c r="E74" s="13" t="s">
        <v>623</v>
      </c>
      <c r="F74" s="4" t="s">
        <v>131</v>
      </c>
      <c r="G74" s="4" t="s">
        <v>216</v>
      </c>
      <c r="H74" s="13">
        <v>19</v>
      </c>
      <c r="I74" s="13"/>
      <c r="J74" s="3" t="s">
        <v>8</v>
      </c>
      <c r="K74" s="3" t="s">
        <v>1522</v>
      </c>
      <c r="L74" s="166" t="s">
        <v>1574</v>
      </c>
      <c r="M74" s="166" t="s">
        <v>1609</v>
      </c>
      <c r="N74" s="166"/>
      <c r="P74" s="5" t="s">
        <v>1223</v>
      </c>
      <c r="Q74" s="5" t="s">
        <v>1224</v>
      </c>
      <c r="R74" s="5" t="s">
        <v>1225</v>
      </c>
    </row>
    <row r="75" spans="1:22" x14ac:dyDescent="0.25">
      <c r="A75" s="263" t="s">
        <v>5</v>
      </c>
      <c r="B75" s="263" t="s">
        <v>7</v>
      </c>
      <c r="C75" s="265">
        <v>2009</v>
      </c>
      <c r="D75" s="11" t="s">
        <v>548</v>
      </c>
      <c r="E75" s="13" t="s">
        <v>842</v>
      </c>
      <c r="F75" s="4" t="s">
        <v>549</v>
      </c>
      <c r="G75" s="4" t="s">
        <v>550</v>
      </c>
      <c r="H75" s="13">
        <v>25</v>
      </c>
      <c r="I75" s="13">
        <v>47</v>
      </c>
      <c r="J75" s="3" t="s">
        <v>8</v>
      </c>
      <c r="K75" s="3" t="s">
        <v>1522</v>
      </c>
      <c r="L75" s="166" t="s">
        <v>1573</v>
      </c>
      <c r="M75" s="166" t="s">
        <v>1610</v>
      </c>
      <c r="N75" s="166" t="s">
        <v>2080</v>
      </c>
      <c r="O75" s="52" t="s">
        <v>1997</v>
      </c>
      <c r="P75" s="5" t="s">
        <v>1216</v>
      </c>
      <c r="Q75" s="5" t="s">
        <v>1217</v>
      </c>
      <c r="R75" s="5" t="s">
        <v>1218</v>
      </c>
      <c r="S75" s="5" t="s">
        <v>1219</v>
      </c>
      <c r="T75" s="5" t="s">
        <v>1220</v>
      </c>
      <c r="U75" s="5" t="s">
        <v>1221</v>
      </c>
      <c r="V75" s="5" t="s">
        <v>1222</v>
      </c>
    </row>
    <row r="76" spans="1:22" x14ac:dyDescent="0.25">
      <c r="A76" s="263" t="s">
        <v>5</v>
      </c>
      <c r="B76" s="263" t="s">
        <v>7</v>
      </c>
      <c r="C76" s="265">
        <v>2016</v>
      </c>
      <c r="D76" s="11" t="s">
        <v>556</v>
      </c>
      <c r="E76" s="13" t="s">
        <v>573</v>
      </c>
      <c r="F76" s="4" t="s">
        <v>572</v>
      </c>
      <c r="G76" s="4" t="s">
        <v>574</v>
      </c>
      <c r="H76" s="13">
        <v>0</v>
      </c>
      <c r="I76" s="13"/>
      <c r="J76" s="3" t="s">
        <v>8</v>
      </c>
      <c r="K76" s="3" t="s">
        <v>1522</v>
      </c>
      <c r="L76" s="166" t="s">
        <v>1574</v>
      </c>
      <c r="M76" s="166" t="s">
        <v>1609</v>
      </c>
      <c r="N76" s="166"/>
      <c r="O76" s="52" t="s">
        <v>340</v>
      </c>
      <c r="P76" s="5" t="s">
        <v>570</v>
      </c>
      <c r="Q76" s="5" t="s">
        <v>571</v>
      </c>
    </row>
    <row r="77" spans="1:22" x14ac:dyDescent="0.25">
      <c r="A77" s="263" t="s">
        <v>5</v>
      </c>
      <c r="B77" s="263" t="s">
        <v>7</v>
      </c>
      <c r="C77" s="265">
        <v>2013</v>
      </c>
      <c r="D77" s="11" t="s">
        <v>580</v>
      </c>
      <c r="E77" s="13" t="s">
        <v>581</v>
      </c>
      <c r="F77" s="4" t="s">
        <v>582</v>
      </c>
      <c r="G77" s="4" t="s">
        <v>583</v>
      </c>
      <c r="H77" s="13">
        <v>7</v>
      </c>
      <c r="I77" s="13"/>
      <c r="J77" s="3" t="s">
        <v>8</v>
      </c>
      <c r="K77" s="3" t="s">
        <v>1522</v>
      </c>
      <c r="L77" s="166" t="s">
        <v>1574</v>
      </c>
      <c r="M77" s="166" t="s">
        <v>1609</v>
      </c>
      <c r="N77" s="166"/>
      <c r="P77" s="5" t="s">
        <v>584</v>
      </c>
      <c r="Q77" s="5" t="s">
        <v>585</v>
      </c>
      <c r="R77" s="5" t="s">
        <v>586</v>
      </c>
      <c r="S77" s="5" t="s">
        <v>587</v>
      </c>
    </row>
    <row r="78" spans="1:22" x14ac:dyDescent="0.25">
      <c r="A78" s="263" t="s">
        <v>5</v>
      </c>
      <c r="B78" s="263" t="s">
        <v>7</v>
      </c>
      <c r="C78" s="265">
        <v>2012</v>
      </c>
      <c r="D78" s="11" t="s">
        <v>715</v>
      </c>
      <c r="E78" s="13" t="s">
        <v>716</v>
      </c>
      <c r="F78" s="4" t="s">
        <v>717</v>
      </c>
      <c r="G78" s="4" t="s">
        <v>718</v>
      </c>
      <c r="H78" s="13">
        <v>15</v>
      </c>
      <c r="I78" s="13"/>
      <c r="J78" s="3" t="s">
        <v>8</v>
      </c>
      <c r="K78" s="3" t="s">
        <v>1522</v>
      </c>
      <c r="L78" s="166" t="s">
        <v>1573</v>
      </c>
      <c r="M78" s="166" t="s">
        <v>1609</v>
      </c>
      <c r="N78" s="166"/>
      <c r="O78" s="52" t="s">
        <v>1587</v>
      </c>
      <c r="P78" s="5" t="s">
        <v>719</v>
      </c>
      <c r="Q78" s="5" t="s">
        <v>557</v>
      </c>
      <c r="R78" s="5" t="s">
        <v>559</v>
      </c>
      <c r="S78" s="5" t="s">
        <v>560</v>
      </c>
    </row>
    <row r="79" spans="1:22" x14ac:dyDescent="0.25">
      <c r="A79" s="263" t="s">
        <v>5</v>
      </c>
      <c r="B79" s="263" t="s">
        <v>7</v>
      </c>
      <c r="C79" s="265">
        <v>2015</v>
      </c>
      <c r="D79" s="11" t="s">
        <v>742</v>
      </c>
      <c r="E79" s="13" t="s">
        <v>687</v>
      </c>
      <c r="F79" s="4" t="s">
        <v>743</v>
      </c>
      <c r="G79" s="4" t="s">
        <v>744</v>
      </c>
      <c r="H79" s="13">
        <v>7</v>
      </c>
      <c r="I79" s="13"/>
      <c r="J79" s="3" t="s">
        <v>8</v>
      </c>
      <c r="K79" s="3" t="s">
        <v>1522</v>
      </c>
      <c r="L79" s="166" t="s">
        <v>1574</v>
      </c>
      <c r="M79" s="166" t="s">
        <v>1609</v>
      </c>
      <c r="N79" s="166"/>
      <c r="O79" s="52" t="s">
        <v>340</v>
      </c>
      <c r="P79" s="5" t="s">
        <v>745</v>
      </c>
    </row>
    <row r="80" spans="1:22" x14ac:dyDescent="0.25">
      <c r="A80" s="263" t="s">
        <v>5</v>
      </c>
      <c r="B80" s="263" t="s">
        <v>7</v>
      </c>
      <c r="C80" s="265">
        <v>2009</v>
      </c>
      <c r="D80" s="11" t="s">
        <v>765</v>
      </c>
      <c r="E80" s="13" t="s">
        <v>766</v>
      </c>
      <c r="F80" s="4" t="s">
        <v>767</v>
      </c>
      <c r="G80" s="4" t="s">
        <v>768</v>
      </c>
      <c r="H80" s="13">
        <v>1</v>
      </c>
      <c r="I80" s="13"/>
      <c r="J80" s="3" t="s">
        <v>8</v>
      </c>
      <c r="K80" s="3" t="s">
        <v>1522</v>
      </c>
      <c r="L80" s="166" t="s">
        <v>1574</v>
      </c>
      <c r="M80" s="166" t="s">
        <v>1609</v>
      </c>
      <c r="N80" s="166"/>
      <c r="O80" s="52" t="s">
        <v>340</v>
      </c>
      <c r="P80" s="5" t="s">
        <v>769</v>
      </c>
      <c r="Q80" s="5" t="s">
        <v>770</v>
      </c>
      <c r="R80" s="5" t="s">
        <v>771</v>
      </c>
    </row>
    <row r="81" spans="1:21" x14ac:dyDescent="0.25">
      <c r="A81" s="263" t="s">
        <v>5</v>
      </c>
      <c r="B81" s="263" t="s">
        <v>7</v>
      </c>
      <c r="C81" s="265">
        <v>2013</v>
      </c>
      <c r="D81" s="11" t="s">
        <v>772</v>
      </c>
      <c r="E81" s="13" t="s">
        <v>773</v>
      </c>
      <c r="F81" s="4" t="s">
        <v>774</v>
      </c>
      <c r="G81" s="4" t="s">
        <v>775</v>
      </c>
      <c r="H81" s="13">
        <v>0</v>
      </c>
      <c r="I81" s="13"/>
      <c r="J81" s="3" t="s">
        <v>8</v>
      </c>
      <c r="K81" s="3" t="s">
        <v>1522</v>
      </c>
      <c r="L81" s="166" t="s">
        <v>1573</v>
      </c>
      <c r="M81" s="166" t="s">
        <v>1609</v>
      </c>
      <c r="N81" s="166"/>
      <c r="O81" s="52" t="s">
        <v>2026</v>
      </c>
      <c r="P81" s="5" t="s">
        <v>776</v>
      </c>
      <c r="Q81" s="5" t="s">
        <v>777</v>
      </c>
    </row>
    <row r="82" spans="1:21" x14ac:dyDescent="0.25">
      <c r="A82" s="263" t="s">
        <v>5</v>
      </c>
      <c r="B82" s="263" t="s">
        <v>23</v>
      </c>
      <c r="C82" s="265">
        <v>2007</v>
      </c>
      <c r="D82" s="11" t="s">
        <v>778</v>
      </c>
      <c r="E82" s="13" t="s">
        <v>779</v>
      </c>
      <c r="F82" s="4" t="s">
        <v>780</v>
      </c>
      <c r="G82" s="4" t="s">
        <v>781</v>
      </c>
      <c r="H82" s="13">
        <v>9</v>
      </c>
      <c r="I82" s="13"/>
      <c r="J82" s="3" t="s">
        <v>8</v>
      </c>
      <c r="K82" s="3" t="s">
        <v>1522</v>
      </c>
      <c r="L82" s="166" t="s">
        <v>1574</v>
      </c>
      <c r="M82" s="166" t="s">
        <v>1609</v>
      </c>
      <c r="N82" s="166"/>
      <c r="P82" s="5" t="s">
        <v>782</v>
      </c>
      <c r="Q82" s="5" t="s">
        <v>783</v>
      </c>
      <c r="R82" s="5" t="s">
        <v>784</v>
      </c>
      <c r="S82" s="5" t="s">
        <v>785</v>
      </c>
    </row>
    <row r="83" spans="1:21" x14ac:dyDescent="0.25">
      <c r="A83" s="263" t="s">
        <v>5</v>
      </c>
      <c r="B83" s="263" t="s">
        <v>6</v>
      </c>
      <c r="C83" s="265">
        <v>2019</v>
      </c>
      <c r="D83" s="11" t="s">
        <v>786</v>
      </c>
      <c r="E83" s="13" t="s">
        <v>787</v>
      </c>
      <c r="F83" s="4" t="s">
        <v>788</v>
      </c>
      <c r="G83" s="4" t="s">
        <v>789</v>
      </c>
      <c r="H83" s="13">
        <v>0</v>
      </c>
      <c r="I83" s="13"/>
      <c r="J83" s="3" t="s">
        <v>8</v>
      </c>
      <c r="K83" s="3" t="s">
        <v>1522</v>
      </c>
      <c r="L83" s="166" t="s">
        <v>1573</v>
      </c>
      <c r="M83" s="166" t="s">
        <v>1610</v>
      </c>
      <c r="N83" s="166" t="s">
        <v>2080</v>
      </c>
      <c r="O83" s="52" t="s">
        <v>1578</v>
      </c>
      <c r="P83" s="5" t="s">
        <v>790</v>
      </c>
      <c r="Q83" s="5" t="s">
        <v>791</v>
      </c>
      <c r="R83" s="5" t="s">
        <v>792</v>
      </c>
      <c r="S83" s="5" t="s">
        <v>793</v>
      </c>
    </row>
    <row r="84" spans="1:21" x14ac:dyDescent="0.25">
      <c r="A84" s="263" t="s">
        <v>5</v>
      </c>
      <c r="B84" s="263" t="s">
        <v>7</v>
      </c>
      <c r="C84" s="265">
        <v>2013</v>
      </c>
      <c r="D84" s="11" t="s">
        <v>794</v>
      </c>
      <c r="E84" s="13" t="s">
        <v>795</v>
      </c>
      <c r="F84" s="4" t="s">
        <v>796</v>
      </c>
      <c r="G84" s="4" t="s">
        <v>797</v>
      </c>
      <c r="H84" s="13">
        <v>4</v>
      </c>
      <c r="I84" s="13"/>
      <c r="J84" s="3" t="s">
        <v>8</v>
      </c>
      <c r="K84" s="3" t="s">
        <v>1522</v>
      </c>
      <c r="L84" s="166" t="s">
        <v>1573</v>
      </c>
      <c r="M84" s="166" t="s">
        <v>1609</v>
      </c>
      <c r="N84" s="166"/>
      <c r="O84" s="52" t="s">
        <v>2027</v>
      </c>
      <c r="P84" s="5" t="s">
        <v>798</v>
      </c>
      <c r="Q84" s="5" t="s">
        <v>799</v>
      </c>
      <c r="R84" s="5" t="s">
        <v>800</v>
      </c>
      <c r="S84" s="5" t="s">
        <v>801</v>
      </c>
      <c r="T84" s="5" t="s">
        <v>802</v>
      </c>
      <c r="U84" s="5" t="s">
        <v>635</v>
      </c>
    </row>
    <row r="85" spans="1:21" x14ac:dyDescent="0.25">
      <c r="A85" s="263" t="s">
        <v>5</v>
      </c>
      <c r="B85" s="263" t="s">
        <v>7</v>
      </c>
      <c r="C85" s="265">
        <v>2014</v>
      </c>
      <c r="D85" s="11" t="s">
        <v>359</v>
      </c>
      <c r="E85" s="13" t="s">
        <v>687</v>
      </c>
      <c r="F85" s="4" t="s">
        <v>807</v>
      </c>
      <c r="G85" s="4" t="s">
        <v>808</v>
      </c>
      <c r="H85" s="13">
        <v>0</v>
      </c>
      <c r="I85" s="13"/>
      <c r="J85" s="3" t="s">
        <v>8</v>
      </c>
      <c r="K85" s="3" t="s">
        <v>1522</v>
      </c>
      <c r="L85" s="166" t="s">
        <v>1574</v>
      </c>
      <c r="M85" s="166" t="s">
        <v>1609</v>
      </c>
      <c r="N85" s="166"/>
      <c r="O85" s="52" t="s">
        <v>1589</v>
      </c>
      <c r="P85" s="5" t="s">
        <v>688</v>
      </c>
      <c r="Q85" s="5" t="s">
        <v>809</v>
      </c>
      <c r="R85" s="5" t="s">
        <v>689</v>
      </c>
    </row>
    <row r="86" spans="1:21" x14ac:dyDescent="0.25">
      <c r="A86" s="263" t="s">
        <v>5</v>
      </c>
      <c r="B86" s="263" t="s">
        <v>7</v>
      </c>
      <c r="C86" s="265">
        <v>2017</v>
      </c>
      <c r="D86" s="11" t="s">
        <v>810</v>
      </c>
      <c r="E86" s="13" t="s">
        <v>811</v>
      </c>
      <c r="F86" s="4" t="s">
        <v>812</v>
      </c>
      <c r="G86" s="4" t="s">
        <v>813</v>
      </c>
      <c r="H86" s="13">
        <v>2</v>
      </c>
      <c r="I86" s="13">
        <v>2</v>
      </c>
      <c r="J86" s="3" t="s">
        <v>8</v>
      </c>
      <c r="K86" s="3" t="s">
        <v>1522</v>
      </c>
      <c r="L86" s="166" t="s">
        <v>1573</v>
      </c>
      <c r="M86" s="166" t="s">
        <v>1610</v>
      </c>
      <c r="N86" s="166" t="s">
        <v>2080</v>
      </c>
      <c r="O86" s="52" t="s">
        <v>1575</v>
      </c>
      <c r="P86" s="5" t="s">
        <v>814</v>
      </c>
      <c r="Q86" s="5" t="s">
        <v>595</v>
      </c>
      <c r="R86" s="5" t="s">
        <v>815</v>
      </c>
    </row>
    <row r="87" spans="1:21" x14ac:dyDescent="0.25">
      <c r="A87" s="263" t="s">
        <v>5</v>
      </c>
      <c r="B87" s="263" t="s">
        <v>7</v>
      </c>
      <c r="C87" s="265">
        <v>2019</v>
      </c>
      <c r="D87" s="11" t="s">
        <v>819</v>
      </c>
      <c r="E87" s="13" t="s">
        <v>761</v>
      </c>
      <c r="F87" s="4" t="s">
        <v>820</v>
      </c>
      <c r="G87" s="4" t="s">
        <v>821</v>
      </c>
      <c r="H87" s="13">
        <v>0</v>
      </c>
      <c r="I87" s="13"/>
      <c r="J87" s="3" t="s">
        <v>8</v>
      </c>
      <c r="K87" s="3" t="s">
        <v>1522</v>
      </c>
      <c r="L87" s="166" t="s">
        <v>1573</v>
      </c>
      <c r="M87" s="166" t="s">
        <v>1610</v>
      </c>
      <c r="N87" s="166" t="s">
        <v>2080</v>
      </c>
      <c r="O87" s="52" t="s">
        <v>2028</v>
      </c>
      <c r="P87" s="5" t="s">
        <v>822</v>
      </c>
      <c r="Q87" s="5" t="s">
        <v>823</v>
      </c>
      <c r="R87" s="5" t="s">
        <v>806</v>
      </c>
    </row>
    <row r="88" spans="1:21" x14ac:dyDescent="0.25">
      <c r="A88" s="263" t="s">
        <v>5</v>
      </c>
      <c r="B88" s="263" t="s">
        <v>7</v>
      </c>
      <c r="C88" s="265">
        <v>2006</v>
      </c>
      <c r="D88" s="11" t="s">
        <v>824</v>
      </c>
      <c r="E88" s="13" t="s">
        <v>825</v>
      </c>
      <c r="F88" s="4" t="s">
        <v>826</v>
      </c>
      <c r="G88" s="4" t="s">
        <v>827</v>
      </c>
      <c r="H88" s="13">
        <v>4</v>
      </c>
      <c r="I88" s="13"/>
      <c r="J88" s="3" t="s">
        <v>8</v>
      </c>
      <c r="K88" s="3" t="s">
        <v>1522</v>
      </c>
      <c r="L88" s="166" t="s">
        <v>1573</v>
      </c>
      <c r="M88" s="166" t="s">
        <v>1609</v>
      </c>
      <c r="N88" s="166"/>
      <c r="O88" s="52" t="s">
        <v>1583</v>
      </c>
      <c r="P88" s="5" t="s">
        <v>828</v>
      </c>
      <c r="Q88" s="5" t="s">
        <v>829</v>
      </c>
      <c r="R88" s="5" t="s">
        <v>830</v>
      </c>
      <c r="S88" s="5" t="s">
        <v>831</v>
      </c>
      <c r="T88" s="5" t="s">
        <v>832</v>
      </c>
    </row>
    <row r="89" spans="1:21" x14ac:dyDescent="0.25">
      <c r="A89" s="263" t="s">
        <v>5</v>
      </c>
      <c r="B89" s="263" t="s">
        <v>23</v>
      </c>
      <c r="C89" s="265">
        <v>2009</v>
      </c>
      <c r="D89" s="11" t="s">
        <v>833</v>
      </c>
      <c r="E89" s="13" t="s">
        <v>835</v>
      </c>
      <c r="F89" s="4" t="s">
        <v>836</v>
      </c>
      <c r="G89" s="4" t="s">
        <v>834</v>
      </c>
      <c r="H89" s="13">
        <v>6</v>
      </c>
      <c r="I89" s="13"/>
      <c r="J89" s="3" t="s">
        <v>8</v>
      </c>
      <c r="K89" s="3" t="s">
        <v>1522</v>
      </c>
      <c r="L89" s="166" t="s">
        <v>1573</v>
      </c>
      <c r="M89" s="166" t="s">
        <v>1609</v>
      </c>
      <c r="N89" s="166"/>
      <c r="O89" s="52" t="s">
        <v>2029</v>
      </c>
      <c r="P89" s="5" t="s">
        <v>837</v>
      </c>
      <c r="Q89" s="5" t="s">
        <v>838</v>
      </c>
      <c r="R89" s="5" t="s">
        <v>839</v>
      </c>
      <c r="S89" s="5" t="s">
        <v>840</v>
      </c>
    </row>
    <row r="90" spans="1:21" x14ac:dyDescent="0.25">
      <c r="A90" s="263" t="s">
        <v>5</v>
      </c>
      <c r="B90" s="263" t="s">
        <v>7</v>
      </c>
      <c r="C90" s="265">
        <v>2011</v>
      </c>
      <c r="D90" s="11" t="s">
        <v>841</v>
      </c>
      <c r="E90" s="13" t="s">
        <v>842</v>
      </c>
      <c r="F90" s="4" t="s">
        <v>843</v>
      </c>
      <c r="G90" s="4" t="s">
        <v>844</v>
      </c>
      <c r="H90" s="13">
        <v>3</v>
      </c>
      <c r="I90" s="13">
        <v>7</v>
      </c>
      <c r="J90" s="3" t="s">
        <v>8</v>
      </c>
      <c r="K90" s="3" t="s">
        <v>1522</v>
      </c>
      <c r="L90" s="166" t="s">
        <v>1573</v>
      </c>
      <c r="M90" s="166" t="s">
        <v>1610</v>
      </c>
      <c r="N90" s="166" t="s">
        <v>2080</v>
      </c>
      <c r="O90" s="52" t="s">
        <v>1588</v>
      </c>
      <c r="P90" s="5" t="s">
        <v>845</v>
      </c>
      <c r="Q90" s="5" t="s">
        <v>846</v>
      </c>
      <c r="R90" s="5" t="s">
        <v>847</v>
      </c>
    </row>
    <row r="91" spans="1:21" x14ac:dyDescent="0.25">
      <c r="A91" s="263" t="s">
        <v>5</v>
      </c>
      <c r="B91" s="263" t="s">
        <v>6</v>
      </c>
      <c r="C91" s="265">
        <v>2018</v>
      </c>
      <c r="D91" s="11" t="s">
        <v>848</v>
      </c>
      <c r="E91" s="13" t="s">
        <v>849</v>
      </c>
      <c r="F91" s="4" t="s">
        <v>849</v>
      </c>
      <c r="G91" s="4" t="s">
        <v>850</v>
      </c>
      <c r="H91" s="13">
        <v>0</v>
      </c>
      <c r="I91" s="13"/>
      <c r="J91" s="3" t="s">
        <v>8</v>
      </c>
      <c r="K91" s="3" t="s">
        <v>1522</v>
      </c>
      <c r="L91" s="166" t="s">
        <v>1573</v>
      </c>
      <c r="M91" s="166" t="s">
        <v>1609</v>
      </c>
      <c r="N91" s="166"/>
      <c r="O91" s="52" t="s">
        <v>1576</v>
      </c>
      <c r="P91" s="5" t="s">
        <v>677</v>
      </c>
      <c r="Q91" s="5" t="s">
        <v>678</v>
      </c>
      <c r="R91" s="5" t="s">
        <v>680</v>
      </c>
      <c r="S91" s="5" t="s">
        <v>681</v>
      </c>
    </row>
    <row r="92" spans="1:21" x14ac:dyDescent="0.25">
      <c r="A92" s="263" t="s">
        <v>5</v>
      </c>
      <c r="B92" s="263" t="s">
        <v>7</v>
      </c>
      <c r="C92" s="265">
        <v>2009</v>
      </c>
      <c r="D92" s="11" t="s">
        <v>1442</v>
      </c>
      <c r="E92" s="13" t="s">
        <v>1045</v>
      </c>
      <c r="F92" s="4" t="s">
        <v>1443</v>
      </c>
      <c r="G92" s="4" t="s">
        <v>1444</v>
      </c>
      <c r="H92" s="13">
        <v>8</v>
      </c>
      <c r="I92" s="13"/>
      <c r="J92" s="3" t="s">
        <v>8</v>
      </c>
      <c r="K92" s="3" t="s">
        <v>1522</v>
      </c>
      <c r="L92" s="166" t="s">
        <v>1573</v>
      </c>
      <c r="M92" s="166" t="s">
        <v>1609</v>
      </c>
      <c r="N92" s="166"/>
      <c r="O92" s="52" t="s">
        <v>1882</v>
      </c>
      <c r="P92" s="5" t="s">
        <v>973</v>
      </c>
      <c r="Q92" s="5" t="s">
        <v>1445</v>
      </c>
      <c r="R92" s="5" t="s">
        <v>1446</v>
      </c>
    </row>
    <row r="93" spans="1:21" x14ac:dyDescent="0.25">
      <c r="A93" s="263" t="s">
        <v>5</v>
      </c>
      <c r="B93" s="263" t="s">
        <v>7</v>
      </c>
      <c r="C93" s="265">
        <v>2015</v>
      </c>
      <c r="D93" s="11" t="s">
        <v>1447</v>
      </c>
      <c r="E93" s="13" t="s">
        <v>864</v>
      </c>
      <c r="F93" s="4" t="s">
        <v>1448</v>
      </c>
      <c r="G93" s="4" t="s">
        <v>1449</v>
      </c>
      <c r="H93" s="13">
        <v>8</v>
      </c>
      <c r="I93" s="13"/>
      <c r="J93" s="3" t="s">
        <v>8</v>
      </c>
      <c r="K93" s="3" t="s">
        <v>1522</v>
      </c>
      <c r="L93" s="166" t="s">
        <v>1574</v>
      </c>
      <c r="M93" s="166" t="s">
        <v>1609</v>
      </c>
      <c r="N93" s="166"/>
      <c r="P93" s="5" t="s">
        <v>1450</v>
      </c>
      <c r="Q93" s="5" t="s">
        <v>1451</v>
      </c>
      <c r="R93" s="5" t="s">
        <v>1452</v>
      </c>
    </row>
    <row r="94" spans="1:21" x14ac:dyDescent="0.25">
      <c r="A94" s="263" t="s">
        <v>5</v>
      </c>
      <c r="B94" s="263" t="s">
        <v>7</v>
      </c>
      <c r="C94" s="265">
        <v>2013</v>
      </c>
      <c r="D94" s="11" t="s">
        <v>1453</v>
      </c>
      <c r="E94" s="13" t="s">
        <v>1454</v>
      </c>
      <c r="F94" s="4" t="s">
        <v>1455</v>
      </c>
      <c r="G94" s="4" t="s">
        <v>1456</v>
      </c>
      <c r="H94" s="13">
        <v>3</v>
      </c>
      <c r="I94" s="13"/>
      <c r="J94" s="3" t="s">
        <v>8</v>
      </c>
      <c r="K94" s="3" t="s">
        <v>1522</v>
      </c>
      <c r="L94" s="166" t="s">
        <v>1574</v>
      </c>
      <c r="M94" s="166" t="s">
        <v>1609</v>
      </c>
      <c r="N94" s="166"/>
      <c r="P94" s="5" t="s">
        <v>1082</v>
      </c>
      <c r="Q94" s="5" t="s">
        <v>1083</v>
      </c>
    </row>
    <row r="95" spans="1:21" x14ac:dyDescent="0.25">
      <c r="A95" s="263" t="s">
        <v>5</v>
      </c>
      <c r="B95" s="263" t="s">
        <v>7</v>
      </c>
      <c r="C95" s="265">
        <v>2006</v>
      </c>
      <c r="D95" s="11" t="s">
        <v>1476</v>
      </c>
      <c r="E95" s="13" t="s">
        <v>842</v>
      </c>
      <c r="F95" s="4" t="s">
        <v>1477</v>
      </c>
      <c r="G95" s="4" t="s">
        <v>1478</v>
      </c>
      <c r="H95" s="13">
        <v>32</v>
      </c>
      <c r="I95" s="13"/>
      <c r="J95" s="3" t="s">
        <v>8</v>
      </c>
      <c r="K95" s="3" t="s">
        <v>1522</v>
      </c>
      <c r="L95" s="166" t="s">
        <v>1574</v>
      </c>
      <c r="M95" s="166" t="s">
        <v>1609</v>
      </c>
      <c r="N95" s="166"/>
      <c r="P95" s="5" t="s">
        <v>1479</v>
      </c>
      <c r="Q95" s="5" t="s">
        <v>1480</v>
      </c>
      <c r="R95" s="5" t="s">
        <v>1481</v>
      </c>
    </row>
    <row r="96" spans="1:21" x14ac:dyDescent="0.25">
      <c r="A96" s="263" t="s">
        <v>5</v>
      </c>
      <c r="B96" s="263" t="s">
        <v>7</v>
      </c>
      <c r="C96" s="265">
        <v>2009</v>
      </c>
      <c r="D96" s="11" t="s">
        <v>1489</v>
      </c>
      <c r="E96" s="13" t="s">
        <v>1045</v>
      </c>
      <c r="F96" s="4" t="s">
        <v>1490</v>
      </c>
      <c r="G96" s="4" t="s">
        <v>1491</v>
      </c>
      <c r="H96" s="13">
        <v>8</v>
      </c>
      <c r="I96" s="13"/>
      <c r="J96" s="3" t="s">
        <v>8</v>
      </c>
      <c r="K96" s="3" t="s">
        <v>1522</v>
      </c>
      <c r="L96" s="166" t="s">
        <v>1573</v>
      </c>
      <c r="M96" s="166" t="s">
        <v>1609</v>
      </c>
      <c r="N96" s="166"/>
      <c r="O96" s="52" t="s">
        <v>2031</v>
      </c>
      <c r="P96" s="5" t="s">
        <v>967</v>
      </c>
    </row>
    <row r="97" spans="1:21" x14ac:dyDescent="0.25">
      <c r="A97" s="263" t="s">
        <v>5</v>
      </c>
      <c r="B97" s="263" t="s">
        <v>7</v>
      </c>
      <c r="C97" s="265">
        <v>2012</v>
      </c>
      <c r="D97" s="11" t="s">
        <v>1567</v>
      </c>
      <c r="E97" s="13" t="s">
        <v>779</v>
      </c>
      <c r="F97" s="4" t="s">
        <v>1568</v>
      </c>
      <c r="G97" s="4" t="s">
        <v>1569</v>
      </c>
      <c r="H97" s="13">
        <v>6</v>
      </c>
      <c r="I97" s="13"/>
      <c r="J97" s="3" t="s">
        <v>8</v>
      </c>
      <c r="K97" s="3" t="s">
        <v>1522</v>
      </c>
      <c r="L97" s="166" t="s">
        <v>1574</v>
      </c>
      <c r="M97" s="166" t="s">
        <v>1609</v>
      </c>
      <c r="N97" s="166"/>
      <c r="P97" s="5" t="s">
        <v>1570</v>
      </c>
      <c r="Q97" s="5" t="s">
        <v>1571</v>
      </c>
      <c r="R97" s="5" t="s">
        <v>1572</v>
      </c>
    </row>
    <row r="98" spans="1:21" x14ac:dyDescent="0.25">
      <c r="A98" s="317" t="s">
        <v>5</v>
      </c>
      <c r="B98" s="317" t="s">
        <v>23</v>
      </c>
      <c r="C98" s="265">
        <v>2019</v>
      </c>
      <c r="D98" s="11" t="s">
        <v>2315</v>
      </c>
      <c r="E98" s="3" t="s">
        <v>2804</v>
      </c>
      <c r="F98" s="6" t="s">
        <v>2316</v>
      </c>
      <c r="G98" s="6" t="s">
        <v>2317</v>
      </c>
      <c r="H98" s="3">
        <v>1</v>
      </c>
      <c r="I98" s="222">
        <v>1</v>
      </c>
      <c r="J98" s="3" t="s">
        <v>8</v>
      </c>
      <c r="K98" s="3" t="s">
        <v>1522</v>
      </c>
      <c r="L98" s="166" t="s">
        <v>1573</v>
      </c>
      <c r="M98" s="166" t="s">
        <v>1610</v>
      </c>
      <c r="N98" s="166" t="s">
        <v>2080</v>
      </c>
      <c r="O98" s="52" t="s">
        <v>2429</v>
      </c>
      <c r="P98" s="98" t="s">
        <v>2318</v>
      </c>
      <c r="Q98" s="98" t="s">
        <v>688</v>
      </c>
      <c r="R98" s="31" t="s">
        <v>689</v>
      </c>
      <c r="S98" s="31"/>
      <c r="T98" s="31"/>
      <c r="U98" s="31"/>
    </row>
    <row r="99" spans="1:21" x14ac:dyDescent="0.25">
      <c r="A99" s="317" t="s">
        <v>5</v>
      </c>
      <c r="B99" s="317" t="s">
        <v>6</v>
      </c>
      <c r="C99" s="265">
        <v>2011</v>
      </c>
      <c r="D99" s="11" t="s">
        <v>2325</v>
      </c>
      <c r="E99" s="3" t="s">
        <v>1048</v>
      </c>
      <c r="F99" s="6" t="s">
        <v>2326</v>
      </c>
      <c r="G99" s="6" t="s">
        <v>2327</v>
      </c>
      <c r="H99" s="3">
        <v>66</v>
      </c>
      <c r="J99" s="3" t="s">
        <v>8</v>
      </c>
      <c r="K99" s="3" t="s">
        <v>1522</v>
      </c>
      <c r="L99" s="166" t="s">
        <v>1574</v>
      </c>
      <c r="M99" s="166" t="s">
        <v>1609</v>
      </c>
      <c r="N99" s="166"/>
      <c r="P99" s="31" t="s">
        <v>806</v>
      </c>
      <c r="Q99" s="31"/>
      <c r="R99" s="31"/>
      <c r="S99" s="31"/>
      <c r="T99" s="31"/>
      <c r="U99" s="31"/>
    </row>
    <row r="100" spans="1:21" x14ac:dyDescent="0.25">
      <c r="A100" s="317" t="s">
        <v>5</v>
      </c>
      <c r="B100" s="317" t="s">
        <v>7</v>
      </c>
      <c r="C100" s="265">
        <v>2000</v>
      </c>
      <c r="D100" s="11" t="s">
        <v>2412</v>
      </c>
      <c r="E100" s="3" t="s">
        <v>2414</v>
      </c>
      <c r="F100" s="99" t="s">
        <v>2415</v>
      </c>
      <c r="G100" s="6" t="s">
        <v>2416</v>
      </c>
      <c r="H100" s="3">
        <v>9</v>
      </c>
      <c r="J100" s="3" t="s">
        <v>8</v>
      </c>
      <c r="K100" s="3" t="s">
        <v>1522</v>
      </c>
      <c r="L100" s="166" t="s">
        <v>1573</v>
      </c>
      <c r="M100" s="166" t="s">
        <v>1609</v>
      </c>
      <c r="N100" s="166"/>
      <c r="P100" s="5" t="s">
        <v>2417</v>
      </c>
      <c r="Q100" s="5" t="s">
        <v>2418</v>
      </c>
      <c r="R100" s="5" t="s">
        <v>2419</v>
      </c>
      <c r="U100" s="31"/>
    </row>
    <row r="101" spans="1:21" x14ac:dyDescent="0.25">
      <c r="A101" s="317" t="s">
        <v>5</v>
      </c>
      <c r="B101" s="317" t="s">
        <v>7</v>
      </c>
      <c r="C101" s="265">
        <v>2016</v>
      </c>
      <c r="D101" s="11" t="s">
        <v>2436</v>
      </c>
      <c r="E101" s="3" t="s">
        <v>687</v>
      </c>
      <c r="F101" s="99" t="s">
        <v>2437</v>
      </c>
      <c r="G101" s="6" t="s">
        <v>2438</v>
      </c>
      <c r="H101" s="3">
        <v>0</v>
      </c>
      <c r="J101" s="3" t="s">
        <v>8</v>
      </c>
      <c r="K101" s="3" t="s">
        <v>1522</v>
      </c>
      <c r="L101" s="166" t="s">
        <v>1573</v>
      </c>
      <c r="M101" s="166" t="s">
        <v>1609</v>
      </c>
      <c r="N101" s="166"/>
      <c r="O101" s="52" t="s">
        <v>2442</v>
      </c>
      <c r="P101" s="5" t="s">
        <v>2439</v>
      </c>
      <c r="Q101" s="5" t="s">
        <v>2440</v>
      </c>
      <c r="R101" s="5" t="s">
        <v>2441</v>
      </c>
    </row>
    <row r="102" spans="1:21" x14ac:dyDescent="0.25">
      <c r="A102" s="263" t="s">
        <v>217</v>
      </c>
      <c r="B102" s="263" t="s">
        <v>7</v>
      </c>
      <c r="C102" s="265">
        <v>2013</v>
      </c>
      <c r="D102" s="11" t="s">
        <v>218</v>
      </c>
      <c r="E102" s="13" t="s">
        <v>575</v>
      </c>
      <c r="F102" s="4" t="s">
        <v>219</v>
      </c>
      <c r="G102" s="4" t="s">
        <v>220</v>
      </c>
      <c r="H102" s="13">
        <v>7</v>
      </c>
      <c r="I102" s="13">
        <v>20</v>
      </c>
      <c r="J102" s="3" t="s">
        <v>8</v>
      </c>
      <c r="K102" s="3" t="s">
        <v>1522</v>
      </c>
      <c r="L102" s="166" t="s">
        <v>1573</v>
      </c>
      <c r="M102" s="166" t="s">
        <v>1610</v>
      </c>
      <c r="N102" s="166" t="s">
        <v>2080</v>
      </c>
      <c r="O102" s="52" t="s">
        <v>1587</v>
      </c>
      <c r="P102" s="5" t="s">
        <v>557</v>
      </c>
      <c r="Q102" s="5" t="s">
        <v>558</v>
      </c>
      <c r="R102" s="14" t="s">
        <v>559</v>
      </c>
      <c r="S102" s="14" t="s">
        <v>560</v>
      </c>
    </row>
    <row r="103" spans="1:21" x14ac:dyDescent="0.25">
      <c r="A103" s="263" t="s">
        <v>217</v>
      </c>
      <c r="B103" s="263" t="s">
        <v>7</v>
      </c>
      <c r="C103" s="265">
        <v>2012</v>
      </c>
      <c r="D103" s="11" t="s">
        <v>221</v>
      </c>
      <c r="E103" s="13" t="s">
        <v>616</v>
      </c>
      <c r="F103" s="4" t="s">
        <v>222</v>
      </c>
      <c r="G103" s="4" t="s">
        <v>223</v>
      </c>
      <c r="H103" s="13">
        <v>1</v>
      </c>
      <c r="I103" s="13"/>
      <c r="J103" s="3" t="s">
        <v>8</v>
      </c>
      <c r="K103" s="3" t="s">
        <v>1522</v>
      </c>
      <c r="L103" s="166" t="s">
        <v>1574</v>
      </c>
      <c r="M103" s="166" t="s">
        <v>1609</v>
      </c>
      <c r="N103" s="166"/>
      <c r="P103" s="5" t="s">
        <v>967</v>
      </c>
    </row>
    <row r="104" spans="1:21" x14ac:dyDescent="0.25">
      <c r="A104" s="263" t="s">
        <v>217</v>
      </c>
      <c r="B104" s="263" t="s">
        <v>7</v>
      </c>
      <c r="C104" s="265">
        <v>2017</v>
      </c>
      <c r="D104" s="11" t="s">
        <v>224</v>
      </c>
      <c r="E104" s="13" t="s">
        <v>761</v>
      </c>
      <c r="F104" s="4" t="s">
        <v>225</v>
      </c>
      <c r="G104" s="4" t="s">
        <v>226</v>
      </c>
      <c r="H104" s="13">
        <v>1</v>
      </c>
      <c r="I104" s="13">
        <v>12</v>
      </c>
      <c r="J104" s="3" t="s">
        <v>8</v>
      </c>
      <c r="K104" s="3" t="s">
        <v>1522</v>
      </c>
      <c r="L104" s="166" t="s">
        <v>1573</v>
      </c>
      <c r="M104" s="166" t="s">
        <v>1610</v>
      </c>
      <c r="N104" s="166" t="s">
        <v>2080</v>
      </c>
      <c r="O104" s="52" t="s">
        <v>1576</v>
      </c>
      <c r="P104" s="5" t="s">
        <v>677</v>
      </c>
      <c r="Q104" s="5" t="s">
        <v>678</v>
      </c>
      <c r="R104" s="5" t="s">
        <v>680</v>
      </c>
      <c r="S104" s="5" t="s">
        <v>968</v>
      </c>
    </row>
    <row r="105" spans="1:21" x14ac:dyDescent="0.25">
      <c r="A105" s="263" t="s">
        <v>217</v>
      </c>
      <c r="B105" s="263" t="s">
        <v>7</v>
      </c>
      <c r="C105" s="265">
        <v>2019</v>
      </c>
      <c r="D105" s="11" t="s">
        <v>227</v>
      </c>
      <c r="E105" s="13" t="s">
        <v>935</v>
      </c>
      <c r="F105" s="4" t="s">
        <v>228</v>
      </c>
      <c r="G105" s="4" t="s">
        <v>229</v>
      </c>
      <c r="H105" s="13">
        <v>0</v>
      </c>
      <c r="I105" s="13"/>
      <c r="J105" s="3" t="s">
        <v>8</v>
      </c>
      <c r="K105" s="3" t="s">
        <v>1522</v>
      </c>
      <c r="L105" s="166" t="s">
        <v>1574</v>
      </c>
      <c r="M105" s="166" t="s">
        <v>1609</v>
      </c>
      <c r="N105" s="166"/>
      <c r="O105" s="52" t="s">
        <v>1602</v>
      </c>
      <c r="P105" s="5" t="s">
        <v>969</v>
      </c>
      <c r="Q105" s="5" t="s">
        <v>790</v>
      </c>
      <c r="R105" s="5" t="s">
        <v>970</v>
      </c>
      <c r="S105" s="5" t="s">
        <v>971</v>
      </c>
      <c r="T105" s="5" t="s">
        <v>972</v>
      </c>
    </row>
    <row r="106" spans="1:21" x14ac:dyDescent="0.25">
      <c r="A106" s="263" t="s">
        <v>217</v>
      </c>
      <c r="B106" s="263" t="s">
        <v>23</v>
      </c>
      <c r="C106" s="265">
        <v>2010</v>
      </c>
      <c r="D106" s="11" t="s">
        <v>230</v>
      </c>
      <c r="E106" s="13" t="s">
        <v>863</v>
      </c>
      <c r="F106" s="4" t="s">
        <v>231</v>
      </c>
      <c r="G106" s="4" t="s">
        <v>232</v>
      </c>
      <c r="H106" s="13">
        <v>10</v>
      </c>
      <c r="I106" s="13">
        <v>17</v>
      </c>
      <c r="J106" s="3" t="s">
        <v>8</v>
      </c>
      <c r="K106" s="3" t="s">
        <v>1522</v>
      </c>
      <c r="L106" s="166" t="s">
        <v>1573</v>
      </c>
      <c r="M106" s="166" t="s">
        <v>1610</v>
      </c>
      <c r="N106" s="166" t="s">
        <v>2080</v>
      </c>
      <c r="O106" s="52" t="s">
        <v>1596</v>
      </c>
      <c r="P106" s="5" t="s">
        <v>670</v>
      </c>
      <c r="Q106" s="5" t="s">
        <v>559</v>
      </c>
      <c r="R106" s="5" t="s">
        <v>671</v>
      </c>
      <c r="S106" s="5" t="s">
        <v>672</v>
      </c>
      <c r="T106" s="5" t="s">
        <v>560</v>
      </c>
    </row>
    <row r="107" spans="1:21" x14ac:dyDescent="0.25">
      <c r="A107" s="263" t="s">
        <v>217</v>
      </c>
      <c r="B107" s="263" t="s">
        <v>23</v>
      </c>
      <c r="C107" s="265">
        <v>2008</v>
      </c>
      <c r="D107" s="11" t="s">
        <v>233</v>
      </c>
      <c r="E107" s="13" t="s">
        <v>936</v>
      </c>
      <c r="F107" s="4" t="s">
        <v>234</v>
      </c>
      <c r="G107" s="4" t="s">
        <v>235</v>
      </c>
      <c r="H107" s="13">
        <v>15</v>
      </c>
      <c r="I107" s="13"/>
      <c r="J107" s="3" t="s">
        <v>8</v>
      </c>
      <c r="K107" s="3" t="s">
        <v>1522</v>
      </c>
      <c r="L107" s="166" t="s">
        <v>1573</v>
      </c>
      <c r="M107" s="166" t="s">
        <v>1610</v>
      </c>
      <c r="N107" s="166" t="s">
        <v>2079</v>
      </c>
      <c r="O107" s="52" t="s">
        <v>1882</v>
      </c>
      <c r="P107" s="5" t="s">
        <v>973</v>
      </c>
    </row>
    <row r="108" spans="1:21" x14ac:dyDescent="0.25">
      <c r="A108" s="263" t="s">
        <v>217</v>
      </c>
      <c r="B108" s="263" t="s">
        <v>23</v>
      </c>
      <c r="C108" s="265">
        <v>2010</v>
      </c>
      <c r="D108" s="11" t="s">
        <v>236</v>
      </c>
      <c r="E108" s="13" t="s">
        <v>863</v>
      </c>
      <c r="F108" s="4" t="s">
        <v>231</v>
      </c>
      <c r="G108" s="4" t="s">
        <v>237</v>
      </c>
      <c r="H108" s="13">
        <v>15</v>
      </c>
      <c r="I108" s="13">
        <v>44</v>
      </c>
      <c r="J108" s="3" t="s">
        <v>8</v>
      </c>
      <c r="K108" s="3" t="s">
        <v>1522</v>
      </c>
      <c r="L108" s="166" t="s">
        <v>1573</v>
      </c>
      <c r="M108" s="166" t="s">
        <v>1610</v>
      </c>
      <c r="N108" s="166" t="s">
        <v>2080</v>
      </c>
      <c r="O108" s="52" t="s">
        <v>1589</v>
      </c>
      <c r="P108" s="5" t="s">
        <v>689</v>
      </c>
    </row>
    <row r="109" spans="1:21" x14ac:dyDescent="0.25">
      <c r="A109" s="263" t="s">
        <v>217</v>
      </c>
      <c r="B109" s="263" t="s">
        <v>23</v>
      </c>
      <c r="C109" s="265">
        <v>2010</v>
      </c>
      <c r="D109" s="11" t="s">
        <v>238</v>
      </c>
      <c r="E109" s="13" t="s">
        <v>863</v>
      </c>
      <c r="F109" s="4" t="s">
        <v>231</v>
      </c>
      <c r="G109" s="4" t="s">
        <v>239</v>
      </c>
      <c r="H109" s="13">
        <v>4</v>
      </c>
      <c r="I109" s="13"/>
      <c r="J109" s="3" t="s">
        <v>8</v>
      </c>
      <c r="K109" s="3" t="s">
        <v>1522</v>
      </c>
      <c r="L109" s="166" t="s">
        <v>1573</v>
      </c>
      <c r="M109" s="166" t="s">
        <v>1609</v>
      </c>
      <c r="N109" s="166"/>
      <c r="O109" s="52" t="s">
        <v>1597</v>
      </c>
      <c r="P109" s="5" t="s">
        <v>878</v>
      </c>
      <c r="Q109" s="5" t="s">
        <v>879</v>
      </c>
      <c r="R109" s="5" t="s">
        <v>880</v>
      </c>
    </row>
    <row r="110" spans="1:21" x14ac:dyDescent="0.25">
      <c r="A110" s="263" t="s">
        <v>217</v>
      </c>
      <c r="B110" s="263" t="s">
        <v>7</v>
      </c>
      <c r="C110" s="265">
        <v>2008</v>
      </c>
      <c r="D110" s="11" t="s">
        <v>240</v>
      </c>
      <c r="E110" s="13" t="s">
        <v>864</v>
      </c>
      <c r="F110" s="4" t="s">
        <v>241</v>
      </c>
      <c r="G110" s="4" t="s">
        <v>242</v>
      </c>
      <c r="H110" s="13">
        <v>90</v>
      </c>
      <c r="I110" s="13"/>
      <c r="J110" s="3" t="s">
        <v>8</v>
      </c>
      <c r="K110" s="3" t="s">
        <v>1522</v>
      </c>
      <c r="L110" s="166" t="s">
        <v>1574</v>
      </c>
      <c r="M110" s="166" t="s">
        <v>1609</v>
      </c>
      <c r="N110" s="166"/>
      <c r="P110" s="5" t="s">
        <v>897</v>
      </c>
      <c r="Q110" s="5" t="s">
        <v>974</v>
      </c>
      <c r="R110" s="5" t="s">
        <v>975</v>
      </c>
      <c r="S110" s="5" t="s">
        <v>976</v>
      </c>
    </row>
    <row r="111" spans="1:21" x14ac:dyDescent="0.25">
      <c r="A111" s="263" t="s">
        <v>217</v>
      </c>
      <c r="B111" s="263" t="s">
        <v>7</v>
      </c>
      <c r="C111" s="265">
        <v>2019</v>
      </c>
      <c r="D111" s="11" t="s">
        <v>243</v>
      </c>
      <c r="E111" s="13" t="s">
        <v>865</v>
      </c>
      <c r="F111" s="4" t="s">
        <v>244</v>
      </c>
      <c r="G111" s="4" t="s">
        <v>245</v>
      </c>
      <c r="H111" s="13">
        <v>1</v>
      </c>
      <c r="I111" s="13">
        <v>2</v>
      </c>
      <c r="J111" s="3" t="s">
        <v>8</v>
      </c>
      <c r="K111" s="3" t="s">
        <v>1522</v>
      </c>
      <c r="L111" s="166" t="s">
        <v>1573</v>
      </c>
      <c r="M111" s="166" t="s">
        <v>1610</v>
      </c>
      <c r="N111" s="166" t="s">
        <v>2080</v>
      </c>
      <c r="O111" s="52" t="s">
        <v>3592</v>
      </c>
      <c r="P111" s="5" t="s">
        <v>977</v>
      </c>
      <c r="Q111" s="5" t="s">
        <v>978</v>
      </c>
      <c r="R111" s="5" t="s">
        <v>979</v>
      </c>
      <c r="S111" s="5" t="s">
        <v>980</v>
      </c>
      <c r="T111" s="5" t="s">
        <v>981</v>
      </c>
    </row>
    <row r="112" spans="1:21" x14ac:dyDescent="0.25">
      <c r="A112" s="263" t="s">
        <v>217</v>
      </c>
      <c r="B112" s="263" t="s">
        <v>7</v>
      </c>
      <c r="C112" s="265">
        <v>2009</v>
      </c>
      <c r="D112" s="11" t="s">
        <v>246</v>
      </c>
      <c r="E112" s="13" t="s">
        <v>866</v>
      </c>
      <c r="F112" s="4" t="s">
        <v>247</v>
      </c>
      <c r="G112" s="4" t="s">
        <v>248</v>
      </c>
      <c r="H112" s="13">
        <v>0</v>
      </c>
      <c r="I112" s="13"/>
      <c r="J112" s="3" t="s">
        <v>8</v>
      </c>
      <c r="K112" s="3" t="s">
        <v>1522</v>
      </c>
      <c r="L112" s="166" t="s">
        <v>1574</v>
      </c>
      <c r="M112" s="166" t="s">
        <v>1609</v>
      </c>
      <c r="N112" s="166"/>
      <c r="O112" s="52" t="s">
        <v>1594</v>
      </c>
      <c r="P112" s="5" t="s">
        <v>914</v>
      </c>
      <c r="Q112" s="5" t="s">
        <v>915</v>
      </c>
    </row>
    <row r="113" spans="1:22" x14ac:dyDescent="0.25">
      <c r="A113" s="263" t="s">
        <v>217</v>
      </c>
      <c r="B113" s="263" t="s">
        <v>23</v>
      </c>
      <c r="C113" s="265">
        <v>2010</v>
      </c>
      <c r="D113" s="11" t="s">
        <v>249</v>
      </c>
      <c r="E113" s="13" t="s">
        <v>863</v>
      </c>
      <c r="F113" s="4" t="s">
        <v>231</v>
      </c>
      <c r="G113" s="4" t="s">
        <v>250</v>
      </c>
      <c r="H113" s="13">
        <v>15</v>
      </c>
      <c r="I113" s="13">
        <v>43</v>
      </c>
      <c r="J113" s="3" t="s">
        <v>8</v>
      </c>
      <c r="K113" s="3" t="s">
        <v>1522</v>
      </c>
      <c r="L113" s="166" t="s">
        <v>1573</v>
      </c>
      <c r="M113" s="166" t="s">
        <v>1610</v>
      </c>
      <c r="N113" s="166" t="s">
        <v>2080</v>
      </c>
      <c r="O113" s="52" t="s">
        <v>1756</v>
      </c>
      <c r="P113" s="5" t="s">
        <v>854</v>
      </c>
      <c r="Q113" s="5" t="s">
        <v>857</v>
      </c>
      <c r="R113" s="5" t="s">
        <v>982</v>
      </c>
      <c r="S113" s="5" t="s">
        <v>856</v>
      </c>
    </row>
    <row r="114" spans="1:22" x14ac:dyDescent="0.25">
      <c r="A114" s="263" t="s">
        <v>217</v>
      </c>
      <c r="B114" s="263" t="s">
        <v>7</v>
      </c>
      <c r="C114" s="265">
        <v>2012</v>
      </c>
      <c r="D114" s="11" t="s">
        <v>251</v>
      </c>
      <c r="E114" s="13" t="s">
        <v>867</v>
      </c>
      <c r="F114" s="4" t="s">
        <v>253</v>
      </c>
      <c r="G114" s="4" t="s">
        <v>254</v>
      </c>
      <c r="H114" s="13">
        <v>4</v>
      </c>
      <c r="I114" s="13"/>
      <c r="J114" s="3" t="s">
        <v>8</v>
      </c>
      <c r="K114" s="3" t="s">
        <v>1522</v>
      </c>
      <c r="L114" s="166" t="s">
        <v>1574</v>
      </c>
      <c r="M114" s="166" t="s">
        <v>1609</v>
      </c>
      <c r="N114" s="166"/>
      <c r="P114" s="5" t="s">
        <v>983</v>
      </c>
      <c r="Q114" s="5" t="s">
        <v>984</v>
      </c>
      <c r="R114" s="5" t="s">
        <v>985</v>
      </c>
    </row>
    <row r="115" spans="1:22" x14ac:dyDescent="0.25">
      <c r="A115" s="263" t="s">
        <v>217</v>
      </c>
      <c r="B115" s="263" t="s">
        <v>23</v>
      </c>
      <c r="C115" s="265">
        <v>2013</v>
      </c>
      <c r="D115" s="11" t="s">
        <v>252</v>
      </c>
      <c r="E115" s="13" t="s">
        <v>868</v>
      </c>
      <c r="F115" s="4" t="s">
        <v>255</v>
      </c>
      <c r="G115" s="4" t="s">
        <v>256</v>
      </c>
      <c r="H115" s="13">
        <v>5</v>
      </c>
      <c r="I115" s="13">
        <v>14</v>
      </c>
      <c r="J115" s="3" t="s">
        <v>8</v>
      </c>
      <c r="K115" s="3" t="s">
        <v>1522</v>
      </c>
      <c r="L115" s="166" t="s">
        <v>1573</v>
      </c>
      <c r="M115" s="166" t="s">
        <v>1610</v>
      </c>
      <c r="N115" s="166" t="s">
        <v>2080</v>
      </c>
      <c r="O115" s="52" t="s">
        <v>1589</v>
      </c>
      <c r="P115" s="5" t="s">
        <v>688</v>
      </c>
      <c r="Q115" s="5" t="s">
        <v>809</v>
      </c>
      <c r="R115" s="5" t="s">
        <v>689</v>
      </c>
    </row>
    <row r="116" spans="1:22" x14ac:dyDescent="0.25">
      <c r="A116" s="263" t="s">
        <v>217</v>
      </c>
      <c r="B116" s="263" t="s">
        <v>7</v>
      </c>
      <c r="C116" s="265">
        <v>2009</v>
      </c>
      <c r="D116" s="11" t="s">
        <v>257</v>
      </c>
      <c r="E116" s="13" t="s">
        <v>937</v>
      </c>
      <c r="F116" s="4" t="s">
        <v>258</v>
      </c>
      <c r="G116" s="4" t="s">
        <v>259</v>
      </c>
      <c r="H116" s="13">
        <v>57</v>
      </c>
      <c r="I116" s="13"/>
      <c r="J116" s="3" t="s">
        <v>8</v>
      </c>
      <c r="K116" s="3" t="s">
        <v>1522</v>
      </c>
      <c r="L116" s="166" t="s">
        <v>1573</v>
      </c>
      <c r="M116" s="166" t="s">
        <v>1609</v>
      </c>
      <c r="N116" s="166"/>
      <c r="O116" s="52" t="s">
        <v>2033</v>
      </c>
      <c r="P116" s="5" t="s">
        <v>986</v>
      </c>
      <c r="Q116" s="5" t="s">
        <v>987</v>
      </c>
      <c r="R116" s="5" t="s">
        <v>988</v>
      </c>
      <c r="S116" s="5" t="s">
        <v>989</v>
      </c>
      <c r="T116" s="5" t="s">
        <v>990</v>
      </c>
      <c r="U116" s="5" t="s">
        <v>991</v>
      </c>
    </row>
    <row r="117" spans="1:22" x14ac:dyDescent="0.25">
      <c r="A117" s="263" t="s">
        <v>217</v>
      </c>
      <c r="B117" s="263" t="s">
        <v>7</v>
      </c>
      <c r="C117" s="265">
        <v>2020</v>
      </c>
      <c r="D117" s="11" t="s">
        <v>260</v>
      </c>
      <c r="E117" s="13" t="s">
        <v>869</v>
      </c>
      <c r="F117" s="4" t="s">
        <v>261</v>
      </c>
      <c r="G117" s="4" t="s">
        <v>262</v>
      </c>
      <c r="H117" s="13">
        <v>0</v>
      </c>
      <c r="I117" s="13"/>
      <c r="J117" s="3" t="s">
        <v>8</v>
      </c>
      <c r="K117" s="3" t="s">
        <v>1522</v>
      </c>
      <c r="L117" s="166" t="s">
        <v>1574</v>
      </c>
      <c r="M117" s="166" t="s">
        <v>1609</v>
      </c>
      <c r="N117" s="166"/>
      <c r="P117" s="5" t="s">
        <v>910</v>
      </c>
      <c r="Q117" s="5" t="s">
        <v>911</v>
      </c>
      <c r="R117" s="5" t="s">
        <v>912</v>
      </c>
      <c r="S117" s="5" t="s">
        <v>913</v>
      </c>
    </row>
    <row r="118" spans="1:22" x14ac:dyDescent="0.25">
      <c r="A118" s="263" t="s">
        <v>217</v>
      </c>
      <c r="B118" s="263" t="s">
        <v>7</v>
      </c>
      <c r="C118" s="265">
        <v>2011</v>
      </c>
      <c r="D118" s="11" t="s">
        <v>263</v>
      </c>
      <c r="E118" s="13" t="s">
        <v>864</v>
      </c>
      <c r="F118" s="4" t="s">
        <v>264</v>
      </c>
      <c r="G118" s="4" t="s">
        <v>265</v>
      </c>
      <c r="H118" s="13">
        <v>5</v>
      </c>
      <c r="I118" s="13"/>
      <c r="J118" s="3" t="s">
        <v>8</v>
      </c>
      <c r="K118" s="3" t="s">
        <v>1522</v>
      </c>
      <c r="L118" s="166" t="s">
        <v>1574</v>
      </c>
      <c r="M118" s="166" t="s">
        <v>1609</v>
      </c>
      <c r="N118" s="166"/>
      <c r="P118" s="5" t="s">
        <v>992</v>
      </c>
      <c r="Q118" s="5" t="s">
        <v>805</v>
      </c>
      <c r="R118" s="5" t="s">
        <v>806</v>
      </c>
    </row>
    <row r="119" spans="1:22" x14ac:dyDescent="0.25">
      <c r="A119" s="263" t="s">
        <v>217</v>
      </c>
      <c r="B119" s="263" t="s">
        <v>23</v>
      </c>
      <c r="C119" s="265">
        <v>2012</v>
      </c>
      <c r="D119" s="11" t="s">
        <v>266</v>
      </c>
      <c r="E119" s="13" t="s">
        <v>870</v>
      </c>
      <c r="F119" s="4" t="s">
        <v>268</v>
      </c>
      <c r="G119" s="4" t="s">
        <v>269</v>
      </c>
      <c r="H119" s="13">
        <v>1</v>
      </c>
      <c r="I119" s="13"/>
      <c r="J119" s="3" t="s">
        <v>8</v>
      </c>
      <c r="K119" s="3" t="s">
        <v>1522</v>
      </c>
      <c r="L119" s="166" t="s">
        <v>1574</v>
      </c>
      <c r="M119" s="166" t="s">
        <v>1609</v>
      </c>
      <c r="N119" s="166"/>
      <c r="P119" s="5" t="s">
        <v>993</v>
      </c>
      <c r="Q119" s="5" t="s">
        <v>837</v>
      </c>
    </row>
    <row r="120" spans="1:22" x14ac:dyDescent="0.25">
      <c r="A120" s="263" t="s">
        <v>217</v>
      </c>
      <c r="B120" s="263" t="s">
        <v>23</v>
      </c>
      <c r="C120" s="265">
        <v>2012</v>
      </c>
      <c r="D120" s="11" t="s">
        <v>267</v>
      </c>
      <c r="E120" s="13" t="s">
        <v>938</v>
      </c>
      <c r="F120" s="4" t="s">
        <v>270</v>
      </c>
      <c r="G120" s="4" t="s">
        <v>271</v>
      </c>
      <c r="H120" s="13">
        <v>7</v>
      </c>
      <c r="I120" s="13"/>
      <c r="J120" s="3" t="s">
        <v>8</v>
      </c>
      <c r="K120" s="3" t="s">
        <v>1522</v>
      </c>
      <c r="L120" s="166" t="s">
        <v>1574</v>
      </c>
      <c r="M120" s="166" t="s">
        <v>1609</v>
      </c>
      <c r="N120" s="166"/>
      <c r="P120" s="5" t="s">
        <v>696</v>
      </c>
      <c r="Q120" s="5" t="s">
        <v>806</v>
      </c>
    </row>
    <row r="121" spans="1:22" x14ac:dyDescent="0.25">
      <c r="A121" s="263" t="s">
        <v>217</v>
      </c>
      <c r="B121" s="263" t="s">
        <v>23</v>
      </c>
      <c r="C121" s="265">
        <v>2012</v>
      </c>
      <c r="D121" s="11" t="s">
        <v>272</v>
      </c>
      <c r="E121" s="13" t="s">
        <v>938</v>
      </c>
      <c r="F121" s="4" t="s">
        <v>270</v>
      </c>
      <c r="G121" s="4" t="s">
        <v>273</v>
      </c>
      <c r="H121" s="13">
        <v>27</v>
      </c>
      <c r="I121" s="13"/>
      <c r="J121" s="3" t="s">
        <v>8</v>
      </c>
      <c r="K121" s="3" t="s">
        <v>1522</v>
      </c>
      <c r="L121" s="166" t="s">
        <v>1574</v>
      </c>
      <c r="M121" s="166" t="s">
        <v>1609</v>
      </c>
      <c r="N121" s="166"/>
      <c r="P121" s="5" t="s">
        <v>992</v>
      </c>
      <c r="Q121" s="5" t="s">
        <v>994</v>
      </c>
      <c r="R121" s="5" t="s">
        <v>806</v>
      </c>
    </row>
    <row r="122" spans="1:22" x14ac:dyDescent="0.25">
      <c r="A122" s="263" t="s">
        <v>217</v>
      </c>
      <c r="B122" s="263" t="s">
        <v>7</v>
      </c>
      <c r="C122" s="265">
        <v>2018</v>
      </c>
      <c r="D122" s="11" t="s">
        <v>274</v>
      </c>
      <c r="E122" s="13" t="s">
        <v>761</v>
      </c>
      <c r="F122" s="4" t="s">
        <v>275</v>
      </c>
      <c r="G122" s="4" t="s">
        <v>276</v>
      </c>
      <c r="H122" s="13">
        <v>0</v>
      </c>
      <c r="I122" s="13"/>
      <c r="J122" s="3" t="s">
        <v>8</v>
      </c>
      <c r="K122" s="3" t="s">
        <v>1522</v>
      </c>
      <c r="L122" s="166" t="s">
        <v>1574</v>
      </c>
      <c r="M122" s="166" t="s">
        <v>1609</v>
      </c>
      <c r="N122" s="166"/>
      <c r="P122" s="5" t="s">
        <v>995</v>
      </c>
    </row>
    <row r="123" spans="1:22" x14ac:dyDescent="0.25">
      <c r="A123" s="263" t="s">
        <v>217</v>
      </c>
      <c r="B123" s="263" t="s">
        <v>23</v>
      </c>
      <c r="C123" s="265">
        <v>2009</v>
      </c>
      <c r="D123" s="11" t="s">
        <v>277</v>
      </c>
      <c r="E123" s="13" t="s">
        <v>871</v>
      </c>
      <c r="F123" s="4" t="s">
        <v>278</v>
      </c>
      <c r="G123" s="4" t="s">
        <v>279</v>
      </c>
      <c r="H123" s="13">
        <v>2</v>
      </c>
      <c r="I123" s="13"/>
      <c r="J123" s="3" t="s">
        <v>8</v>
      </c>
      <c r="K123" s="3" t="s">
        <v>1522</v>
      </c>
      <c r="L123" s="166" t="s">
        <v>1574</v>
      </c>
      <c r="M123" s="166" t="s">
        <v>1609</v>
      </c>
      <c r="N123" s="166"/>
      <c r="P123" s="5" t="s">
        <v>996</v>
      </c>
      <c r="Q123" s="5" t="s">
        <v>997</v>
      </c>
      <c r="R123" s="5" t="s">
        <v>998</v>
      </c>
    </row>
    <row r="124" spans="1:22" x14ac:dyDescent="0.25">
      <c r="A124" s="263" t="s">
        <v>217</v>
      </c>
      <c r="B124" s="263" t="s">
        <v>23</v>
      </c>
      <c r="C124" s="265">
        <v>2018</v>
      </c>
      <c r="D124" s="11" t="s">
        <v>280</v>
      </c>
      <c r="E124" s="13" t="s">
        <v>869</v>
      </c>
      <c r="F124" s="4" t="s">
        <v>281</v>
      </c>
      <c r="G124" s="4" t="s">
        <v>282</v>
      </c>
      <c r="H124" s="13">
        <v>1</v>
      </c>
      <c r="I124" s="13"/>
      <c r="J124" s="3" t="s">
        <v>8</v>
      </c>
      <c r="K124" s="3" t="s">
        <v>1522</v>
      </c>
      <c r="L124" s="166" t="s">
        <v>1574</v>
      </c>
      <c r="M124" s="166" t="s">
        <v>1609</v>
      </c>
      <c r="N124" s="166"/>
      <c r="P124" s="5" t="s">
        <v>999</v>
      </c>
      <c r="Q124" s="5" t="s">
        <v>1000</v>
      </c>
      <c r="R124" s="5" t="s">
        <v>1001</v>
      </c>
      <c r="S124" s="5" t="s">
        <v>1002</v>
      </c>
    </row>
    <row r="125" spans="1:22" x14ac:dyDescent="0.25">
      <c r="A125" s="263" t="s">
        <v>217</v>
      </c>
      <c r="B125" s="263" t="s">
        <v>23</v>
      </c>
      <c r="C125" s="265">
        <v>2010</v>
      </c>
      <c r="D125" s="11" t="s">
        <v>283</v>
      </c>
      <c r="E125" s="13" t="s">
        <v>872</v>
      </c>
      <c r="F125" s="4" t="s">
        <v>284</v>
      </c>
      <c r="G125" s="4" t="s">
        <v>285</v>
      </c>
      <c r="H125" s="13">
        <v>20</v>
      </c>
      <c r="I125" s="13"/>
      <c r="J125" s="3" t="s">
        <v>8</v>
      </c>
      <c r="K125" s="3" t="s">
        <v>1522</v>
      </c>
      <c r="L125" s="166" t="s">
        <v>1573</v>
      </c>
      <c r="M125" s="166" t="s">
        <v>1609</v>
      </c>
      <c r="N125" s="166"/>
      <c r="O125" s="52" t="s">
        <v>2034</v>
      </c>
      <c r="P125" s="5" t="s">
        <v>1003</v>
      </c>
      <c r="Q125" s="5" t="s">
        <v>986</v>
      </c>
      <c r="R125" s="5" t="s">
        <v>1004</v>
      </c>
    </row>
    <row r="126" spans="1:22" x14ac:dyDescent="0.25">
      <c r="A126" s="263" t="s">
        <v>217</v>
      </c>
      <c r="B126" s="263" t="s">
        <v>7</v>
      </c>
      <c r="C126" s="265">
        <v>2019</v>
      </c>
      <c r="D126" s="11" t="s">
        <v>286</v>
      </c>
      <c r="E126" s="13" t="s">
        <v>873</v>
      </c>
      <c r="F126" s="4" t="s">
        <v>287</v>
      </c>
      <c r="G126" s="4" t="s">
        <v>288</v>
      </c>
      <c r="H126" s="13">
        <v>0</v>
      </c>
      <c r="I126" s="13"/>
      <c r="J126" s="3" t="s">
        <v>8</v>
      </c>
      <c r="K126" s="3" t="s">
        <v>1522</v>
      </c>
      <c r="L126" s="166" t="s">
        <v>1573</v>
      </c>
      <c r="M126" s="166" t="s">
        <v>1610</v>
      </c>
      <c r="N126" s="166" t="s">
        <v>2080</v>
      </c>
      <c r="O126" s="52" t="s">
        <v>2035</v>
      </c>
      <c r="P126" s="5" t="s">
        <v>1005</v>
      </c>
      <c r="Q126" s="5" t="s">
        <v>1006</v>
      </c>
      <c r="R126" s="5" t="s">
        <v>1007</v>
      </c>
      <c r="S126" s="5" t="s">
        <v>1008</v>
      </c>
      <c r="T126" s="5" t="s">
        <v>1009</v>
      </c>
    </row>
    <row r="127" spans="1:22" x14ac:dyDescent="0.25">
      <c r="A127" s="263" t="s">
        <v>217</v>
      </c>
      <c r="B127" s="263" t="s">
        <v>7</v>
      </c>
      <c r="C127" s="265">
        <v>2010</v>
      </c>
      <c r="D127" s="11" t="s">
        <v>289</v>
      </c>
      <c r="E127" s="13" t="s">
        <v>864</v>
      </c>
      <c r="F127" s="4" t="s">
        <v>290</v>
      </c>
      <c r="G127" s="4" t="s">
        <v>291</v>
      </c>
      <c r="H127" s="13">
        <v>11</v>
      </c>
      <c r="I127" s="13"/>
      <c r="J127" s="3" t="s">
        <v>8</v>
      </c>
      <c r="K127" s="3" t="s">
        <v>1522</v>
      </c>
      <c r="L127" s="166" t="s">
        <v>1573</v>
      </c>
      <c r="M127" s="166" t="s">
        <v>1609</v>
      </c>
      <c r="N127" s="166"/>
      <c r="O127" s="52" t="s">
        <v>1598</v>
      </c>
      <c r="P127" s="5" t="s">
        <v>1010</v>
      </c>
      <c r="Q127" s="5" t="s">
        <v>1011</v>
      </c>
      <c r="R127" s="5" t="s">
        <v>1012</v>
      </c>
      <c r="S127" s="5" t="s">
        <v>815</v>
      </c>
      <c r="T127" s="5" t="s">
        <v>1013</v>
      </c>
      <c r="U127" s="5" t="s">
        <v>1014</v>
      </c>
      <c r="V127" s="5" t="s">
        <v>1015</v>
      </c>
    </row>
    <row r="128" spans="1:22" x14ac:dyDescent="0.25">
      <c r="A128" s="263" t="s">
        <v>217</v>
      </c>
      <c r="B128" s="263" t="s">
        <v>7</v>
      </c>
      <c r="C128" s="265">
        <v>2014</v>
      </c>
      <c r="D128" s="11" t="s">
        <v>292</v>
      </c>
      <c r="E128" s="13" t="s">
        <v>874</v>
      </c>
      <c r="F128" s="4" t="s">
        <v>293</v>
      </c>
      <c r="G128" s="4" t="s">
        <v>294</v>
      </c>
      <c r="H128" s="13">
        <v>17</v>
      </c>
      <c r="I128" s="13"/>
      <c r="J128" s="3" t="s">
        <v>8</v>
      </c>
      <c r="K128" s="3" t="s">
        <v>1522</v>
      </c>
      <c r="L128" s="166" t="s">
        <v>1574</v>
      </c>
      <c r="M128" s="166" t="s">
        <v>1609</v>
      </c>
      <c r="N128" s="166"/>
      <c r="P128" s="5" t="s">
        <v>1016</v>
      </c>
      <c r="Q128" s="5" t="s">
        <v>1017</v>
      </c>
      <c r="R128" s="5" t="s">
        <v>1018</v>
      </c>
    </row>
    <row r="129" spans="1:26" x14ac:dyDescent="0.25">
      <c r="A129" s="263" t="s">
        <v>217</v>
      </c>
      <c r="B129" s="263" t="s">
        <v>7</v>
      </c>
      <c r="C129" s="265">
        <v>2018</v>
      </c>
      <c r="D129" s="11" t="s">
        <v>295</v>
      </c>
      <c r="E129" s="13" t="s">
        <v>616</v>
      </c>
      <c r="F129" s="4" t="s">
        <v>296</v>
      </c>
      <c r="G129" s="4" t="s">
        <v>297</v>
      </c>
      <c r="H129" s="13">
        <v>1</v>
      </c>
      <c r="I129" s="13"/>
      <c r="J129" s="3" t="s">
        <v>8</v>
      </c>
      <c r="K129" s="3" t="s">
        <v>1522</v>
      </c>
      <c r="L129" s="166" t="s">
        <v>1574</v>
      </c>
      <c r="M129" s="166" t="s">
        <v>1609</v>
      </c>
      <c r="N129" s="166"/>
      <c r="P129" s="5" t="s">
        <v>1019</v>
      </c>
      <c r="Q129" s="5" t="s">
        <v>1020</v>
      </c>
      <c r="R129" s="5" t="s">
        <v>1021</v>
      </c>
      <c r="S129" s="5" t="s">
        <v>1022</v>
      </c>
      <c r="T129" s="5" t="s">
        <v>1023</v>
      </c>
    </row>
    <row r="130" spans="1:26" x14ac:dyDescent="0.25">
      <c r="A130" s="263" t="s">
        <v>217</v>
      </c>
      <c r="B130" s="263" t="s">
        <v>7</v>
      </c>
      <c r="C130" s="265">
        <v>2011</v>
      </c>
      <c r="D130" s="11" t="s">
        <v>298</v>
      </c>
      <c r="E130" s="13" t="s">
        <v>616</v>
      </c>
      <c r="F130" s="4" t="s">
        <v>299</v>
      </c>
      <c r="G130" s="4" t="s">
        <v>300</v>
      </c>
      <c r="H130" s="13">
        <v>8</v>
      </c>
      <c r="I130" s="13"/>
      <c r="J130" s="3" t="s">
        <v>8</v>
      </c>
      <c r="K130" s="3" t="s">
        <v>1522</v>
      </c>
      <c r="L130" s="166" t="s">
        <v>1573</v>
      </c>
      <c r="M130" s="166" t="s">
        <v>1610</v>
      </c>
      <c r="N130" s="166" t="s">
        <v>2079</v>
      </c>
      <c r="O130" s="52" t="s">
        <v>1935</v>
      </c>
      <c r="P130" s="5" t="s">
        <v>1024</v>
      </c>
      <c r="Q130" s="5" t="s">
        <v>897</v>
      </c>
      <c r="R130" s="5" t="s">
        <v>1025</v>
      </c>
      <c r="S130" s="5" t="s">
        <v>1026</v>
      </c>
    </row>
    <row r="131" spans="1:26" x14ac:dyDescent="0.25">
      <c r="A131" s="263" t="s">
        <v>217</v>
      </c>
      <c r="B131" s="263" t="s">
        <v>7</v>
      </c>
      <c r="C131" s="265">
        <v>2014</v>
      </c>
      <c r="D131" s="11" t="s">
        <v>301</v>
      </c>
      <c r="E131" s="13" t="s">
        <v>875</v>
      </c>
      <c r="F131" s="4" t="s">
        <v>302</v>
      </c>
      <c r="G131" s="4" t="s">
        <v>303</v>
      </c>
      <c r="H131" s="13">
        <v>5</v>
      </c>
      <c r="I131" s="13">
        <v>5</v>
      </c>
      <c r="J131" s="3" t="s">
        <v>8</v>
      </c>
      <c r="K131" s="3" t="s">
        <v>1522</v>
      </c>
      <c r="L131" s="166" t="s">
        <v>1573</v>
      </c>
      <c r="M131" s="166" t="s">
        <v>1610</v>
      </c>
      <c r="N131" s="166" t="s">
        <v>2080</v>
      </c>
      <c r="O131" s="52" t="s">
        <v>2175</v>
      </c>
      <c r="P131" s="5" t="s">
        <v>1027</v>
      </c>
      <c r="Q131" s="5" t="s">
        <v>1028</v>
      </c>
      <c r="R131" s="5" t="s">
        <v>1029</v>
      </c>
    </row>
    <row r="132" spans="1:26" x14ac:dyDescent="0.25">
      <c r="A132" s="263" t="s">
        <v>217</v>
      </c>
      <c r="B132" s="263" t="s">
        <v>7</v>
      </c>
      <c r="C132" s="265">
        <v>2010</v>
      </c>
      <c r="D132" s="11" t="s">
        <v>32</v>
      </c>
      <c r="E132" s="13" t="s">
        <v>864</v>
      </c>
      <c r="F132" s="4" t="s">
        <v>290</v>
      </c>
      <c r="G132" s="4" t="s">
        <v>304</v>
      </c>
      <c r="H132" s="13">
        <v>54</v>
      </c>
      <c r="I132" s="13"/>
      <c r="J132" s="3" t="s">
        <v>8</v>
      </c>
      <c r="K132" s="3" t="s">
        <v>1522</v>
      </c>
      <c r="L132" s="166" t="s">
        <v>1574</v>
      </c>
      <c r="M132" s="166" t="s">
        <v>1609</v>
      </c>
      <c r="N132" s="166"/>
      <c r="O132" s="52" t="s">
        <v>1599</v>
      </c>
      <c r="P132" s="5" t="s">
        <v>854</v>
      </c>
      <c r="Q132" s="5" t="s">
        <v>856</v>
      </c>
    </row>
    <row r="133" spans="1:26" x14ac:dyDescent="0.25">
      <c r="A133" s="263" t="s">
        <v>217</v>
      </c>
      <c r="B133" s="263" t="s">
        <v>7</v>
      </c>
      <c r="C133" s="265">
        <v>2011</v>
      </c>
      <c r="D133" s="11" t="s">
        <v>305</v>
      </c>
      <c r="E133" s="13" t="s">
        <v>865</v>
      </c>
      <c r="F133" s="4" t="s">
        <v>306</v>
      </c>
      <c r="G133" s="4" t="s">
        <v>307</v>
      </c>
      <c r="H133" s="13">
        <v>3</v>
      </c>
      <c r="I133" s="13"/>
      <c r="J133" s="3" t="s">
        <v>8</v>
      </c>
      <c r="K133" s="3" t="s">
        <v>1522</v>
      </c>
      <c r="L133" s="166" t="s">
        <v>1574</v>
      </c>
      <c r="M133" s="166" t="s">
        <v>1609</v>
      </c>
      <c r="N133" s="166"/>
      <c r="P133" s="5" t="s">
        <v>1030</v>
      </c>
      <c r="Q133" s="5" t="s">
        <v>1031</v>
      </c>
      <c r="R133" s="5" t="s">
        <v>1032</v>
      </c>
    </row>
    <row r="134" spans="1:26" x14ac:dyDescent="0.25">
      <c r="A134" s="263" t="s">
        <v>217</v>
      </c>
      <c r="B134" s="263" t="s">
        <v>23</v>
      </c>
      <c r="C134" s="265">
        <v>2013</v>
      </c>
      <c r="D134" s="11" t="s">
        <v>308</v>
      </c>
      <c r="E134" s="13" t="s">
        <v>876</v>
      </c>
      <c r="F134" s="4" t="s">
        <v>309</v>
      </c>
      <c r="G134" s="4" t="s">
        <v>310</v>
      </c>
      <c r="H134" s="13">
        <v>0</v>
      </c>
      <c r="I134" s="13"/>
      <c r="J134" s="3" t="s">
        <v>8</v>
      </c>
      <c r="K134" s="3" t="s">
        <v>1522</v>
      </c>
      <c r="L134" s="166" t="s">
        <v>1573</v>
      </c>
      <c r="M134" s="166" t="s">
        <v>1610</v>
      </c>
      <c r="N134" s="166" t="s">
        <v>2080</v>
      </c>
      <c r="O134" s="52" t="s">
        <v>2036</v>
      </c>
      <c r="P134" s="5" t="s">
        <v>1033</v>
      </c>
      <c r="Q134" s="5" t="s">
        <v>1034</v>
      </c>
      <c r="R134" s="5" t="s">
        <v>1035</v>
      </c>
    </row>
    <row r="135" spans="1:26" x14ac:dyDescent="0.25">
      <c r="A135" s="263" t="s">
        <v>217</v>
      </c>
      <c r="B135" s="263" t="s">
        <v>7</v>
      </c>
      <c r="C135" s="265">
        <v>2019</v>
      </c>
      <c r="D135" s="11" t="s">
        <v>311</v>
      </c>
      <c r="E135" s="13" t="s">
        <v>616</v>
      </c>
      <c r="F135" s="4" t="s">
        <v>312</v>
      </c>
      <c r="G135" s="4" t="s">
        <v>313</v>
      </c>
      <c r="H135" s="13">
        <v>3</v>
      </c>
      <c r="I135" s="13"/>
      <c r="J135" s="3" t="s">
        <v>8</v>
      </c>
      <c r="K135" s="3" t="s">
        <v>1522</v>
      </c>
      <c r="L135" s="166" t="s">
        <v>1573</v>
      </c>
      <c r="M135" s="166" t="s">
        <v>1610</v>
      </c>
      <c r="N135" s="166" t="s">
        <v>2080</v>
      </c>
      <c r="O135" s="52" t="s">
        <v>2028</v>
      </c>
      <c r="P135" s="5" t="s">
        <v>822</v>
      </c>
      <c r="Q135" s="5" t="s">
        <v>823</v>
      </c>
      <c r="R135" s="5" t="s">
        <v>806</v>
      </c>
    </row>
    <row r="136" spans="1:26" x14ac:dyDescent="0.25">
      <c r="A136" s="263" t="s">
        <v>217</v>
      </c>
      <c r="B136" s="263" t="s">
        <v>7</v>
      </c>
      <c r="C136" s="265">
        <v>2017</v>
      </c>
      <c r="D136" s="11" t="s">
        <v>314</v>
      </c>
      <c r="E136" s="13" t="s">
        <v>877</v>
      </c>
      <c r="F136" s="4" t="s">
        <v>315</v>
      </c>
      <c r="G136" s="4" t="s">
        <v>316</v>
      </c>
      <c r="H136" s="13">
        <v>0</v>
      </c>
      <c r="I136" s="13"/>
      <c r="J136" s="3" t="s">
        <v>8</v>
      </c>
      <c r="K136" s="3" t="s">
        <v>1522</v>
      </c>
      <c r="L136" s="166" t="s">
        <v>1574</v>
      </c>
      <c r="M136" s="166" t="s">
        <v>1609</v>
      </c>
      <c r="N136" s="166"/>
      <c r="O136" s="52" t="s">
        <v>1601</v>
      </c>
      <c r="P136" s="5" t="s">
        <v>1036</v>
      </c>
      <c r="Q136" s="5" t="s">
        <v>799</v>
      </c>
      <c r="R136" s="5" t="s">
        <v>1037</v>
      </c>
      <c r="S136" s="5" t="s">
        <v>798</v>
      </c>
    </row>
    <row r="137" spans="1:26" x14ac:dyDescent="0.25">
      <c r="A137" s="263" t="s">
        <v>217</v>
      </c>
      <c r="B137" s="263" t="s">
        <v>7</v>
      </c>
      <c r="C137" s="265">
        <v>2010</v>
      </c>
      <c r="D137" s="11" t="s">
        <v>317</v>
      </c>
      <c r="E137" s="13" t="s">
        <v>673</v>
      </c>
      <c r="F137" s="4" t="s">
        <v>318</v>
      </c>
      <c r="G137" s="4" t="s">
        <v>319</v>
      </c>
      <c r="H137" s="13">
        <v>0</v>
      </c>
      <c r="I137" s="13"/>
      <c r="J137" s="3" t="s">
        <v>8</v>
      </c>
      <c r="K137" s="3" t="s">
        <v>1522</v>
      </c>
      <c r="L137" s="166" t="s">
        <v>1574</v>
      </c>
      <c r="M137" s="166" t="s">
        <v>1609</v>
      </c>
      <c r="N137" s="166"/>
      <c r="O137" s="52" t="s">
        <v>1595</v>
      </c>
      <c r="P137" s="5" t="s">
        <v>670</v>
      </c>
      <c r="Q137" s="5" t="s">
        <v>671</v>
      </c>
      <c r="R137" s="5" t="s">
        <v>672</v>
      </c>
    </row>
    <row r="138" spans="1:26" x14ac:dyDescent="0.25">
      <c r="A138" s="263" t="s">
        <v>217</v>
      </c>
      <c r="B138" s="263" t="s">
        <v>7</v>
      </c>
      <c r="C138" s="265">
        <v>2009</v>
      </c>
      <c r="D138" s="11" t="s">
        <v>320</v>
      </c>
      <c r="E138" s="13" t="s">
        <v>673</v>
      </c>
      <c r="F138" s="4" t="s">
        <v>321</v>
      </c>
      <c r="G138" s="4" t="s">
        <v>322</v>
      </c>
      <c r="H138" s="13">
        <v>0</v>
      </c>
      <c r="I138" s="13"/>
      <c r="J138" s="3" t="s">
        <v>8</v>
      </c>
      <c r="K138" s="3" t="s">
        <v>1522</v>
      </c>
      <c r="L138" s="166" t="s">
        <v>1574</v>
      </c>
      <c r="M138" s="166" t="s">
        <v>1609</v>
      </c>
      <c r="N138" s="166"/>
      <c r="O138" s="52" t="s">
        <v>1595</v>
      </c>
      <c r="P138" s="5" t="s">
        <v>670</v>
      </c>
      <c r="Q138" s="5" t="s">
        <v>671</v>
      </c>
      <c r="R138" s="5" t="s">
        <v>672</v>
      </c>
      <c r="S138" s="5" t="s">
        <v>560</v>
      </c>
      <c r="T138" s="5" t="s">
        <v>559</v>
      </c>
    </row>
    <row r="139" spans="1:26" x14ac:dyDescent="0.25">
      <c r="A139" s="263" t="s">
        <v>217</v>
      </c>
      <c r="B139" s="263" t="s">
        <v>7</v>
      </c>
      <c r="C139" s="265">
        <v>2011</v>
      </c>
      <c r="D139" s="11" t="s">
        <v>588</v>
      </c>
      <c r="E139" s="13" t="s">
        <v>589</v>
      </c>
      <c r="F139" s="4" t="s">
        <v>590</v>
      </c>
      <c r="G139" s="4" t="s">
        <v>591</v>
      </c>
      <c r="H139" s="13">
        <v>112</v>
      </c>
      <c r="I139" s="13"/>
      <c r="J139" s="3" t="s">
        <v>8</v>
      </c>
      <c r="K139" s="3" t="s">
        <v>1522</v>
      </c>
      <c r="L139" s="166" t="s">
        <v>1574</v>
      </c>
      <c r="M139" s="166" t="s">
        <v>1609</v>
      </c>
      <c r="N139" s="166"/>
      <c r="P139" s="5" t="s">
        <v>595</v>
      </c>
      <c r="Q139" s="5" t="s">
        <v>594</v>
      </c>
      <c r="R139" s="5" t="s">
        <v>593</v>
      </c>
      <c r="S139" s="5" t="s">
        <v>592</v>
      </c>
    </row>
    <row r="140" spans="1:26" x14ac:dyDescent="0.25">
      <c r="A140" s="263" t="s">
        <v>217</v>
      </c>
      <c r="B140" s="263" t="s">
        <v>23</v>
      </c>
      <c r="C140" s="265">
        <v>2019</v>
      </c>
      <c r="D140" s="11" t="s">
        <v>596</v>
      </c>
      <c r="E140" s="13" t="s">
        <v>597</v>
      </c>
      <c r="F140" s="4" t="s">
        <v>598</v>
      </c>
      <c r="G140" s="4" t="s">
        <v>599</v>
      </c>
      <c r="H140" s="13">
        <v>1</v>
      </c>
      <c r="I140" s="13"/>
      <c r="J140" s="3" t="s">
        <v>8</v>
      </c>
      <c r="K140" s="3" t="s">
        <v>1522</v>
      </c>
      <c r="L140" s="166" t="s">
        <v>1574</v>
      </c>
      <c r="M140" s="166" t="s">
        <v>1609</v>
      </c>
      <c r="N140" s="166"/>
      <c r="P140" s="5" t="s">
        <v>604</v>
      </c>
      <c r="Q140" s="5" t="s">
        <v>605</v>
      </c>
      <c r="R140" s="5" t="s">
        <v>606</v>
      </c>
      <c r="S140" s="5" t="s">
        <v>607</v>
      </c>
      <c r="T140" s="5" t="s">
        <v>608</v>
      </c>
      <c r="U140" s="5" t="s">
        <v>609</v>
      </c>
      <c r="V140" s="5" t="s">
        <v>610</v>
      </c>
      <c r="W140" s="5" t="s">
        <v>611</v>
      </c>
      <c r="X140" s="5" t="s">
        <v>612</v>
      </c>
      <c r="Y140" s="5" t="s">
        <v>613</v>
      </c>
      <c r="Z140" s="5" t="s">
        <v>614</v>
      </c>
    </row>
    <row r="141" spans="1:26" x14ac:dyDescent="0.25">
      <c r="A141" s="263" t="s">
        <v>217</v>
      </c>
      <c r="B141" s="263" t="s">
        <v>7</v>
      </c>
      <c r="C141" s="265">
        <v>2009</v>
      </c>
      <c r="D141" s="11" t="s">
        <v>615</v>
      </c>
      <c r="E141" s="13" t="s">
        <v>616</v>
      </c>
      <c r="F141" s="4" t="s">
        <v>617</v>
      </c>
      <c r="G141" s="4" t="s">
        <v>618</v>
      </c>
      <c r="H141" s="13">
        <v>29</v>
      </c>
      <c r="I141" s="13"/>
      <c r="J141" s="3" t="s">
        <v>8</v>
      </c>
      <c r="K141" s="3" t="s">
        <v>1522</v>
      </c>
      <c r="L141" s="166" t="s">
        <v>1574</v>
      </c>
      <c r="M141" s="166" t="s">
        <v>1609</v>
      </c>
      <c r="N141" s="166"/>
      <c r="P141" s="5" t="s">
        <v>619</v>
      </c>
      <c r="Q141" s="5" t="s">
        <v>620</v>
      </c>
      <c r="R141" s="5" t="s">
        <v>621</v>
      </c>
    </row>
    <row r="142" spans="1:26" x14ac:dyDescent="0.25">
      <c r="A142" s="263" t="s">
        <v>217</v>
      </c>
      <c r="B142" s="263" t="s">
        <v>7</v>
      </c>
      <c r="C142" s="265">
        <v>2019</v>
      </c>
      <c r="D142" s="11" t="s">
        <v>622</v>
      </c>
      <c r="E142" s="13" t="s">
        <v>623</v>
      </c>
      <c r="F142" s="4" t="s">
        <v>624</v>
      </c>
      <c r="G142" s="4" t="s">
        <v>625</v>
      </c>
      <c r="H142" s="13">
        <v>0</v>
      </c>
      <c r="I142" s="13"/>
      <c r="J142" s="3" t="s">
        <v>8</v>
      </c>
      <c r="K142" s="3" t="s">
        <v>1522</v>
      </c>
      <c r="L142" s="166" t="s">
        <v>1574</v>
      </c>
      <c r="M142" s="166" t="s">
        <v>1609</v>
      </c>
      <c r="N142" s="166"/>
      <c r="P142" s="5" t="s">
        <v>626</v>
      </c>
      <c r="Q142" s="5" t="s">
        <v>627</v>
      </c>
      <c r="R142" s="5" t="s">
        <v>628</v>
      </c>
      <c r="S142" s="5" t="s">
        <v>629</v>
      </c>
    </row>
    <row r="143" spans="1:26" x14ac:dyDescent="0.25">
      <c r="A143" s="263" t="s">
        <v>217</v>
      </c>
      <c r="B143" s="263" t="s">
        <v>7</v>
      </c>
      <c r="C143" s="265">
        <v>2016</v>
      </c>
      <c r="D143" s="11" t="s">
        <v>630</v>
      </c>
      <c r="E143" s="13" t="s">
        <v>631</v>
      </c>
      <c r="F143" s="4" t="s">
        <v>632</v>
      </c>
      <c r="G143" s="4" t="s">
        <v>633</v>
      </c>
      <c r="H143" s="13">
        <v>7</v>
      </c>
      <c r="I143" s="13"/>
      <c r="J143" s="3" t="s">
        <v>8</v>
      </c>
      <c r="K143" s="3" t="s">
        <v>1522</v>
      </c>
      <c r="L143" s="166" t="s">
        <v>1574</v>
      </c>
      <c r="M143" s="166" t="s">
        <v>1609</v>
      </c>
      <c r="N143" s="166"/>
      <c r="P143" s="5" t="s">
        <v>634</v>
      </c>
      <c r="Q143" s="5" t="s">
        <v>635</v>
      </c>
      <c r="R143" s="5" t="s">
        <v>636</v>
      </c>
      <c r="S143" s="5" t="s">
        <v>637</v>
      </c>
      <c r="T143" s="5" t="s">
        <v>638</v>
      </c>
    </row>
    <row r="144" spans="1:26" x14ac:dyDescent="0.25">
      <c r="A144" s="263" t="s">
        <v>217</v>
      </c>
      <c r="B144" s="263" t="s">
        <v>23</v>
      </c>
      <c r="C144" s="265">
        <v>2014</v>
      </c>
      <c r="D144" s="11" t="s">
        <v>639</v>
      </c>
      <c r="E144" s="13" t="s">
        <v>640</v>
      </c>
      <c r="F144" s="4" t="s">
        <v>641</v>
      </c>
      <c r="G144" s="4" t="s">
        <v>642</v>
      </c>
      <c r="H144" s="13">
        <v>0</v>
      </c>
      <c r="I144" s="13"/>
      <c r="J144" s="3" t="s">
        <v>8</v>
      </c>
      <c r="K144" s="3" t="s">
        <v>1522</v>
      </c>
      <c r="L144" s="166" t="s">
        <v>1574</v>
      </c>
      <c r="M144" s="166" t="s">
        <v>1609</v>
      </c>
      <c r="N144" s="166"/>
      <c r="P144" s="5" t="s">
        <v>643</v>
      </c>
    </row>
    <row r="145" spans="1:22" x14ac:dyDescent="0.25">
      <c r="A145" s="263" t="s">
        <v>217</v>
      </c>
      <c r="B145" s="263" t="s">
        <v>7</v>
      </c>
      <c r="C145" s="265">
        <v>2017</v>
      </c>
      <c r="D145" s="11" t="s">
        <v>644</v>
      </c>
      <c r="E145" s="13" t="s">
        <v>648</v>
      </c>
      <c r="F145" s="4" t="s">
        <v>645</v>
      </c>
      <c r="G145" s="4" t="s">
        <v>646</v>
      </c>
      <c r="H145" s="13">
        <v>0</v>
      </c>
      <c r="I145" s="13"/>
      <c r="J145" s="3" t="s">
        <v>8</v>
      </c>
      <c r="K145" s="3" t="s">
        <v>1522</v>
      </c>
      <c r="L145" s="166" t="s">
        <v>1574</v>
      </c>
      <c r="M145" s="166" t="s">
        <v>1609</v>
      </c>
      <c r="N145" s="166"/>
      <c r="P145" s="5" t="s">
        <v>626</v>
      </c>
      <c r="Q145" s="5" t="s">
        <v>627</v>
      </c>
      <c r="R145" s="5" t="s">
        <v>647</v>
      </c>
    </row>
    <row r="146" spans="1:22" x14ac:dyDescent="0.25">
      <c r="A146" s="263" t="s">
        <v>217</v>
      </c>
      <c r="B146" s="263" t="s">
        <v>7</v>
      </c>
      <c r="C146" s="265">
        <v>2017</v>
      </c>
      <c r="D146" s="11" t="s">
        <v>674</v>
      </c>
      <c r="E146" s="13" t="s">
        <v>589</v>
      </c>
      <c r="F146" s="4" t="s">
        <v>675</v>
      </c>
      <c r="G146" s="4" t="s">
        <v>676</v>
      </c>
      <c r="H146" s="13">
        <v>6</v>
      </c>
      <c r="I146" s="13"/>
      <c r="J146" s="3" t="s">
        <v>8</v>
      </c>
      <c r="K146" s="3" t="s">
        <v>1522</v>
      </c>
      <c r="L146" s="166" t="s">
        <v>1573</v>
      </c>
      <c r="M146" s="166" t="s">
        <v>1609</v>
      </c>
      <c r="N146" s="166"/>
      <c r="O146" s="52" t="s">
        <v>1576</v>
      </c>
      <c r="P146" s="5" t="s">
        <v>677</v>
      </c>
      <c r="Q146" s="5" t="s">
        <v>678</v>
      </c>
      <c r="R146" s="5" t="s">
        <v>679</v>
      </c>
      <c r="S146" s="5" t="s">
        <v>680</v>
      </c>
      <c r="T146" s="5" t="s">
        <v>681</v>
      </c>
    </row>
    <row r="147" spans="1:22" x14ac:dyDescent="0.25">
      <c r="A147" s="263" t="s">
        <v>217</v>
      </c>
      <c r="B147" s="263" t="s">
        <v>7</v>
      </c>
      <c r="C147" s="265">
        <v>2020</v>
      </c>
      <c r="D147" s="11" t="s">
        <v>746</v>
      </c>
      <c r="E147" s="13" t="s">
        <v>747</v>
      </c>
      <c r="F147" s="4" t="s">
        <v>748</v>
      </c>
      <c r="G147" s="4" t="s">
        <v>749</v>
      </c>
      <c r="H147" s="13">
        <v>0</v>
      </c>
      <c r="I147" s="13"/>
      <c r="J147" s="3" t="s">
        <v>8</v>
      </c>
      <c r="K147" s="3" t="s">
        <v>1522</v>
      </c>
      <c r="L147" s="166" t="s">
        <v>1573</v>
      </c>
      <c r="M147" s="166" t="s">
        <v>1609</v>
      </c>
      <c r="N147" s="166"/>
      <c r="O147" s="52" t="s">
        <v>2037</v>
      </c>
      <c r="P147" s="5" t="s">
        <v>750</v>
      </c>
      <c r="Q147" s="5" t="s">
        <v>751</v>
      </c>
      <c r="R147" s="5" t="s">
        <v>752</v>
      </c>
      <c r="S147" s="5" t="s">
        <v>753</v>
      </c>
    </row>
    <row r="148" spans="1:22" x14ac:dyDescent="0.25">
      <c r="A148" s="263" t="s">
        <v>217</v>
      </c>
      <c r="B148" s="263" t="s">
        <v>7</v>
      </c>
      <c r="C148" s="265">
        <v>2010</v>
      </c>
      <c r="D148" s="11" t="s">
        <v>851</v>
      </c>
      <c r="E148" s="13" t="s">
        <v>673</v>
      </c>
      <c r="F148" s="4" t="s">
        <v>852</v>
      </c>
      <c r="G148" s="4" t="s">
        <v>853</v>
      </c>
      <c r="H148" s="13">
        <v>7</v>
      </c>
      <c r="I148" s="13">
        <v>24</v>
      </c>
      <c r="J148" s="3" t="s">
        <v>8</v>
      </c>
      <c r="K148" s="3" t="s">
        <v>1522</v>
      </c>
      <c r="L148" s="166" t="s">
        <v>1573</v>
      </c>
      <c r="M148" s="166" t="s">
        <v>1610</v>
      </c>
      <c r="N148" s="166" t="s">
        <v>2079</v>
      </c>
      <c r="O148" s="52" t="s">
        <v>1756</v>
      </c>
      <c r="P148" s="5" t="s">
        <v>854</v>
      </c>
      <c r="Q148" s="5" t="s">
        <v>855</v>
      </c>
      <c r="R148" s="5" t="s">
        <v>856</v>
      </c>
      <c r="S148" s="5" t="s">
        <v>857</v>
      </c>
    </row>
    <row r="149" spans="1:22" x14ac:dyDescent="0.25">
      <c r="A149" s="263" t="s">
        <v>217</v>
      </c>
      <c r="B149" s="263" t="s">
        <v>7</v>
      </c>
      <c r="C149" s="265">
        <v>2015</v>
      </c>
      <c r="D149" s="11" t="s">
        <v>858</v>
      </c>
      <c r="E149" s="13" t="s">
        <v>640</v>
      </c>
      <c r="F149" s="4" t="s">
        <v>859</v>
      </c>
      <c r="G149" s="4" t="s">
        <v>860</v>
      </c>
      <c r="H149" s="13">
        <v>1</v>
      </c>
      <c r="I149" s="13"/>
      <c r="J149" s="3" t="s">
        <v>8</v>
      </c>
      <c r="K149" s="3" t="s">
        <v>1522</v>
      </c>
      <c r="L149" s="166" t="s">
        <v>1573</v>
      </c>
      <c r="M149" s="166" t="s">
        <v>1609</v>
      </c>
      <c r="N149" s="166"/>
      <c r="O149" s="52" t="s">
        <v>1600</v>
      </c>
      <c r="P149" s="5" t="s">
        <v>861</v>
      </c>
      <c r="Q149" s="5" t="s">
        <v>862</v>
      </c>
    </row>
    <row r="150" spans="1:22" x14ac:dyDescent="0.25">
      <c r="A150" s="263" t="s">
        <v>217</v>
      </c>
      <c r="B150" s="263" t="s">
        <v>23</v>
      </c>
      <c r="C150" s="265">
        <v>2010</v>
      </c>
      <c r="D150" s="11" t="s">
        <v>881</v>
      </c>
      <c r="E150" s="13" t="s">
        <v>2804</v>
      </c>
      <c r="F150" s="4" t="s">
        <v>883</v>
      </c>
      <c r="G150" s="4" t="s">
        <v>884</v>
      </c>
      <c r="H150" s="13">
        <v>2</v>
      </c>
      <c r="I150" s="13">
        <v>13</v>
      </c>
      <c r="J150" s="3" t="s">
        <v>8</v>
      </c>
      <c r="K150" s="3" t="s">
        <v>1522</v>
      </c>
      <c r="L150" s="166" t="s">
        <v>1573</v>
      </c>
      <c r="M150" s="166" t="s">
        <v>1610</v>
      </c>
      <c r="N150" s="166" t="s">
        <v>2080</v>
      </c>
      <c r="O150" s="52" t="s">
        <v>1595</v>
      </c>
      <c r="P150" s="5" t="s">
        <v>670</v>
      </c>
      <c r="Q150" s="5" t="s">
        <v>885</v>
      </c>
      <c r="R150" s="5" t="s">
        <v>559</v>
      </c>
      <c r="S150" s="5" t="s">
        <v>671</v>
      </c>
      <c r="T150" s="5" t="s">
        <v>672</v>
      </c>
      <c r="U150" s="5" t="s">
        <v>560</v>
      </c>
      <c r="V150" s="5" t="s">
        <v>886</v>
      </c>
    </row>
    <row r="151" spans="1:22" x14ac:dyDescent="0.25">
      <c r="A151" s="263" t="s">
        <v>217</v>
      </c>
      <c r="B151" s="263" t="s">
        <v>7</v>
      </c>
      <c r="C151" s="265">
        <v>2003</v>
      </c>
      <c r="D151" s="11" t="s">
        <v>887</v>
      </c>
      <c r="E151" s="13" t="s">
        <v>888</v>
      </c>
      <c r="F151" s="4" t="s">
        <v>889</v>
      </c>
      <c r="G151" s="4" t="s">
        <v>892</v>
      </c>
      <c r="H151" s="13">
        <v>66</v>
      </c>
      <c r="I151" s="13"/>
      <c r="J151" s="3" t="s">
        <v>8</v>
      </c>
      <c r="K151" s="3" t="s">
        <v>1522</v>
      </c>
      <c r="L151" s="166" t="s">
        <v>1573</v>
      </c>
      <c r="M151" s="166" t="s">
        <v>1610</v>
      </c>
      <c r="N151" s="166" t="s">
        <v>2080</v>
      </c>
      <c r="O151" s="52" t="s">
        <v>2038</v>
      </c>
      <c r="P151" s="5" t="s">
        <v>890</v>
      </c>
      <c r="Q151" s="5" t="s">
        <v>891</v>
      </c>
    </row>
    <row r="152" spans="1:22" x14ac:dyDescent="0.25">
      <c r="A152" s="263" t="s">
        <v>217</v>
      </c>
      <c r="B152" s="263" t="s">
        <v>7</v>
      </c>
      <c r="C152" s="265">
        <v>2008</v>
      </c>
      <c r="D152" s="11" t="s">
        <v>893</v>
      </c>
      <c r="E152" s="13" t="s">
        <v>616</v>
      </c>
      <c r="F152" s="4" t="s">
        <v>894</v>
      </c>
      <c r="G152" s="4" t="s">
        <v>895</v>
      </c>
      <c r="H152" s="13">
        <v>10</v>
      </c>
      <c r="I152" s="13"/>
      <c r="J152" s="3" t="s">
        <v>8</v>
      </c>
      <c r="K152" s="3" t="s">
        <v>1522</v>
      </c>
      <c r="L152" s="166" t="s">
        <v>1573</v>
      </c>
      <c r="M152" s="166" t="s">
        <v>1609</v>
      </c>
      <c r="N152" s="166"/>
      <c r="O152" s="52" t="s">
        <v>1593</v>
      </c>
      <c r="P152" s="5" t="s">
        <v>896</v>
      </c>
      <c r="Q152" s="5" t="s">
        <v>897</v>
      </c>
      <c r="R152" s="5" t="s">
        <v>898</v>
      </c>
    </row>
    <row r="153" spans="1:22" x14ac:dyDescent="0.25">
      <c r="A153" s="263" t="s">
        <v>217</v>
      </c>
      <c r="B153" s="263" t="s">
        <v>7</v>
      </c>
      <c r="C153" s="265">
        <v>2007</v>
      </c>
      <c r="D153" s="11" t="s">
        <v>899</v>
      </c>
      <c r="E153" s="13" t="s">
        <v>900</v>
      </c>
      <c r="F153" s="4" t="s">
        <v>901</v>
      </c>
      <c r="G153" s="4" t="s">
        <v>902</v>
      </c>
      <c r="H153" s="13">
        <v>0</v>
      </c>
      <c r="I153" s="13"/>
      <c r="J153" s="3" t="s">
        <v>8</v>
      </c>
      <c r="K153" s="3" t="s">
        <v>1522</v>
      </c>
      <c r="L153" s="166" t="s">
        <v>1574</v>
      </c>
      <c r="M153" s="166" t="s">
        <v>1609</v>
      </c>
      <c r="N153" s="166"/>
      <c r="P153" s="5" t="s">
        <v>903</v>
      </c>
      <c r="Q153" s="5" t="s">
        <v>904</v>
      </c>
      <c r="R153" s="5" t="s">
        <v>905</v>
      </c>
    </row>
    <row r="154" spans="1:22" x14ac:dyDescent="0.25">
      <c r="A154" s="263" t="s">
        <v>217</v>
      </c>
      <c r="B154" s="263" t="s">
        <v>7</v>
      </c>
      <c r="C154" s="265">
        <v>2014</v>
      </c>
      <c r="D154" s="11" t="s">
        <v>916</v>
      </c>
      <c r="E154" s="13" t="s">
        <v>866</v>
      </c>
      <c r="F154" s="4" t="s">
        <v>917</v>
      </c>
      <c r="G154" s="4" t="s">
        <v>918</v>
      </c>
      <c r="H154" s="13">
        <v>2</v>
      </c>
      <c r="I154" s="13">
        <v>5</v>
      </c>
      <c r="J154" s="3" t="s">
        <v>8</v>
      </c>
      <c r="K154" s="3" t="s">
        <v>1522</v>
      </c>
      <c r="L154" s="166" t="s">
        <v>1573</v>
      </c>
      <c r="M154" s="166" t="s">
        <v>1610</v>
      </c>
      <c r="N154" s="166" t="s">
        <v>2080</v>
      </c>
      <c r="O154" s="52" t="s">
        <v>2039</v>
      </c>
      <c r="P154" s="5" t="s">
        <v>919</v>
      </c>
      <c r="Q154" s="5" t="s">
        <v>920</v>
      </c>
      <c r="R154" s="5" t="s">
        <v>921</v>
      </c>
    </row>
    <row r="155" spans="1:22" x14ac:dyDescent="0.25">
      <c r="A155" s="263" t="s">
        <v>217</v>
      </c>
      <c r="B155" s="263" t="s">
        <v>7</v>
      </c>
      <c r="C155" s="265">
        <v>2004</v>
      </c>
      <c r="D155" s="11" t="s">
        <v>922</v>
      </c>
      <c r="E155" s="13" t="s">
        <v>923</v>
      </c>
      <c r="F155" s="4" t="s">
        <v>924</v>
      </c>
      <c r="G155" s="4" t="s">
        <v>925</v>
      </c>
      <c r="H155" s="13">
        <v>3</v>
      </c>
      <c r="I155" s="13"/>
      <c r="J155" s="3" t="s">
        <v>8</v>
      </c>
      <c r="K155" s="3" t="s">
        <v>1522</v>
      </c>
      <c r="L155" s="166" t="s">
        <v>1574</v>
      </c>
      <c r="M155" s="166" t="s">
        <v>1609</v>
      </c>
      <c r="N155" s="166"/>
      <c r="P155" s="5" t="s">
        <v>926</v>
      </c>
      <c r="Q155" s="5" t="s">
        <v>927</v>
      </c>
    </row>
    <row r="156" spans="1:22" x14ac:dyDescent="0.25">
      <c r="A156" s="263" t="s">
        <v>217</v>
      </c>
      <c r="B156" s="263" t="s">
        <v>7</v>
      </c>
      <c r="C156" s="265">
        <v>2010</v>
      </c>
      <c r="D156" s="11" t="s">
        <v>928</v>
      </c>
      <c r="E156" s="13" t="s">
        <v>882</v>
      </c>
      <c r="F156" s="4" t="s">
        <v>929</v>
      </c>
      <c r="G156" s="4" t="s">
        <v>930</v>
      </c>
      <c r="H156" s="13">
        <v>2</v>
      </c>
      <c r="I156" s="13"/>
      <c r="J156" s="3" t="s">
        <v>8</v>
      </c>
      <c r="K156" s="3" t="s">
        <v>1522</v>
      </c>
      <c r="L156" s="166" t="s">
        <v>1573</v>
      </c>
      <c r="M156" s="166" t="s">
        <v>1609</v>
      </c>
      <c r="N156" s="166"/>
      <c r="P156" s="5" t="s">
        <v>931</v>
      </c>
      <c r="Q156" s="5" t="s">
        <v>932</v>
      </c>
      <c r="R156" s="5" t="s">
        <v>933</v>
      </c>
      <c r="S156" s="5" t="s">
        <v>934</v>
      </c>
    </row>
    <row r="157" spans="1:22" x14ac:dyDescent="0.25">
      <c r="A157" s="263" t="s">
        <v>217</v>
      </c>
      <c r="B157" s="263" t="s">
        <v>6</v>
      </c>
      <c r="C157" s="265">
        <v>2013</v>
      </c>
      <c r="D157" s="11" t="s">
        <v>939</v>
      </c>
      <c r="E157" s="13" t="s">
        <v>940</v>
      </c>
      <c r="F157" s="4" t="s">
        <v>941</v>
      </c>
      <c r="G157" s="4" t="s">
        <v>942</v>
      </c>
      <c r="H157" s="13">
        <v>24</v>
      </c>
      <c r="I157" s="13"/>
      <c r="J157" s="3" t="s">
        <v>8</v>
      </c>
      <c r="K157" s="3" t="s">
        <v>1522</v>
      </c>
      <c r="L157" s="166" t="s">
        <v>1574</v>
      </c>
      <c r="M157" s="166" t="s">
        <v>1609</v>
      </c>
      <c r="N157" s="166"/>
      <c r="P157" s="5" t="s">
        <v>943</v>
      </c>
      <c r="Q157" s="5" t="s">
        <v>944</v>
      </c>
    </row>
    <row r="158" spans="1:22" x14ac:dyDescent="0.25">
      <c r="A158" s="263" t="s">
        <v>217</v>
      </c>
      <c r="B158" s="263" t="s">
        <v>7</v>
      </c>
      <c r="C158" s="265">
        <v>2007</v>
      </c>
      <c r="D158" s="11" t="s">
        <v>945</v>
      </c>
      <c r="E158" s="13" t="s">
        <v>616</v>
      </c>
      <c r="F158" s="4" t="s">
        <v>947</v>
      </c>
      <c r="G158" s="4" t="s">
        <v>948</v>
      </c>
      <c r="H158" s="13">
        <v>5</v>
      </c>
      <c r="I158" s="13"/>
      <c r="J158" s="3" t="s">
        <v>8</v>
      </c>
      <c r="K158" s="3" t="s">
        <v>1522</v>
      </c>
      <c r="L158" s="166" t="s">
        <v>1574</v>
      </c>
      <c r="M158" s="166" t="s">
        <v>1609</v>
      </c>
      <c r="N158" s="166"/>
      <c r="P158" s="5" t="s">
        <v>837</v>
      </c>
      <c r="Q158" s="5" t="s">
        <v>946</v>
      </c>
    </row>
    <row r="159" spans="1:22" x14ac:dyDescent="0.25">
      <c r="A159" s="263" t="s">
        <v>217</v>
      </c>
      <c r="B159" s="263" t="s">
        <v>7</v>
      </c>
      <c r="C159" s="265">
        <v>2006</v>
      </c>
      <c r="D159" s="11" t="s">
        <v>949</v>
      </c>
      <c r="E159" s="13" t="s">
        <v>616</v>
      </c>
      <c r="F159" s="4" t="s">
        <v>950</v>
      </c>
      <c r="G159" s="4" t="s">
        <v>951</v>
      </c>
      <c r="H159" s="13">
        <v>33</v>
      </c>
      <c r="I159" s="13"/>
      <c r="J159" s="3" t="s">
        <v>8</v>
      </c>
      <c r="K159" s="3" t="s">
        <v>1522</v>
      </c>
      <c r="L159" s="166" t="s">
        <v>1574</v>
      </c>
      <c r="M159" s="166" t="s">
        <v>1609</v>
      </c>
      <c r="N159" s="166"/>
      <c r="P159" s="5" t="s">
        <v>952</v>
      </c>
      <c r="Q159" s="5" t="s">
        <v>953</v>
      </c>
    </row>
    <row r="160" spans="1:22" x14ac:dyDescent="0.25">
      <c r="A160" s="263" t="s">
        <v>217</v>
      </c>
      <c r="B160" s="263" t="s">
        <v>7</v>
      </c>
      <c r="C160" s="265">
        <v>2010</v>
      </c>
      <c r="D160" s="11" t="s">
        <v>954</v>
      </c>
      <c r="E160" s="13" t="s">
        <v>673</v>
      </c>
      <c r="F160" s="4" t="s">
        <v>955</v>
      </c>
      <c r="G160" s="4" t="s">
        <v>956</v>
      </c>
      <c r="H160" s="13">
        <v>1</v>
      </c>
      <c r="I160" s="13">
        <v>4</v>
      </c>
      <c r="J160" s="3" t="s">
        <v>8</v>
      </c>
      <c r="K160" s="3" t="s">
        <v>1522</v>
      </c>
      <c r="L160" s="166" t="s">
        <v>1573</v>
      </c>
      <c r="M160" s="166" t="s">
        <v>1610</v>
      </c>
      <c r="N160" s="166" t="s">
        <v>2080</v>
      </c>
      <c r="O160" s="52" t="s">
        <v>1595</v>
      </c>
      <c r="P160" s="5" t="s">
        <v>670</v>
      </c>
      <c r="Q160" s="5" t="s">
        <v>671</v>
      </c>
      <c r="R160" s="5" t="s">
        <v>886</v>
      </c>
    </row>
    <row r="161" spans="1:21" x14ac:dyDescent="0.25">
      <c r="A161" s="263" t="s">
        <v>217</v>
      </c>
      <c r="B161" s="263" t="s">
        <v>6</v>
      </c>
      <c r="C161" s="265">
        <v>2018</v>
      </c>
      <c r="D161" s="11" t="s">
        <v>957</v>
      </c>
      <c r="E161" s="13" t="s">
        <v>958</v>
      </c>
      <c r="F161" s="4" t="s">
        <v>959</v>
      </c>
      <c r="G161" s="4" t="s">
        <v>960</v>
      </c>
      <c r="H161" s="13">
        <v>2</v>
      </c>
      <c r="I161" s="13"/>
      <c r="J161" s="3" t="s">
        <v>8</v>
      </c>
      <c r="K161" s="3" t="s">
        <v>1522</v>
      </c>
      <c r="L161" s="166" t="s">
        <v>1574</v>
      </c>
      <c r="M161" s="166" t="s">
        <v>1609</v>
      </c>
      <c r="N161" s="166"/>
      <c r="P161" s="5" t="s">
        <v>961</v>
      </c>
      <c r="Q161" s="5" t="s">
        <v>962</v>
      </c>
    </row>
    <row r="162" spans="1:21" x14ac:dyDescent="0.25">
      <c r="A162" s="263" t="s">
        <v>217</v>
      </c>
      <c r="B162" s="263" t="s">
        <v>7</v>
      </c>
      <c r="C162" s="265">
        <v>2012</v>
      </c>
      <c r="D162" s="11" t="s">
        <v>963</v>
      </c>
      <c r="E162" s="13" t="s">
        <v>631</v>
      </c>
      <c r="F162" s="4" t="s">
        <v>964</v>
      </c>
      <c r="G162" s="4" t="s">
        <v>965</v>
      </c>
      <c r="H162" s="13">
        <v>8</v>
      </c>
      <c r="I162" s="13"/>
      <c r="J162" s="3" t="s">
        <v>8</v>
      </c>
      <c r="K162" s="3" t="s">
        <v>1522</v>
      </c>
      <c r="L162" s="166" t="s">
        <v>1574</v>
      </c>
      <c r="M162" s="166" t="s">
        <v>1609</v>
      </c>
      <c r="N162" s="166"/>
      <c r="P162" s="5" t="s">
        <v>966</v>
      </c>
      <c r="Q162" s="5" t="s">
        <v>832</v>
      </c>
      <c r="R162" s="5" t="s">
        <v>831</v>
      </c>
      <c r="S162" s="5" t="s">
        <v>830</v>
      </c>
    </row>
    <row r="163" spans="1:21" x14ac:dyDescent="0.25">
      <c r="A163" s="263" t="s">
        <v>217</v>
      </c>
      <c r="B163" s="263" t="s">
        <v>7</v>
      </c>
      <c r="C163" s="265">
        <v>2013</v>
      </c>
      <c r="D163" s="11" t="s">
        <v>1468</v>
      </c>
      <c r="E163" s="13" t="s">
        <v>1469</v>
      </c>
      <c r="F163" s="4" t="s">
        <v>1470</v>
      </c>
      <c r="G163" s="4" t="s">
        <v>1471</v>
      </c>
      <c r="H163" s="13">
        <v>9</v>
      </c>
      <c r="I163" s="13"/>
      <c r="J163" s="3" t="s">
        <v>8</v>
      </c>
      <c r="K163" s="3" t="s">
        <v>1522</v>
      </c>
      <c r="L163" s="166" t="s">
        <v>1574</v>
      </c>
      <c r="M163" s="166" t="s">
        <v>1609</v>
      </c>
      <c r="N163" s="166"/>
      <c r="P163" s="5" t="s">
        <v>1472</v>
      </c>
      <c r="Q163" s="5" t="s">
        <v>1473</v>
      </c>
      <c r="R163" s="5" t="s">
        <v>1474</v>
      </c>
      <c r="S163" s="5" t="s">
        <v>1475</v>
      </c>
    </row>
    <row r="164" spans="1:21" x14ac:dyDescent="0.25">
      <c r="A164" s="263" t="s">
        <v>217</v>
      </c>
      <c r="B164" s="263" t="s">
        <v>7</v>
      </c>
      <c r="C164" s="265">
        <v>2020</v>
      </c>
      <c r="D164" s="11" t="s">
        <v>2275</v>
      </c>
      <c r="E164" s="13" t="s">
        <v>1393</v>
      </c>
      <c r="F164" s="4" t="s">
        <v>2276</v>
      </c>
      <c r="G164" s="4" t="s">
        <v>2277</v>
      </c>
      <c r="H164" s="13">
        <v>0</v>
      </c>
      <c r="I164" s="13">
        <v>0</v>
      </c>
      <c r="J164" s="3" t="s">
        <v>8</v>
      </c>
      <c r="K164" s="3" t="s">
        <v>1522</v>
      </c>
      <c r="L164" s="166" t="s">
        <v>1573</v>
      </c>
      <c r="M164" s="166" t="s">
        <v>1610</v>
      </c>
      <c r="N164" s="166" t="s">
        <v>2080</v>
      </c>
      <c r="O164" s="52" t="s">
        <v>2278</v>
      </c>
      <c r="P164" s="5" t="s">
        <v>1179</v>
      </c>
      <c r="Q164" s="5" t="s">
        <v>1096</v>
      </c>
      <c r="R164" s="5" t="s">
        <v>1412</v>
      </c>
    </row>
    <row r="165" spans="1:21" x14ac:dyDescent="0.25">
      <c r="A165" s="263" t="s">
        <v>217</v>
      </c>
      <c r="B165" s="263" t="s">
        <v>7</v>
      </c>
      <c r="C165" s="265">
        <v>2020</v>
      </c>
      <c r="D165" s="11" t="s">
        <v>2279</v>
      </c>
      <c r="E165" s="13" t="s">
        <v>761</v>
      </c>
      <c r="F165" s="4" t="s">
        <v>2280</v>
      </c>
      <c r="G165" s="4" t="s">
        <v>2281</v>
      </c>
      <c r="H165" s="13">
        <v>0</v>
      </c>
      <c r="I165" s="13"/>
      <c r="J165" s="3" t="s">
        <v>8</v>
      </c>
      <c r="K165" s="3" t="s">
        <v>1522</v>
      </c>
      <c r="L165" s="166" t="s">
        <v>1573</v>
      </c>
      <c r="M165" s="166" t="s">
        <v>1609</v>
      </c>
      <c r="N165" s="166"/>
      <c r="P165" s="5" t="s">
        <v>2282</v>
      </c>
    </row>
    <row r="166" spans="1:21" x14ac:dyDescent="0.25">
      <c r="A166" s="317" t="s">
        <v>217</v>
      </c>
      <c r="B166" s="317" t="s">
        <v>7</v>
      </c>
      <c r="C166" s="265">
        <v>2006</v>
      </c>
      <c r="D166" s="11" t="s">
        <v>2332</v>
      </c>
      <c r="E166" s="3" t="s">
        <v>864</v>
      </c>
      <c r="F166" s="6" t="s">
        <v>2333</v>
      </c>
      <c r="G166" s="6" t="s">
        <v>2334</v>
      </c>
      <c r="H166" s="3">
        <v>147</v>
      </c>
      <c r="J166" s="3" t="s">
        <v>8</v>
      </c>
      <c r="K166" s="3" t="s">
        <v>1522</v>
      </c>
      <c r="L166" s="166" t="s">
        <v>1574</v>
      </c>
      <c r="M166" s="166" t="s">
        <v>1609</v>
      </c>
      <c r="N166" s="166"/>
      <c r="P166" s="31" t="s">
        <v>806</v>
      </c>
      <c r="Q166" s="31"/>
      <c r="R166" s="31"/>
      <c r="S166" s="31"/>
      <c r="T166" s="31"/>
    </row>
    <row r="167" spans="1:21" x14ac:dyDescent="0.25">
      <c r="A167" s="317" t="s">
        <v>217</v>
      </c>
      <c r="B167" s="317" t="s">
        <v>7</v>
      </c>
      <c r="C167" s="265">
        <v>2018</v>
      </c>
      <c r="D167" s="11" t="s">
        <v>2382</v>
      </c>
      <c r="E167" s="3" t="s">
        <v>864</v>
      </c>
      <c r="F167" s="99" t="s">
        <v>2383</v>
      </c>
      <c r="G167" s="6" t="s">
        <v>2384</v>
      </c>
      <c r="H167" s="3">
        <v>8</v>
      </c>
      <c r="J167" s="3" t="s">
        <v>8</v>
      </c>
      <c r="K167" s="3" t="s">
        <v>1522</v>
      </c>
      <c r="L167" s="166" t="s">
        <v>1574</v>
      </c>
      <c r="M167" s="166" t="s">
        <v>1609</v>
      </c>
      <c r="N167" s="166"/>
      <c r="P167" s="31" t="s">
        <v>1250</v>
      </c>
      <c r="Q167" s="31" t="s">
        <v>1253</v>
      </c>
      <c r="R167" s="31" t="s">
        <v>2385</v>
      </c>
      <c r="S167" s="31" t="s">
        <v>2386</v>
      </c>
      <c r="T167" s="5" t="s">
        <v>2387</v>
      </c>
    </row>
    <row r="168" spans="1:21" x14ac:dyDescent="0.25">
      <c r="A168" s="317" t="s">
        <v>217</v>
      </c>
      <c r="B168" s="317" t="s">
        <v>6</v>
      </c>
      <c r="C168" s="265">
        <v>2002</v>
      </c>
      <c r="D168" s="11" t="s">
        <v>2355</v>
      </c>
      <c r="E168" s="3" t="s">
        <v>2356</v>
      </c>
      <c r="F168" s="99" t="s">
        <v>2357</v>
      </c>
      <c r="G168" s="6" t="s">
        <v>2358</v>
      </c>
      <c r="H168" s="3">
        <v>159</v>
      </c>
      <c r="J168" s="3" t="s">
        <v>8</v>
      </c>
      <c r="K168" s="3" t="s">
        <v>1522</v>
      </c>
      <c r="L168" s="166" t="s">
        <v>1573</v>
      </c>
      <c r="M168" s="166" t="s">
        <v>1609</v>
      </c>
      <c r="N168" s="166"/>
      <c r="O168" s="52" t="s">
        <v>2359</v>
      </c>
      <c r="P168" s="31" t="s">
        <v>832</v>
      </c>
      <c r="Q168" s="31" t="s">
        <v>2360</v>
      </c>
      <c r="R168" s="31"/>
      <c r="S168" s="31"/>
    </row>
    <row r="169" spans="1:21" x14ac:dyDescent="0.25">
      <c r="A169" s="263" t="s">
        <v>323</v>
      </c>
      <c r="B169" s="317" t="s">
        <v>6</v>
      </c>
      <c r="C169" s="265">
        <v>2018</v>
      </c>
      <c r="D169" s="11" t="s">
        <v>324</v>
      </c>
      <c r="E169" s="13" t="s">
        <v>1231</v>
      </c>
      <c r="F169" s="4" t="s">
        <v>325</v>
      </c>
      <c r="G169" s="4" t="s">
        <v>326</v>
      </c>
      <c r="H169" s="3">
        <v>3</v>
      </c>
      <c r="J169" s="3" t="s">
        <v>8</v>
      </c>
      <c r="K169" s="3" t="s">
        <v>1522</v>
      </c>
      <c r="L169" s="166" t="s">
        <v>1574</v>
      </c>
      <c r="M169" s="166" t="s">
        <v>1609</v>
      </c>
      <c r="N169" s="166"/>
      <c r="P169" s="5" t="s">
        <v>1226</v>
      </c>
      <c r="Q169" s="5" t="s">
        <v>1227</v>
      </c>
      <c r="R169" s="5" t="s">
        <v>1228</v>
      </c>
      <c r="S169" s="5" t="s">
        <v>1229</v>
      </c>
      <c r="T169" s="5" t="s">
        <v>1230</v>
      </c>
    </row>
    <row r="170" spans="1:21" x14ac:dyDescent="0.25">
      <c r="A170" s="263" t="s">
        <v>323</v>
      </c>
      <c r="B170" s="317" t="s">
        <v>6</v>
      </c>
      <c r="C170" s="265">
        <v>2014</v>
      </c>
      <c r="D170" s="11" t="s">
        <v>327</v>
      </c>
      <c r="E170" s="3" t="s">
        <v>763</v>
      </c>
      <c r="F170" s="4" t="s">
        <v>328</v>
      </c>
      <c r="G170" s="4" t="s">
        <v>329</v>
      </c>
      <c r="H170" s="3">
        <v>15</v>
      </c>
      <c r="I170" s="222">
        <v>23</v>
      </c>
      <c r="J170" s="3" t="s">
        <v>8</v>
      </c>
      <c r="K170" s="3" t="s">
        <v>1522</v>
      </c>
      <c r="L170" s="166" t="s">
        <v>1573</v>
      </c>
      <c r="M170" s="166" t="s">
        <v>1610</v>
      </c>
      <c r="N170" s="166" t="s">
        <v>2080</v>
      </c>
      <c r="O170" s="52" t="s">
        <v>1587</v>
      </c>
      <c r="P170" s="5" t="s">
        <v>712</v>
      </c>
      <c r="Q170" s="5" t="s">
        <v>557</v>
      </c>
      <c r="R170" s="5" t="s">
        <v>559</v>
      </c>
      <c r="S170" s="5" t="s">
        <v>560</v>
      </c>
      <c r="T170" s="5" t="s">
        <v>1232</v>
      </c>
      <c r="U170" s="5" t="s">
        <v>1233</v>
      </c>
    </row>
    <row r="171" spans="1:21" x14ac:dyDescent="0.25">
      <c r="A171" s="263" t="s">
        <v>323</v>
      </c>
      <c r="B171" s="317" t="s">
        <v>6</v>
      </c>
      <c r="C171" s="265">
        <v>2015</v>
      </c>
      <c r="D171" s="11" t="s">
        <v>330</v>
      </c>
      <c r="E171" s="13" t="s">
        <v>2876</v>
      </c>
      <c r="F171" s="4" t="s">
        <v>331</v>
      </c>
      <c r="G171" s="4" t="s">
        <v>332</v>
      </c>
      <c r="H171" s="3">
        <v>4</v>
      </c>
      <c r="I171" s="222">
        <v>16</v>
      </c>
      <c r="J171" s="3" t="s">
        <v>8</v>
      </c>
      <c r="K171" s="3" t="s">
        <v>1522</v>
      </c>
      <c r="L171" s="166" t="s">
        <v>1573</v>
      </c>
      <c r="M171" s="166" t="s">
        <v>1610</v>
      </c>
      <c r="N171" s="166" t="s">
        <v>2080</v>
      </c>
      <c r="O171" s="52" t="s">
        <v>1588</v>
      </c>
      <c r="P171" s="5" t="s">
        <v>845</v>
      </c>
      <c r="Q171" s="5" t="s">
        <v>846</v>
      </c>
    </row>
    <row r="172" spans="1:21" x14ac:dyDescent="0.25">
      <c r="A172" s="263" t="s">
        <v>323</v>
      </c>
      <c r="B172" s="317" t="s">
        <v>6</v>
      </c>
      <c r="C172" s="265">
        <v>2016</v>
      </c>
      <c r="D172" s="11" t="s">
        <v>333</v>
      </c>
      <c r="E172" s="3" t="s">
        <v>763</v>
      </c>
      <c r="F172" s="4" t="s">
        <v>328</v>
      </c>
      <c r="G172" s="4" t="s">
        <v>334</v>
      </c>
      <c r="H172" s="3">
        <v>14</v>
      </c>
      <c r="I172" s="222">
        <v>22</v>
      </c>
      <c r="J172" s="3" t="s">
        <v>8</v>
      </c>
      <c r="K172" s="3" t="s">
        <v>1522</v>
      </c>
      <c r="L172" s="166" t="s">
        <v>1573</v>
      </c>
      <c r="M172" s="166" t="s">
        <v>1610</v>
      </c>
      <c r="N172" s="166" t="s">
        <v>2080</v>
      </c>
      <c r="O172" s="52" t="s">
        <v>1790</v>
      </c>
      <c r="P172" s="5" t="s">
        <v>804</v>
      </c>
      <c r="Q172" s="5" t="s">
        <v>806</v>
      </c>
      <c r="R172" s="5" t="s">
        <v>1234</v>
      </c>
      <c r="S172" s="5" t="s">
        <v>805</v>
      </c>
      <c r="T172" s="5" t="s">
        <v>663</v>
      </c>
    </row>
    <row r="173" spans="1:21" x14ac:dyDescent="0.25">
      <c r="A173" s="263" t="s">
        <v>323</v>
      </c>
      <c r="B173" s="317" t="s">
        <v>6</v>
      </c>
      <c r="C173" s="265">
        <v>2019</v>
      </c>
      <c r="D173" s="11" t="s">
        <v>335</v>
      </c>
      <c r="E173" s="3" t="s">
        <v>763</v>
      </c>
      <c r="F173" s="4" t="s">
        <v>328</v>
      </c>
      <c r="G173" s="4" t="s">
        <v>336</v>
      </c>
      <c r="H173" s="3">
        <v>4</v>
      </c>
      <c r="J173" s="3" t="s">
        <v>8</v>
      </c>
      <c r="K173" s="3" t="s">
        <v>1522</v>
      </c>
      <c r="L173" s="166" t="s">
        <v>1574</v>
      </c>
      <c r="M173" s="166" t="s">
        <v>1609</v>
      </c>
      <c r="N173" s="166"/>
      <c r="P173" s="5" t="s">
        <v>1235</v>
      </c>
      <c r="Q173" s="5" t="s">
        <v>1236</v>
      </c>
      <c r="R173" s="5" t="s">
        <v>560</v>
      </c>
      <c r="S173" s="5" t="s">
        <v>1237</v>
      </c>
    </row>
    <row r="174" spans="1:21" x14ac:dyDescent="0.25">
      <c r="A174" s="263" t="s">
        <v>323</v>
      </c>
      <c r="B174" s="317" t="s">
        <v>6</v>
      </c>
      <c r="C174" s="265">
        <v>2009</v>
      </c>
      <c r="D174" s="11" t="s">
        <v>337</v>
      </c>
      <c r="E174" s="13" t="s">
        <v>1238</v>
      </c>
      <c r="F174" s="4" t="s">
        <v>338</v>
      </c>
      <c r="G174" s="4" t="s">
        <v>339</v>
      </c>
      <c r="H174" s="3">
        <v>5</v>
      </c>
      <c r="J174" s="3" t="s">
        <v>8</v>
      </c>
      <c r="K174" s="3" t="s">
        <v>1522</v>
      </c>
      <c r="L174" s="166" t="s">
        <v>1574</v>
      </c>
      <c r="M174" s="166" t="s">
        <v>1609</v>
      </c>
      <c r="N174" s="166"/>
      <c r="P174" s="5" t="s">
        <v>1239</v>
      </c>
      <c r="Q174" s="5" t="s">
        <v>1240</v>
      </c>
      <c r="R174" s="5" t="s">
        <v>1241</v>
      </c>
      <c r="S174" s="5" t="s">
        <v>1242</v>
      </c>
      <c r="T174" s="5" t="s">
        <v>1243</v>
      </c>
      <c r="U174" s="5" t="s">
        <v>1244</v>
      </c>
    </row>
    <row r="175" spans="1:21" x14ac:dyDescent="0.25">
      <c r="A175" s="263" t="s">
        <v>323</v>
      </c>
      <c r="B175" s="317" t="s">
        <v>6</v>
      </c>
      <c r="C175" s="265">
        <v>2019</v>
      </c>
      <c r="D175" s="11" t="s">
        <v>341</v>
      </c>
      <c r="E175" s="13" t="s">
        <v>2876</v>
      </c>
      <c r="F175" s="4" t="s">
        <v>331</v>
      </c>
      <c r="G175" s="4" t="s">
        <v>342</v>
      </c>
      <c r="H175" s="3">
        <v>0</v>
      </c>
      <c r="J175" s="3" t="s">
        <v>8</v>
      </c>
      <c r="K175" s="3" t="s">
        <v>1522</v>
      </c>
      <c r="L175" s="166" t="s">
        <v>1573</v>
      </c>
      <c r="M175" s="166" t="s">
        <v>1609</v>
      </c>
      <c r="N175" s="166"/>
      <c r="O175" s="52" t="s">
        <v>2040</v>
      </c>
      <c r="P175" s="5" t="s">
        <v>1245</v>
      </c>
      <c r="Q175" s="5" t="s">
        <v>1246</v>
      </c>
    </row>
    <row r="176" spans="1:21" x14ac:dyDescent="0.25">
      <c r="A176" s="263" t="s">
        <v>323</v>
      </c>
      <c r="B176" s="317" t="s">
        <v>6</v>
      </c>
      <c r="C176" s="265">
        <v>2008</v>
      </c>
      <c r="D176" s="11" t="s">
        <v>343</v>
      </c>
      <c r="E176" s="3" t="s">
        <v>763</v>
      </c>
      <c r="F176" s="4" t="s">
        <v>328</v>
      </c>
      <c r="G176" s="4" t="s">
        <v>344</v>
      </c>
      <c r="H176" s="3">
        <v>9</v>
      </c>
      <c r="J176" s="3" t="s">
        <v>8</v>
      </c>
      <c r="K176" s="3" t="s">
        <v>1522</v>
      </c>
      <c r="L176" s="166" t="s">
        <v>1574</v>
      </c>
      <c r="M176" s="166" t="s">
        <v>1609</v>
      </c>
      <c r="N176" s="166"/>
      <c r="P176" s="5" t="s">
        <v>1109</v>
      </c>
      <c r="Q176" s="5" t="s">
        <v>1247</v>
      </c>
    </row>
    <row r="177" spans="1:20" x14ac:dyDescent="0.25">
      <c r="A177" s="263" t="s">
        <v>323</v>
      </c>
      <c r="B177" s="317" t="s">
        <v>6</v>
      </c>
      <c r="C177" s="265">
        <v>2007</v>
      </c>
      <c r="D177" s="11" t="s">
        <v>345</v>
      </c>
      <c r="E177" s="13" t="s">
        <v>1248</v>
      </c>
      <c r="F177" s="4" t="s">
        <v>346</v>
      </c>
      <c r="G177" s="4" t="s">
        <v>347</v>
      </c>
      <c r="H177" s="3">
        <v>21</v>
      </c>
      <c r="J177" s="3" t="s">
        <v>8</v>
      </c>
      <c r="K177" s="3" t="s">
        <v>1522</v>
      </c>
      <c r="L177" s="166" t="s">
        <v>1573</v>
      </c>
      <c r="M177" s="166" t="s">
        <v>1610</v>
      </c>
      <c r="N177" s="166" t="s">
        <v>2079</v>
      </c>
      <c r="O177" s="52" t="s">
        <v>1579</v>
      </c>
      <c r="P177" s="5" t="s">
        <v>1188</v>
      </c>
      <c r="Q177" s="5" t="s">
        <v>1189</v>
      </c>
      <c r="R177" s="5" t="s">
        <v>1190</v>
      </c>
      <c r="S177" s="5" t="s">
        <v>1191</v>
      </c>
    </row>
    <row r="178" spans="1:20" x14ac:dyDescent="0.25">
      <c r="A178" s="263" t="s">
        <v>323</v>
      </c>
      <c r="B178" s="317" t="s">
        <v>6</v>
      </c>
      <c r="C178" s="265">
        <v>2019</v>
      </c>
      <c r="D178" s="11" t="s">
        <v>348</v>
      </c>
      <c r="E178" s="13" t="s">
        <v>1249</v>
      </c>
      <c r="F178" s="4" t="s">
        <v>349</v>
      </c>
      <c r="G178" s="4" t="s">
        <v>350</v>
      </c>
      <c r="H178" s="3">
        <v>5</v>
      </c>
      <c r="J178" s="3" t="s">
        <v>8</v>
      </c>
      <c r="K178" s="3" t="s">
        <v>1522</v>
      </c>
      <c r="L178" s="166" t="s">
        <v>1574</v>
      </c>
      <c r="M178" s="166" t="s">
        <v>1609</v>
      </c>
      <c r="N178" s="166"/>
      <c r="P178" s="5" t="s">
        <v>1250</v>
      </c>
      <c r="Q178" s="5" t="s">
        <v>1251</v>
      </c>
      <c r="R178" s="5" t="s">
        <v>1252</v>
      </c>
      <c r="S178" s="5" t="s">
        <v>1253</v>
      </c>
      <c r="T178" s="5" t="s">
        <v>1093</v>
      </c>
    </row>
    <row r="179" spans="1:20" x14ac:dyDescent="0.25">
      <c r="A179" s="263" t="s">
        <v>323</v>
      </c>
      <c r="B179" s="317" t="s">
        <v>6</v>
      </c>
      <c r="C179" s="265">
        <v>2009</v>
      </c>
      <c r="D179" s="11" t="s">
        <v>351</v>
      </c>
      <c r="E179" s="13" t="s">
        <v>1254</v>
      </c>
      <c r="F179" s="4" t="s">
        <v>352</v>
      </c>
      <c r="G179" s="4" t="s">
        <v>353</v>
      </c>
      <c r="H179" s="3">
        <v>5</v>
      </c>
      <c r="J179" s="3" t="s">
        <v>8</v>
      </c>
      <c r="K179" s="3" t="s">
        <v>1522</v>
      </c>
      <c r="L179" s="166" t="s">
        <v>1573</v>
      </c>
      <c r="M179" s="166" t="s">
        <v>1609</v>
      </c>
      <c r="N179" s="166"/>
      <c r="O179" s="52" t="s">
        <v>1583</v>
      </c>
      <c r="P179" s="5" t="s">
        <v>830</v>
      </c>
    </row>
    <row r="180" spans="1:20" x14ac:dyDescent="0.25">
      <c r="A180" s="263" t="s">
        <v>323</v>
      </c>
      <c r="B180" s="317" t="s">
        <v>6</v>
      </c>
      <c r="C180" s="265">
        <v>2010</v>
      </c>
      <c r="D180" s="11" t="s">
        <v>354</v>
      </c>
      <c r="E180" s="3" t="s">
        <v>763</v>
      </c>
      <c r="F180" s="4" t="s">
        <v>328</v>
      </c>
      <c r="G180" s="4" t="s">
        <v>355</v>
      </c>
      <c r="H180" s="3">
        <v>81</v>
      </c>
      <c r="J180" s="3" t="s">
        <v>8</v>
      </c>
      <c r="K180" s="3" t="s">
        <v>1522</v>
      </c>
      <c r="L180" s="166" t="s">
        <v>1573</v>
      </c>
      <c r="M180" s="166" t="s">
        <v>1609</v>
      </c>
      <c r="N180" s="166"/>
      <c r="O180" s="52" t="s">
        <v>1584</v>
      </c>
      <c r="P180" s="5" t="s">
        <v>1255</v>
      </c>
      <c r="Q180" s="5" t="s">
        <v>1256</v>
      </c>
      <c r="R180" s="5" t="s">
        <v>1257</v>
      </c>
      <c r="S180" s="5" t="s">
        <v>1258</v>
      </c>
    </row>
    <row r="181" spans="1:20" x14ac:dyDescent="0.25">
      <c r="A181" s="263" t="s">
        <v>323</v>
      </c>
      <c r="B181" s="317" t="s">
        <v>6</v>
      </c>
      <c r="C181" s="265">
        <v>2018</v>
      </c>
      <c r="D181" s="11" t="s">
        <v>356</v>
      </c>
      <c r="E181" s="13" t="s">
        <v>1260</v>
      </c>
      <c r="F181" s="4" t="s">
        <v>357</v>
      </c>
      <c r="G181" s="4" t="s">
        <v>358</v>
      </c>
      <c r="H181" s="3">
        <v>3</v>
      </c>
      <c r="J181" s="3" t="s">
        <v>8</v>
      </c>
      <c r="K181" s="3" t="s">
        <v>1522</v>
      </c>
      <c r="L181" s="166" t="s">
        <v>1574</v>
      </c>
      <c r="M181" s="166" t="s">
        <v>1609</v>
      </c>
      <c r="N181" s="166"/>
      <c r="P181" s="5" t="s">
        <v>1259</v>
      </c>
      <c r="Q181" s="5" t="s">
        <v>1261</v>
      </c>
    </row>
    <row r="182" spans="1:20" x14ac:dyDescent="0.25">
      <c r="A182" s="263" t="s">
        <v>323</v>
      </c>
      <c r="B182" s="317" t="s">
        <v>6</v>
      </c>
      <c r="C182" s="265">
        <v>2015</v>
      </c>
      <c r="D182" s="11" t="s">
        <v>359</v>
      </c>
      <c r="E182" s="13" t="s">
        <v>2876</v>
      </c>
      <c r="F182" s="4" t="s">
        <v>331</v>
      </c>
      <c r="G182" s="4" t="s">
        <v>360</v>
      </c>
      <c r="H182" s="3">
        <v>8</v>
      </c>
      <c r="I182" s="222">
        <v>10</v>
      </c>
      <c r="J182" s="3" t="s">
        <v>8</v>
      </c>
      <c r="K182" s="3" t="s">
        <v>1522</v>
      </c>
      <c r="L182" s="166" t="s">
        <v>1573</v>
      </c>
      <c r="M182" s="166" t="s">
        <v>1610</v>
      </c>
      <c r="N182" s="166" t="s">
        <v>2080</v>
      </c>
      <c r="O182" s="52" t="s">
        <v>1589</v>
      </c>
      <c r="P182" s="5" t="s">
        <v>688</v>
      </c>
      <c r="Q182" s="5" t="s">
        <v>809</v>
      </c>
      <c r="R182" s="5" t="s">
        <v>689</v>
      </c>
    </row>
    <row r="183" spans="1:20" x14ac:dyDescent="0.25">
      <c r="A183" s="263" t="s">
        <v>323</v>
      </c>
      <c r="B183" s="317" t="s">
        <v>6</v>
      </c>
      <c r="C183" s="265">
        <v>2007</v>
      </c>
      <c r="D183" s="11" t="s">
        <v>361</v>
      </c>
      <c r="E183" s="13" t="s">
        <v>1262</v>
      </c>
      <c r="F183" s="4" t="s">
        <v>362</v>
      </c>
      <c r="G183" s="4" t="s">
        <v>363</v>
      </c>
      <c r="H183" s="3">
        <v>34</v>
      </c>
      <c r="I183" s="222">
        <v>55</v>
      </c>
      <c r="J183" s="3" t="s">
        <v>8</v>
      </c>
      <c r="K183" s="3" t="s">
        <v>1522</v>
      </c>
      <c r="L183" s="166" t="s">
        <v>1573</v>
      </c>
      <c r="M183" s="166" t="s">
        <v>1610</v>
      </c>
      <c r="N183" s="166" t="s">
        <v>2080</v>
      </c>
      <c r="O183" s="52" t="s">
        <v>1580</v>
      </c>
      <c r="P183" s="5" t="s">
        <v>1263</v>
      </c>
      <c r="Q183" s="5" t="s">
        <v>1264</v>
      </c>
      <c r="R183" s="5" t="s">
        <v>1265</v>
      </c>
      <c r="S183" s="5" t="s">
        <v>1266</v>
      </c>
    </row>
    <row r="184" spans="1:20" x14ac:dyDescent="0.25">
      <c r="A184" s="263" t="s">
        <v>323</v>
      </c>
      <c r="B184" s="317" t="s">
        <v>6</v>
      </c>
      <c r="C184" s="265">
        <v>2017</v>
      </c>
      <c r="D184" s="11" t="s">
        <v>364</v>
      </c>
      <c r="E184" s="13" t="s">
        <v>1268</v>
      </c>
      <c r="F184" s="4" t="s">
        <v>365</v>
      </c>
      <c r="G184" s="4" t="s">
        <v>366</v>
      </c>
      <c r="H184" s="3">
        <v>6</v>
      </c>
      <c r="I184" s="222">
        <v>11</v>
      </c>
      <c r="J184" s="3" t="s">
        <v>8</v>
      </c>
      <c r="K184" s="3" t="s">
        <v>1522</v>
      </c>
      <c r="L184" s="166" t="s">
        <v>1573</v>
      </c>
      <c r="M184" s="166" t="s">
        <v>1610</v>
      </c>
      <c r="N184" s="166" t="s">
        <v>2080</v>
      </c>
      <c r="O184" s="52" t="s">
        <v>1591</v>
      </c>
      <c r="P184" s="5" t="s">
        <v>1267</v>
      </c>
      <c r="Q184" s="5" t="s">
        <v>1269</v>
      </c>
      <c r="R184" s="5" t="s">
        <v>1270</v>
      </c>
      <c r="S184" s="5" t="s">
        <v>1271</v>
      </c>
      <c r="T184" s="5" t="s">
        <v>1272</v>
      </c>
    </row>
    <row r="185" spans="1:20" x14ac:dyDescent="0.25">
      <c r="A185" s="263" t="s">
        <v>323</v>
      </c>
      <c r="B185" s="317" t="s">
        <v>6</v>
      </c>
      <c r="C185" s="265">
        <v>2014</v>
      </c>
      <c r="D185" s="11" t="s">
        <v>367</v>
      </c>
      <c r="E185" s="13" t="s">
        <v>1278</v>
      </c>
      <c r="F185" s="4" t="s">
        <v>368</v>
      </c>
      <c r="G185" s="4" t="s">
        <v>369</v>
      </c>
      <c r="H185" s="3">
        <v>36</v>
      </c>
      <c r="J185" s="3" t="s">
        <v>8</v>
      </c>
      <c r="K185" s="3" t="s">
        <v>1522</v>
      </c>
      <c r="L185" s="166" t="s">
        <v>1574</v>
      </c>
      <c r="M185" s="166" t="s">
        <v>1609</v>
      </c>
      <c r="N185" s="166"/>
      <c r="P185" s="5" t="s">
        <v>1273</v>
      </c>
      <c r="Q185" s="5" t="s">
        <v>1274</v>
      </c>
      <c r="R185" s="5" t="s">
        <v>1275</v>
      </c>
      <c r="S185" s="5" t="s">
        <v>1276</v>
      </c>
      <c r="T185" s="5" t="s">
        <v>1277</v>
      </c>
    </row>
    <row r="186" spans="1:20" x14ac:dyDescent="0.25">
      <c r="A186" s="263" t="s">
        <v>323</v>
      </c>
      <c r="B186" s="317" t="s">
        <v>6</v>
      </c>
      <c r="C186" s="265">
        <v>2016</v>
      </c>
      <c r="D186" s="11" t="s">
        <v>370</v>
      </c>
      <c r="E186" s="13" t="s">
        <v>1279</v>
      </c>
      <c r="F186" s="4" t="s">
        <v>371</v>
      </c>
      <c r="G186" s="4" t="s">
        <v>372</v>
      </c>
      <c r="H186" s="3">
        <v>3</v>
      </c>
      <c r="J186" s="3" t="s">
        <v>8</v>
      </c>
      <c r="K186" s="3" t="s">
        <v>1522</v>
      </c>
      <c r="L186" s="166" t="s">
        <v>1574</v>
      </c>
      <c r="M186" s="166" t="s">
        <v>1609</v>
      </c>
      <c r="N186" s="166"/>
      <c r="P186" s="5" t="s">
        <v>798</v>
      </c>
      <c r="Q186" s="5" t="s">
        <v>1280</v>
      </c>
      <c r="R186" s="5" t="s">
        <v>1281</v>
      </c>
      <c r="S186" s="5" t="s">
        <v>1282</v>
      </c>
      <c r="T186" s="5" t="s">
        <v>1283</v>
      </c>
    </row>
    <row r="187" spans="1:20" x14ac:dyDescent="0.25">
      <c r="A187" s="263" t="s">
        <v>323</v>
      </c>
      <c r="B187" s="263" t="s">
        <v>7</v>
      </c>
      <c r="C187" s="265">
        <v>2014</v>
      </c>
      <c r="D187" s="11" t="s">
        <v>373</v>
      </c>
      <c r="E187" s="13" t="s">
        <v>665</v>
      </c>
      <c r="F187" s="4" t="s">
        <v>374</v>
      </c>
      <c r="G187" s="4" t="s">
        <v>375</v>
      </c>
      <c r="H187" s="3">
        <v>23</v>
      </c>
      <c r="J187" s="3" t="s">
        <v>8</v>
      </c>
      <c r="K187" s="3" t="s">
        <v>1522</v>
      </c>
      <c r="L187" s="166" t="s">
        <v>1573</v>
      </c>
      <c r="M187" s="166" t="s">
        <v>1609</v>
      </c>
      <c r="N187" s="166"/>
      <c r="O187" s="52" t="s">
        <v>1586</v>
      </c>
      <c r="P187" s="5" t="s">
        <v>1284</v>
      </c>
      <c r="Q187" s="5" t="s">
        <v>1285</v>
      </c>
      <c r="R187" s="5" t="s">
        <v>1286</v>
      </c>
      <c r="S187" s="5" t="s">
        <v>1287</v>
      </c>
      <c r="T187" s="5" t="s">
        <v>1288</v>
      </c>
    </row>
    <row r="188" spans="1:20" x14ac:dyDescent="0.25">
      <c r="A188" s="263" t="s">
        <v>323</v>
      </c>
      <c r="B188" s="263" t="s">
        <v>6</v>
      </c>
      <c r="C188" s="265">
        <v>2011</v>
      </c>
      <c r="D188" s="11" t="s">
        <v>376</v>
      </c>
      <c r="E188" s="13" t="s">
        <v>1278</v>
      </c>
      <c r="F188" s="4" t="s">
        <v>368</v>
      </c>
      <c r="G188" s="4" t="s">
        <v>377</v>
      </c>
      <c r="H188" s="3">
        <v>22</v>
      </c>
      <c r="J188" s="3" t="s">
        <v>8</v>
      </c>
      <c r="K188" s="3" t="s">
        <v>1522</v>
      </c>
      <c r="L188" s="166" t="s">
        <v>1573</v>
      </c>
      <c r="M188" s="166" t="s">
        <v>1609</v>
      </c>
      <c r="N188" s="166"/>
      <c r="O188" s="52" t="s">
        <v>1585</v>
      </c>
      <c r="P188" s="5" t="s">
        <v>1289</v>
      </c>
      <c r="Q188" s="5" t="s">
        <v>1290</v>
      </c>
    </row>
    <row r="189" spans="1:20" x14ac:dyDescent="0.25">
      <c r="A189" s="263" t="s">
        <v>323</v>
      </c>
      <c r="B189" s="263" t="s">
        <v>6</v>
      </c>
      <c r="C189" s="265">
        <v>2012</v>
      </c>
      <c r="D189" s="11" t="s">
        <v>378</v>
      </c>
      <c r="E189" s="13" t="s">
        <v>1291</v>
      </c>
      <c r="F189" s="4" t="s">
        <v>379</v>
      </c>
      <c r="G189" s="4" t="s">
        <v>380</v>
      </c>
      <c r="H189" s="3">
        <v>24</v>
      </c>
      <c r="J189" s="3" t="s">
        <v>8</v>
      </c>
      <c r="K189" s="3" t="s">
        <v>1522</v>
      </c>
      <c r="L189" s="166" t="s">
        <v>1574</v>
      </c>
      <c r="M189" s="166" t="s">
        <v>1609</v>
      </c>
      <c r="N189" s="166"/>
      <c r="P189" s="5" t="s">
        <v>1292</v>
      </c>
      <c r="Q189" s="5" t="s">
        <v>1293</v>
      </c>
      <c r="R189" s="5" t="s">
        <v>1294</v>
      </c>
      <c r="S189" s="5" t="s">
        <v>1295</v>
      </c>
      <c r="T189" s="5" t="s">
        <v>1296</v>
      </c>
    </row>
    <row r="190" spans="1:20" x14ac:dyDescent="0.25">
      <c r="A190" s="263" t="s">
        <v>323</v>
      </c>
      <c r="B190" s="263" t="s">
        <v>7</v>
      </c>
      <c r="C190" s="265">
        <v>2010</v>
      </c>
      <c r="D190" s="11" t="s">
        <v>381</v>
      </c>
      <c r="E190" s="13" t="s">
        <v>1260</v>
      </c>
      <c r="F190" s="4" t="s">
        <v>357</v>
      </c>
      <c r="G190" s="4" t="s">
        <v>382</v>
      </c>
      <c r="H190" s="3">
        <v>25</v>
      </c>
      <c r="J190" s="3" t="s">
        <v>8</v>
      </c>
      <c r="K190" s="3" t="s">
        <v>1522</v>
      </c>
      <c r="L190" s="166" t="s">
        <v>1574</v>
      </c>
      <c r="M190" s="166" t="s">
        <v>1609</v>
      </c>
      <c r="N190" s="166"/>
      <c r="P190" s="5" t="s">
        <v>1297</v>
      </c>
      <c r="Q190" s="5" t="s">
        <v>1298</v>
      </c>
    </row>
    <row r="191" spans="1:20" x14ac:dyDescent="0.25">
      <c r="A191" s="263" t="s">
        <v>323</v>
      </c>
      <c r="B191" s="263" t="s">
        <v>6</v>
      </c>
      <c r="C191" s="265">
        <v>2015</v>
      </c>
      <c r="D191" s="11" t="s">
        <v>383</v>
      </c>
      <c r="E191" s="13" t="s">
        <v>1248</v>
      </c>
      <c r="F191" s="4" t="s">
        <v>346</v>
      </c>
      <c r="G191" s="4" t="s">
        <v>384</v>
      </c>
      <c r="H191" s="3">
        <v>20</v>
      </c>
      <c r="J191" s="3" t="s">
        <v>8</v>
      </c>
      <c r="K191" s="3" t="s">
        <v>1522</v>
      </c>
      <c r="L191" s="166" t="s">
        <v>1573</v>
      </c>
      <c r="M191" s="166" t="s">
        <v>1609</v>
      </c>
      <c r="N191" s="166"/>
      <c r="O191" s="52" t="s">
        <v>1590</v>
      </c>
      <c r="P191" s="5" t="s">
        <v>1299</v>
      </c>
      <c r="Q191" s="5" t="s">
        <v>1300</v>
      </c>
    </row>
    <row r="192" spans="1:20" x14ac:dyDescent="0.25">
      <c r="A192" s="263" t="s">
        <v>323</v>
      </c>
      <c r="B192" s="263" t="s">
        <v>6</v>
      </c>
      <c r="C192" s="265">
        <v>2010</v>
      </c>
      <c r="D192" s="11" t="s">
        <v>385</v>
      </c>
      <c r="E192" s="13" t="s">
        <v>1301</v>
      </c>
      <c r="F192" s="4" t="s">
        <v>386</v>
      </c>
      <c r="G192" s="4" t="s">
        <v>387</v>
      </c>
      <c r="H192" s="3">
        <v>651</v>
      </c>
      <c r="J192" s="3" t="s">
        <v>8</v>
      </c>
      <c r="K192" s="3" t="s">
        <v>1522</v>
      </c>
      <c r="L192" s="166" t="s">
        <v>1574</v>
      </c>
      <c r="M192" s="166" t="s">
        <v>1609</v>
      </c>
      <c r="N192" s="166"/>
      <c r="P192" s="5" t="s">
        <v>1302</v>
      </c>
      <c r="Q192" s="5" t="s">
        <v>1303</v>
      </c>
    </row>
    <row r="193" spans="1:20" x14ac:dyDescent="0.25">
      <c r="A193" s="263" t="s">
        <v>323</v>
      </c>
      <c r="B193" s="263" t="s">
        <v>6</v>
      </c>
      <c r="C193" s="265">
        <v>2008</v>
      </c>
      <c r="D193" s="11" t="s">
        <v>388</v>
      </c>
      <c r="E193" s="13" t="s">
        <v>1304</v>
      </c>
      <c r="F193" s="4" t="s">
        <v>389</v>
      </c>
      <c r="G193" s="4" t="s">
        <v>390</v>
      </c>
      <c r="H193" s="3">
        <v>2</v>
      </c>
      <c r="J193" s="3" t="s">
        <v>8</v>
      </c>
      <c r="K193" s="3" t="s">
        <v>1522</v>
      </c>
      <c r="L193" s="166" t="s">
        <v>1574</v>
      </c>
      <c r="M193" s="166" t="s">
        <v>1609</v>
      </c>
      <c r="N193" s="166"/>
      <c r="P193" s="5" t="s">
        <v>1305</v>
      </c>
      <c r="Q193" s="5" t="s">
        <v>1306</v>
      </c>
    </row>
    <row r="194" spans="1:20" x14ac:dyDescent="0.25">
      <c r="A194" s="263" t="s">
        <v>323</v>
      </c>
      <c r="B194" s="263" t="s">
        <v>6</v>
      </c>
      <c r="C194" s="265">
        <v>2007</v>
      </c>
      <c r="D194" s="11" t="s">
        <v>391</v>
      </c>
      <c r="E194" s="13" t="s">
        <v>1307</v>
      </c>
      <c r="F194" s="4" t="s">
        <v>392</v>
      </c>
      <c r="G194" s="4" t="s">
        <v>393</v>
      </c>
      <c r="H194" s="3">
        <v>30</v>
      </c>
      <c r="J194" s="3" t="s">
        <v>8</v>
      </c>
      <c r="K194" s="3" t="s">
        <v>1522</v>
      </c>
      <c r="L194" s="166" t="s">
        <v>1573</v>
      </c>
      <c r="M194" s="166" t="s">
        <v>1609</v>
      </c>
      <c r="N194" s="166"/>
      <c r="O194" s="52" t="s">
        <v>1581</v>
      </c>
      <c r="P194" s="5" t="s">
        <v>1308</v>
      </c>
      <c r="Q194" s="5" t="s">
        <v>1309</v>
      </c>
      <c r="R194" s="5" t="s">
        <v>1310</v>
      </c>
    </row>
    <row r="195" spans="1:20" x14ac:dyDescent="0.25">
      <c r="A195" s="263" t="s">
        <v>323</v>
      </c>
      <c r="B195" s="263" t="s">
        <v>6</v>
      </c>
      <c r="C195" s="265">
        <v>2013</v>
      </c>
      <c r="D195" s="11" t="s">
        <v>649</v>
      </c>
      <c r="E195" s="3" t="s">
        <v>650</v>
      </c>
      <c r="F195" s="15" t="s">
        <v>651</v>
      </c>
      <c r="G195" s="4" t="s">
        <v>652</v>
      </c>
      <c r="H195" s="3">
        <v>29</v>
      </c>
      <c r="J195" s="3" t="s">
        <v>8</v>
      </c>
      <c r="K195" s="3" t="s">
        <v>1522</v>
      </c>
      <c r="L195" s="166" t="s">
        <v>1574</v>
      </c>
      <c r="M195" s="166" t="s">
        <v>1609</v>
      </c>
      <c r="N195" s="166"/>
      <c r="P195" s="5" t="s">
        <v>653</v>
      </c>
      <c r="Q195" s="5" t="s">
        <v>654</v>
      </c>
      <c r="R195" s="5" t="s">
        <v>655</v>
      </c>
      <c r="S195" s="5" t="s">
        <v>656</v>
      </c>
    </row>
    <row r="196" spans="1:20" x14ac:dyDescent="0.25">
      <c r="A196" s="263" t="s">
        <v>323</v>
      </c>
      <c r="B196" s="263" t="s">
        <v>6</v>
      </c>
      <c r="C196" s="265">
        <v>2020</v>
      </c>
      <c r="D196" s="11" t="s">
        <v>657</v>
      </c>
      <c r="E196" s="3" t="s">
        <v>658</v>
      </c>
      <c r="F196" s="15" t="s">
        <v>659</v>
      </c>
      <c r="G196" s="4" t="s">
        <v>660</v>
      </c>
      <c r="H196" s="3">
        <v>0</v>
      </c>
      <c r="J196" s="3" t="s">
        <v>8</v>
      </c>
      <c r="K196" s="3" t="s">
        <v>1522</v>
      </c>
      <c r="L196" s="166" t="s">
        <v>1573</v>
      </c>
      <c r="M196" s="166" t="s">
        <v>1609</v>
      </c>
      <c r="N196" s="166"/>
      <c r="O196" s="52" t="s">
        <v>1592</v>
      </c>
      <c r="P196" s="5" t="s">
        <v>661</v>
      </c>
      <c r="Q196" s="5" t="s">
        <v>662</v>
      </c>
      <c r="R196" s="5" t="s">
        <v>663</v>
      </c>
    </row>
    <row r="197" spans="1:20" x14ac:dyDescent="0.25">
      <c r="A197" s="263" t="s">
        <v>323</v>
      </c>
      <c r="B197" s="263" t="s">
        <v>6</v>
      </c>
      <c r="C197" s="265">
        <v>2018</v>
      </c>
      <c r="D197" s="11" t="s">
        <v>664</v>
      </c>
      <c r="E197" s="3" t="s">
        <v>665</v>
      </c>
      <c r="F197" s="15" t="s">
        <v>374</v>
      </c>
      <c r="G197" s="4" t="s">
        <v>666</v>
      </c>
      <c r="H197" s="3">
        <v>1</v>
      </c>
      <c r="J197" s="3" t="s">
        <v>8</v>
      </c>
      <c r="K197" s="3" t="s">
        <v>1522</v>
      </c>
      <c r="L197" s="166" t="s">
        <v>1574</v>
      </c>
      <c r="M197" s="166" t="s">
        <v>1609</v>
      </c>
      <c r="N197" s="166"/>
      <c r="P197" s="5" t="s">
        <v>667</v>
      </c>
      <c r="Q197" s="5" t="s">
        <v>668</v>
      </c>
      <c r="R197" s="5" t="s">
        <v>669</v>
      </c>
    </row>
    <row r="198" spans="1:20" x14ac:dyDescent="0.25">
      <c r="A198" s="263" t="s">
        <v>323</v>
      </c>
      <c r="B198" s="317" t="s">
        <v>6</v>
      </c>
      <c r="C198" s="265">
        <v>2012</v>
      </c>
      <c r="D198" s="11" t="s">
        <v>1499</v>
      </c>
      <c r="E198" s="13" t="s">
        <v>650</v>
      </c>
      <c r="F198" s="4" t="s">
        <v>651</v>
      </c>
      <c r="G198" s="4" t="s">
        <v>1500</v>
      </c>
      <c r="H198" s="3">
        <v>49</v>
      </c>
      <c r="J198" s="3" t="s">
        <v>8</v>
      </c>
      <c r="K198" s="3" t="s">
        <v>1522</v>
      </c>
      <c r="L198" s="166" t="s">
        <v>1574</v>
      </c>
      <c r="M198" s="166" t="s">
        <v>1609</v>
      </c>
      <c r="N198" s="166"/>
      <c r="P198" s="5" t="s">
        <v>1501</v>
      </c>
      <c r="Q198" s="5" t="s">
        <v>1502</v>
      </c>
      <c r="R198" s="5" t="s">
        <v>1503</v>
      </c>
    </row>
    <row r="199" spans="1:20" x14ac:dyDescent="0.25">
      <c r="A199" s="263" t="s">
        <v>323</v>
      </c>
      <c r="B199" s="263" t="s">
        <v>6</v>
      </c>
      <c r="C199" s="265">
        <v>2006</v>
      </c>
      <c r="D199" s="11" t="s">
        <v>1504</v>
      </c>
      <c r="E199" s="3" t="s">
        <v>2876</v>
      </c>
      <c r="F199" s="15" t="s">
        <v>331</v>
      </c>
      <c r="G199" s="4" t="s">
        <v>1511</v>
      </c>
      <c r="H199" s="3">
        <v>22</v>
      </c>
      <c r="I199" s="222">
        <v>49</v>
      </c>
      <c r="J199" s="3" t="s">
        <v>8</v>
      </c>
      <c r="K199" s="3" t="s">
        <v>1522</v>
      </c>
      <c r="L199" s="166" t="s">
        <v>1573</v>
      </c>
      <c r="M199" s="166" t="s">
        <v>1610</v>
      </c>
      <c r="N199" s="166" t="s">
        <v>2080</v>
      </c>
      <c r="O199" s="52" t="s">
        <v>1582</v>
      </c>
      <c r="P199" s="5" t="s">
        <v>1512</v>
      </c>
      <c r="Q199" s="5" t="s">
        <v>1513</v>
      </c>
      <c r="R199" s="5" t="s">
        <v>1514</v>
      </c>
      <c r="S199" s="5" t="s">
        <v>1515</v>
      </c>
      <c r="T199" s="5" t="s">
        <v>1516</v>
      </c>
    </row>
    <row r="200" spans="1:20" x14ac:dyDescent="0.25">
      <c r="A200" s="263" t="s">
        <v>323</v>
      </c>
      <c r="B200" s="263" t="s">
        <v>6</v>
      </c>
      <c r="C200" s="265">
        <v>2007</v>
      </c>
      <c r="D200" s="11" t="s">
        <v>1505</v>
      </c>
      <c r="E200" s="3" t="s">
        <v>1506</v>
      </c>
      <c r="F200" s="15" t="s">
        <v>368</v>
      </c>
      <c r="G200" s="4" t="s">
        <v>1507</v>
      </c>
      <c r="H200" s="3">
        <v>26</v>
      </c>
      <c r="J200" s="3" t="s">
        <v>8</v>
      </c>
      <c r="K200" s="3" t="s">
        <v>1522</v>
      </c>
      <c r="L200" s="166" t="s">
        <v>1574</v>
      </c>
      <c r="M200" s="166" t="s">
        <v>1609</v>
      </c>
      <c r="N200" s="166"/>
      <c r="P200" s="5" t="s">
        <v>1508</v>
      </c>
      <c r="Q200" s="5" t="s">
        <v>1509</v>
      </c>
      <c r="R200" s="5" t="s">
        <v>1510</v>
      </c>
    </row>
    <row r="201" spans="1:20" x14ac:dyDescent="0.25">
      <c r="A201" s="263" t="s">
        <v>323</v>
      </c>
      <c r="B201" s="263" t="s">
        <v>6</v>
      </c>
      <c r="C201" s="265">
        <v>2008</v>
      </c>
      <c r="D201" s="11" t="s">
        <v>1517</v>
      </c>
      <c r="E201" s="3" t="s">
        <v>1518</v>
      </c>
      <c r="F201" s="4" t="s">
        <v>1519</v>
      </c>
      <c r="G201" s="4" t="s">
        <v>1520</v>
      </c>
      <c r="H201" s="3">
        <v>46</v>
      </c>
      <c r="J201" s="3" t="s">
        <v>8</v>
      </c>
      <c r="K201" s="3" t="s">
        <v>1522</v>
      </c>
      <c r="L201" s="166" t="s">
        <v>1574</v>
      </c>
      <c r="M201" s="166" t="s">
        <v>1609</v>
      </c>
      <c r="N201" s="166"/>
      <c r="P201" s="5" t="s">
        <v>1521</v>
      </c>
    </row>
    <row r="202" spans="1:20" x14ac:dyDescent="0.25">
      <c r="A202" s="317" t="s">
        <v>323</v>
      </c>
      <c r="B202" s="317" t="s">
        <v>6</v>
      </c>
      <c r="C202" s="265">
        <v>2010</v>
      </c>
      <c r="D202" s="11" t="s">
        <v>2338</v>
      </c>
      <c r="E202" s="3" t="s">
        <v>2339</v>
      </c>
      <c r="F202" s="99" t="s">
        <v>2340</v>
      </c>
      <c r="G202" s="6" t="s">
        <v>2341</v>
      </c>
      <c r="H202" s="3">
        <v>18</v>
      </c>
      <c r="I202" s="222">
        <v>39</v>
      </c>
      <c r="J202" s="3" t="s">
        <v>8</v>
      </c>
      <c r="K202" s="3" t="s">
        <v>1522</v>
      </c>
      <c r="L202" s="166" t="s">
        <v>1573</v>
      </c>
      <c r="M202" s="166" t="s">
        <v>1610</v>
      </c>
      <c r="N202" s="166" t="s">
        <v>2080</v>
      </c>
      <c r="O202" s="52" t="s">
        <v>2256</v>
      </c>
      <c r="P202" s="31" t="s">
        <v>946</v>
      </c>
      <c r="Q202" s="31" t="s">
        <v>1406</v>
      </c>
      <c r="R202" s="31" t="s">
        <v>1389</v>
      </c>
      <c r="S202" s="31" t="s">
        <v>1413</v>
      </c>
    </row>
    <row r="203" spans="1:20" x14ac:dyDescent="0.25">
      <c r="A203" s="263" t="s">
        <v>323</v>
      </c>
      <c r="B203" s="263" t="s">
        <v>6</v>
      </c>
      <c r="C203" s="265">
        <v>2013</v>
      </c>
      <c r="D203" s="11" t="s">
        <v>1525</v>
      </c>
      <c r="E203" s="3" t="s">
        <v>763</v>
      </c>
      <c r="F203" s="15" t="s">
        <v>328</v>
      </c>
      <c r="G203" s="4" t="s">
        <v>1526</v>
      </c>
      <c r="H203" s="3">
        <v>10</v>
      </c>
      <c r="J203" s="3" t="s">
        <v>8</v>
      </c>
      <c r="K203" s="3" t="s">
        <v>1522</v>
      </c>
      <c r="L203" s="166" t="s">
        <v>1574</v>
      </c>
      <c r="M203" s="166" t="s">
        <v>1609</v>
      </c>
      <c r="N203" s="166"/>
      <c r="P203" s="5" t="s">
        <v>1527</v>
      </c>
      <c r="Q203" s="5" t="s">
        <v>1528</v>
      </c>
      <c r="R203" s="5" t="s">
        <v>1529</v>
      </c>
      <c r="S203" s="5" t="s">
        <v>1530</v>
      </c>
      <c r="T203" s="5" t="s">
        <v>1531</v>
      </c>
    </row>
    <row r="204" spans="1:20" x14ac:dyDescent="0.25">
      <c r="A204" s="317" t="s">
        <v>323</v>
      </c>
      <c r="B204" s="317" t="s">
        <v>6</v>
      </c>
      <c r="C204" s="265">
        <v>2005</v>
      </c>
      <c r="D204" s="11" t="s">
        <v>2307</v>
      </c>
      <c r="E204" s="3" t="s">
        <v>2308</v>
      </c>
      <c r="F204" s="4" t="s">
        <v>362</v>
      </c>
      <c r="G204" s="4" t="s">
        <v>2310</v>
      </c>
      <c r="H204" s="3">
        <v>54</v>
      </c>
      <c r="I204" s="222">
        <v>109</v>
      </c>
      <c r="J204" s="3" t="s">
        <v>8</v>
      </c>
      <c r="K204" s="3" t="s">
        <v>1522</v>
      </c>
      <c r="L204" s="166" t="s">
        <v>1573</v>
      </c>
      <c r="M204" s="166" t="s">
        <v>1610</v>
      </c>
      <c r="N204" s="166" t="s">
        <v>2080</v>
      </c>
      <c r="O204" s="52" t="s">
        <v>2464</v>
      </c>
      <c r="P204" s="5" t="s">
        <v>976</v>
      </c>
      <c r="Q204" s="5" t="s">
        <v>1093</v>
      </c>
      <c r="R204" s="5" t="s">
        <v>2309</v>
      </c>
    </row>
    <row r="205" spans="1:20" x14ac:dyDescent="0.25">
      <c r="A205" s="317" t="s">
        <v>394</v>
      </c>
      <c r="B205" s="317" t="s">
        <v>6</v>
      </c>
      <c r="C205" s="265">
        <v>2020</v>
      </c>
      <c r="D205" s="11" t="s">
        <v>395</v>
      </c>
      <c r="E205" s="3" t="s">
        <v>762</v>
      </c>
      <c r="F205" s="4" t="s">
        <v>399</v>
      </c>
      <c r="G205" s="4" t="s">
        <v>400</v>
      </c>
      <c r="H205" s="3">
        <v>0</v>
      </c>
      <c r="I205" s="222">
        <v>1</v>
      </c>
      <c r="J205" s="3" t="s">
        <v>8</v>
      </c>
      <c r="K205" s="3" t="s">
        <v>1522</v>
      </c>
      <c r="L205" s="166" t="s">
        <v>1573</v>
      </c>
      <c r="M205" s="166" t="s">
        <v>1610</v>
      </c>
      <c r="N205" s="166" t="s">
        <v>2080</v>
      </c>
      <c r="O205" s="52" t="s">
        <v>1608</v>
      </c>
      <c r="P205" s="5" t="s">
        <v>1179</v>
      </c>
      <c r="Q205" s="5" t="s">
        <v>1096</v>
      </c>
    </row>
    <row r="206" spans="1:20" x14ac:dyDescent="0.25">
      <c r="A206" s="317" t="s">
        <v>394</v>
      </c>
      <c r="B206" s="317" t="s">
        <v>6</v>
      </c>
      <c r="C206" s="265">
        <v>2004</v>
      </c>
      <c r="D206" s="11" t="s">
        <v>397</v>
      </c>
      <c r="E206" s="13" t="s">
        <v>1311</v>
      </c>
      <c r="F206" s="4" t="s">
        <v>396</v>
      </c>
      <c r="G206" s="4" t="s">
        <v>398</v>
      </c>
      <c r="H206" s="3">
        <v>6</v>
      </c>
      <c r="J206" s="3" t="s">
        <v>8</v>
      </c>
      <c r="K206" s="3" t="s">
        <v>1522</v>
      </c>
      <c r="L206" s="166" t="s">
        <v>1574</v>
      </c>
      <c r="M206" s="166" t="s">
        <v>1609</v>
      </c>
      <c r="N206" s="166"/>
      <c r="P206" s="5" t="s">
        <v>1312</v>
      </c>
      <c r="Q206" s="5" t="s">
        <v>1313</v>
      </c>
      <c r="R206" s="5" t="s">
        <v>1314</v>
      </c>
      <c r="S206" s="5" t="s">
        <v>1315</v>
      </c>
    </row>
    <row r="207" spans="1:20" x14ac:dyDescent="0.25">
      <c r="A207" s="317" t="s">
        <v>394</v>
      </c>
      <c r="B207" s="317" t="s">
        <v>6</v>
      </c>
      <c r="C207" s="265">
        <v>2017</v>
      </c>
      <c r="D207" s="11" t="s">
        <v>401</v>
      </c>
      <c r="E207" s="13" t="s">
        <v>1316</v>
      </c>
      <c r="F207" s="4" t="s">
        <v>402</v>
      </c>
      <c r="G207" s="4" t="s">
        <v>403</v>
      </c>
      <c r="H207" s="3">
        <v>1</v>
      </c>
      <c r="J207" s="3" t="s">
        <v>8</v>
      </c>
      <c r="K207" s="3" t="s">
        <v>1522</v>
      </c>
      <c r="L207" s="166" t="s">
        <v>1574</v>
      </c>
      <c r="M207" s="166" t="s">
        <v>1609</v>
      </c>
      <c r="N207" s="166"/>
      <c r="P207" s="5" t="s">
        <v>1317</v>
      </c>
      <c r="Q207" s="5" t="s">
        <v>557</v>
      </c>
      <c r="R207" s="5" t="s">
        <v>1318</v>
      </c>
      <c r="S207" s="5" t="s">
        <v>1319</v>
      </c>
    </row>
    <row r="208" spans="1:20" x14ac:dyDescent="0.25">
      <c r="A208" s="317" t="s">
        <v>394</v>
      </c>
      <c r="B208" s="317" t="s">
        <v>6</v>
      </c>
      <c r="C208" s="265">
        <v>2018</v>
      </c>
      <c r="D208" s="11" t="s">
        <v>404</v>
      </c>
      <c r="E208" s="13" t="s">
        <v>1316</v>
      </c>
      <c r="F208" s="4" t="s">
        <v>402</v>
      </c>
      <c r="G208" s="4" t="s">
        <v>405</v>
      </c>
      <c r="H208" s="3">
        <v>1</v>
      </c>
      <c r="J208" s="3" t="s">
        <v>8</v>
      </c>
      <c r="K208" s="3" t="s">
        <v>1522</v>
      </c>
      <c r="L208" s="166" t="s">
        <v>1573</v>
      </c>
      <c r="M208" s="166" t="s">
        <v>1609</v>
      </c>
      <c r="N208" s="166"/>
      <c r="O208" s="52" t="s">
        <v>2231</v>
      </c>
      <c r="P208" s="5" t="s">
        <v>1320</v>
      </c>
      <c r="Q208" s="5" t="s">
        <v>1321</v>
      </c>
    </row>
    <row r="209" spans="1:26" x14ac:dyDescent="0.25">
      <c r="A209" s="317" t="s">
        <v>394</v>
      </c>
      <c r="B209" s="317" t="s">
        <v>6</v>
      </c>
      <c r="C209" s="265">
        <v>2011</v>
      </c>
      <c r="D209" s="11" t="s">
        <v>406</v>
      </c>
      <c r="E209" s="3" t="s">
        <v>762</v>
      </c>
      <c r="F209" s="4" t="s">
        <v>399</v>
      </c>
      <c r="G209" s="4" t="s">
        <v>407</v>
      </c>
      <c r="H209" s="3">
        <v>1</v>
      </c>
      <c r="J209" s="3" t="s">
        <v>8</v>
      </c>
      <c r="K209" s="3" t="s">
        <v>1522</v>
      </c>
      <c r="L209" s="166" t="s">
        <v>1574</v>
      </c>
      <c r="M209" s="166" t="s">
        <v>1609</v>
      </c>
      <c r="N209" s="166"/>
      <c r="P209" s="5" t="s">
        <v>1322</v>
      </c>
      <c r="Q209" s="5" t="s">
        <v>1323</v>
      </c>
      <c r="R209" s="5" t="s">
        <v>1324</v>
      </c>
    </row>
    <row r="210" spans="1:26" x14ac:dyDescent="0.25">
      <c r="A210" s="317" t="s">
        <v>394</v>
      </c>
      <c r="B210" s="317" t="s">
        <v>6</v>
      </c>
      <c r="C210" s="265">
        <v>2012</v>
      </c>
      <c r="D210" s="11" t="s">
        <v>408</v>
      </c>
      <c r="E210" s="3" t="s">
        <v>762</v>
      </c>
      <c r="F210" s="4" t="s">
        <v>399</v>
      </c>
      <c r="G210" s="4" t="s">
        <v>409</v>
      </c>
      <c r="H210" s="3">
        <v>4</v>
      </c>
      <c r="J210" s="3" t="s">
        <v>8</v>
      </c>
      <c r="K210" s="3" t="s">
        <v>1522</v>
      </c>
      <c r="L210" s="166" t="s">
        <v>1574</v>
      </c>
      <c r="M210" s="166" t="s">
        <v>1609</v>
      </c>
      <c r="N210" s="166"/>
      <c r="P210" s="5" t="s">
        <v>1325</v>
      </c>
      <c r="Q210" s="5" t="s">
        <v>897</v>
      </c>
      <c r="R210" s="5" t="s">
        <v>1326</v>
      </c>
      <c r="S210" s="5" t="s">
        <v>1327</v>
      </c>
      <c r="T210" s="5" t="s">
        <v>1328</v>
      </c>
    </row>
    <row r="211" spans="1:26" x14ac:dyDescent="0.25">
      <c r="A211" s="317" t="s">
        <v>394</v>
      </c>
      <c r="B211" s="317" t="s">
        <v>6</v>
      </c>
      <c r="C211" s="265">
        <v>2009</v>
      </c>
      <c r="D211" s="11" t="s">
        <v>410</v>
      </c>
      <c r="E211" s="13" t="s">
        <v>1329</v>
      </c>
      <c r="F211" s="4" t="s">
        <v>411</v>
      </c>
      <c r="G211" s="4" t="s">
        <v>412</v>
      </c>
      <c r="H211" s="3">
        <v>11</v>
      </c>
      <c r="J211" s="3" t="s">
        <v>8</v>
      </c>
      <c r="K211" s="3" t="s">
        <v>1522</v>
      </c>
      <c r="L211" s="166" t="s">
        <v>1574</v>
      </c>
      <c r="M211" s="166" t="s">
        <v>1609</v>
      </c>
      <c r="N211" s="166"/>
      <c r="P211" s="5" t="s">
        <v>1330</v>
      </c>
      <c r="Q211" s="5" t="s">
        <v>1182</v>
      </c>
      <c r="R211" s="5" t="s">
        <v>1331</v>
      </c>
    </row>
    <row r="212" spans="1:26" x14ac:dyDescent="0.25">
      <c r="A212" s="317" t="s">
        <v>394</v>
      </c>
      <c r="B212" s="317" t="s">
        <v>6</v>
      </c>
      <c r="C212" s="265">
        <v>2002</v>
      </c>
      <c r="D212" s="11" t="s">
        <v>413</v>
      </c>
      <c r="E212" s="13" t="s">
        <v>1333</v>
      </c>
      <c r="F212" s="4" t="s">
        <v>415</v>
      </c>
      <c r="G212" s="4" t="s">
        <v>414</v>
      </c>
      <c r="H212" s="3">
        <v>0</v>
      </c>
      <c r="J212" s="3" t="s">
        <v>8</v>
      </c>
      <c r="K212" s="3" t="s">
        <v>1522</v>
      </c>
      <c r="L212" s="166" t="s">
        <v>1574</v>
      </c>
      <c r="M212" s="166" t="s">
        <v>1609</v>
      </c>
      <c r="N212" s="166"/>
      <c r="P212" s="5" t="s">
        <v>1332</v>
      </c>
    </row>
    <row r="213" spans="1:26" x14ac:dyDescent="0.25">
      <c r="A213" s="317" t="s">
        <v>394</v>
      </c>
      <c r="B213" s="317" t="s">
        <v>6</v>
      </c>
      <c r="C213" s="265">
        <v>2012</v>
      </c>
      <c r="D213" s="11" t="s">
        <v>416</v>
      </c>
      <c r="E213" s="13" t="s">
        <v>1334</v>
      </c>
      <c r="F213" s="4" t="s">
        <v>417</v>
      </c>
      <c r="G213" s="4" t="s">
        <v>418</v>
      </c>
      <c r="H213" s="3">
        <v>67</v>
      </c>
      <c r="J213" s="3" t="s">
        <v>8</v>
      </c>
      <c r="K213" s="3" t="s">
        <v>1522</v>
      </c>
      <c r="L213" s="166" t="s">
        <v>1574</v>
      </c>
      <c r="M213" s="166" t="s">
        <v>1609</v>
      </c>
      <c r="N213" s="166"/>
      <c r="P213" s="5" t="s">
        <v>1335</v>
      </c>
      <c r="Q213" s="5" t="s">
        <v>1336</v>
      </c>
    </row>
    <row r="214" spans="1:26" x14ac:dyDescent="0.25">
      <c r="A214" s="317" t="s">
        <v>394</v>
      </c>
      <c r="B214" s="317" t="s">
        <v>6</v>
      </c>
      <c r="C214" s="265">
        <v>2015</v>
      </c>
      <c r="D214" s="11" t="s">
        <v>419</v>
      </c>
      <c r="E214" s="13" t="s">
        <v>1343</v>
      </c>
      <c r="F214" s="4" t="s">
        <v>420</v>
      </c>
      <c r="G214" s="4" t="s">
        <v>421</v>
      </c>
      <c r="H214" s="3">
        <v>0</v>
      </c>
      <c r="J214" s="3" t="s">
        <v>8</v>
      </c>
      <c r="K214" s="3" t="s">
        <v>1522</v>
      </c>
      <c r="L214" s="166" t="s">
        <v>1574</v>
      </c>
      <c r="M214" s="166" t="s">
        <v>1609</v>
      </c>
      <c r="N214" s="166"/>
      <c r="P214" s="5" t="s">
        <v>1337</v>
      </c>
      <c r="Q214" s="5" t="s">
        <v>1338</v>
      </c>
      <c r="R214" s="5" t="s">
        <v>1339</v>
      </c>
      <c r="S214" s="5" t="s">
        <v>1340</v>
      </c>
      <c r="T214" s="5" t="s">
        <v>1341</v>
      </c>
      <c r="U214" s="5" t="s">
        <v>1342</v>
      </c>
    </row>
    <row r="215" spans="1:26" x14ac:dyDescent="0.25">
      <c r="A215" s="317" t="s">
        <v>394</v>
      </c>
      <c r="B215" s="317" t="s">
        <v>6</v>
      </c>
      <c r="C215" s="265">
        <v>2015</v>
      </c>
      <c r="D215" s="11" t="s">
        <v>422</v>
      </c>
      <c r="E215" s="13" t="s">
        <v>1345</v>
      </c>
      <c r="F215" s="4" t="s">
        <v>424</v>
      </c>
      <c r="G215" s="4" t="s">
        <v>423</v>
      </c>
      <c r="H215" s="3">
        <v>1</v>
      </c>
      <c r="J215" s="3" t="s">
        <v>8</v>
      </c>
      <c r="K215" s="3" t="s">
        <v>1522</v>
      </c>
      <c r="L215" s="166" t="s">
        <v>1574</v>
      </c>
      <c r="M215" s="166" t="s">
        <v>1609</v>
      </c>
      <c r="N215" s="166"/>
      <c r="P215" s="5" t="s">
        <v>1344</v>
      </c>
    </row>
    <row r="216" spans="1:26" x14ac:dyDescent="0.25">
      <c r="A216" s="317" t="s">
        <v>394</v>
      </c>
      <c r="B216" s="317" t="s">
        <v>6</v>
      </c>
      <c r="C216" s="265">
        <v>2013</v>
      </c>
      <c r="D216" s="11" t="s">
        <v>425</v>
      </c>
      <c r="E216" s="3" t="s">
        <v>762</v>
      </c>
      <c r="F216" s="4" t="s">
        <v>399</v>
      </c>
      <c r="G216" s="4" t="s">
        <v>426</v>
      </c>
      <c r="H216" s="3">
        <v>3</v>
      </c>
      <c r="J216" s="3" t="s">
        <v>8</v>
      </c>
      <c r="K216" s="3" t="s">
        <v>1522</v>
      </c>
      <c r="L216" s="166" t="s">
        <v>1574</v>
      </c>
      <c r="M216" s="166" t="s">
        <v>1609</v>
      </c>
      <c r="N216" s="166"/>
      <c r="P216" s="5" t="s">
        <v>1346</v>
      </c>
      <c r="Q216" s="5" t="s">
        <v>1347</v>
      </c>
    </row>
    <row r="217" spans="1:26" x14ac:dyDescent="0.25">
      <c r="A217" s="317" t="s">
        <v>427</v>
      </c>
      <c r="B217" s="317" t="s">
        <v>7</v>
      </c>
      <c r="C217" s="265">
        <v>2006</v>
      </c>
      <c r="D217" s="11" t="s">
        <v>428</v>
      </c>
      <c r="E217" s="13" t="s">
        <v>1348</v>
      </c>
      <c r="F217" s="4" t="s">
        <v>429</v>
      </c>
      <c r="G217" s="4" t="s">
        <v>430</v>
      </c>
      <c r="H217" s="3">
        <v>12</v>
      </c>
      <c r="J217" s="3" t="s">
        <v>8</v>
      </c>
      <c r="K217" s="3" t="s">
        <v>1522</v>
      </c>
      <c r="L217" s="166" t="s">
        <v>1574</v>
      </c>
      <c r="M217" s="166" t="s">
        <v>1609</v>
      </c>
      <c r="N217" s="166"/>
      <c r="P217" s="5" t="s">
        <v>1349</v>
      </c>
      <c r="Q217" s="5" t="s">
        <v>1141</v>
      </c>
      <c r="R217" s="5" t="s">
        <v>1140</v>
      </c>
    </row>
    <row r="218" spans="1:26" x14ac:dyDescent="0.25">
      <c r="A218" s="317" t="s">
        <v>427</v>
      </c>
      <c r="B218" s="317" t="s">
        <v>6</v>
      </c>
      <c r="C218" s="265">
        <v>2012</v>
      </c>
      <c r="D218" s="11" t="s">
        <v>431</v>
      </c>
      <c r="E218" s="13" t="s">
        <v>631</v>
      </c>
      <c r="F218" s="4" t="s">
        <v>432</v>
      </c>
      <c r="G218" s="4" t="s">
        <v>433</v>
      </c>
      <c r="H218" s="3">
        <v>13</v>
      </c>
      <c r="I218" s="222">
        <v>30</v>
      </c>
      <c r="J218" s="3" t="s">
        <v>8</v>
      </c>
      <c r="K218" s="3" t="s">
        <v>1522</v>
      </c>
      <c r="L218" s="166" t="s">
        <v>1573</v>
      </c>
      <c r="M218" s="166" t="s">
        <v>1610</v>
      </c>
      <c r="N218" s="166" t="s">
        <v>2080</v>
      </c>
      <c r="O218" s="52" t="s">
        <v>2022</v>
      </c>
      <c r="P218" s="5" t="s">
        <v>672</v>
      </c>
      <c r="Q218" s="5" t="s">
        <v>559</v>
      </c>
      <c r="R218" s="5" t="s">
        <v>671</v>
      </c>
      <c r="S218" s="5" t="s">
        <v>560</v>
      </c>
      <c r="T218" s="5" t="s">
        <v>886</v>
      </c>
    </row>
    <row r="219" spans="1:26" x14ac:dyDescent="0.25">
      <c r="A219" s="317" t="s">
        <v>427</v>
      </c>
      <c r="B219" s="317" t="s">
        <v>7</v>
      </c>
      <c r="C219" s="265">
        <v>2012</v>
      </c>
      <c r="D219" s="11" t="s">
        <v>434</v>
      </c>
      <c r="E219" s="13" t="s">
        <v>1351</v>
      </c>
      <c r="F219" s="4" t="s">
        <v>435</v>
      </c>
      <c r="G219" s="4" t="s">
        <v>437</v>
      </c>
      <c r="H219" s="3">
        <v>24</v>
      </c>
      <c r="I219" s="222">
        <v>83</v>
      </c>
      <c r="J219" s="3" t="s">
        <v>8</v>
      </c>
      <c r="K219" s="3" t="s">
        <v>1522</v>
      </c>
      <c r="L219" s="166" t="s">
        <v>1573</v>
      </c>
      <c r="M219" s="166" t="s">
        <v>1610</v>
      </c>
      <c r="N219" s="166" t="s">
        <v>2080</v>
      </c>
      <c r="O219" s="52" t="s">
        <v>1595</v>
      </c>
      <c r="P219" s="5" t="s">
        <v>670</v>
      </c>
      <c r="Q219" s="5" t="s">
        <v>886</v>
      </c>
      <c r="R219" s="5" t="s">
        <v>559</v>
      </c>
      <c r="S219" s="5" t="s">
        <v>671</v>
      </c>
      <c r="T219" s="5" t="s">
        <v>672</v>
      </c>
      <c r="U219" s="5" t="s">
        <v>560</v>
      </c>
    </row>
    <row r="220" spans="1:26" x14ac:dyDescent="0.25">
      <c r="A220" s="317" t="s">
        <v>427</v>
      </c>
      <c r="B220" s="317" t="s">
        <v>7</v>
      </c>
      <c r="C220" s="265">
        <v>2011</v>
      </c>
      <c r="D220" s="11" t="s">
        <v>436</v>
      </c>
      <c r="E220" s="13" t="s">
        <v>1352</v>
      </c>
      <c r="F220" s="4" t="s">
        <v>438</v>
      </c>
      <c r="G220" s="4" t="s">
        <v>439</v>
      </c>
      <c r="H220" s="3">
        <v>2</v>
      </c>
      <c r="I220" s="222">
        <v>7</v>
      </c>
      <c r="J220" s="3" t="s">
        <v>8</v>
      </c>
      <c r="K220" s="3" t="s">
        <v>1522</v>
      </c>
      <c r="L220" s="166" t="s">
        <v>1573</v>
      </c>
      <c r="M220" s="166" t="s">
        <v>1610</v>
      </c>
      <c r="N220" s="166" t="s">
        <v>2080</v>
      </c>
      <c r="O220" s="52" t="s">
        <v>1597</v>
      </c>
      <c r="P220" s="5" t="s">
        <v>878</v>
      </c>
      <c r="Q220" s="5" t="s">
        <v>880</v>
      </c>
      <c r="R220" s="5" t="s">
        <v>879</v>
      </c>
    </row>
    <row r="221" spans="1:26" x14ac:dyDescent="0.25">
      <c r="A221" s="317" t="s">
        <v>427</v>
      </c>
      <c r="B221" s="317" t="s">
        <v>7</v>
      </c>
      <c r="C221" s="265">
        <v>2012</v>
      </c>
      <c r="D221" s="11" t="s">
        <v>2147</v>
      </c>
      <c r="E221" s="3" t="s">
        <v>682</v>
      </c>
      <c r="F221" s="4" t="s">
        <v>440</v>
      </c>
      <c r="G221" s="4" t="s">
        <v>2808</v>
      </c>
      <c r="H221" s="3">
        <v>15</v>
      </c>
      <c r="I221" s="222">
        <v>42</v>
      </c>
      <c r="J221" s="3" t="s">
        <v>8</v>
      </c>
      <c r="K221" s="3" t="s">
        <v>1522</v>
      </c>
      <c r="L221" s="166" t="s">
        <v>1573</v>
      </c>
      <c r="M221" s="166" t="s">
        <v>1610</v>
      </c>
      <c r="N221" s="166" t="s">
        <v>2080</v>
      </c>
      <c r="O221" s="52" t="s">
        <v>1589</v>
      </c>
      <c r="P221" s="5" t="s">
        <v>689</v>
      </c>
    </row>
    <row r="222" spans="1:26" x14ac:dyDescent="0.25">
      <c r="A222" s="317" t="s">
        <v>427</v>
      </c>
      <c r="B222" s="317" t="s">
        <v>7</v>
      </c>
      <c r="C222" s="265">
        <v>2007</v>
      </c>
      <c r="D222" s="11" t="s">
        <v>441</v>
      </c>
      <c r="E222" s="13" t="s">
        <v>1353</v>
      </c>
      <c r="F222" s="4" t="s">
        <v>442</v>
      </c>
      <c r="G222" s="4"/>
      <c r="H222" s="3">
        <v>15</v>
      </c>
      <c r="J222" s="3" t="s">
        <v>8</v>
      </c>
      <c r="K222" s="3" t="s">
        <v>1522</v>
      </c>
      <c r="L222" s="166" t="s">
        <v>1574</v>
      </c>
      <c r="M222" s="166" t="s">
        <v>1609</v>
      </c>
      <c r="N222" s="166"/>
      <c r="P222" s="5" t="s">
        <v>1354</v>
      </c>
      <c r="Q222" s="5" t="s">
        <v>1004</v>
      </c>
    </row>
    <row r="223" spans="1:26" x14ac:dyDescent="0.25">
      <c r="A223" s="317" t="s">
        <v>427</v>
      </c>
      <c r="B223" s="317" t="s">
        <v>7</v>
      </c>
      <c r="C223" s="265">
        <v>2009</v>
      </c>
      <c r="D223" s="11" t="s">
        <v>443</v>
      </c>
      <c r="E223" s="3" t="s">
        <v>761</v>
      </c>
      <c r="F223" s="4" t="s">
        <v>444</v>
      </c>
      <c r="G223" s="4" t="s">
        <v>445</v>
      </c>
      <c r="H223" s="3">
        <v>7</v>
      </c>
      <c r="J223" s="3" t="s">
        <v>8</v>
      </c>
      <c r="K223" s="3" t="s">
        <v>1522</v>
      </c>
      <c r="L223" s="166" t="s">
        <v>1573</v>
      </c>
      <c r="M223" s="166" t="s">
        <v>1609</v>
      </c>
      <c r="N223" s="166"/>
      <c r="O223" s="52" t="s">
        <v>2041</v>
      </c>
      <c r="P223" s="5" t="s">
        <v>1355</v>
      </c>
      <c r="Q223" s="5" t="s">
        <v>1356</v>
      </c>
      <c r="Z223" s="5">
        <v>173</v>
      </c>
    </row>
    <row r="224" spans="1:26" x14ac:dyDescent="0.25">
      <c r="A224" s="317" t="s">
        <v>427</v>
      </c>
      <c r="B224" s="317" t="s">
        <v>6</v>
      </c>
      <c r="C224" s="265">
        <v>2013</v>
      </c>
      <c r="D224" s="11" t="s">
        <v>446</v>
      </c>
      <c r="E224" s="3" t="s">
        <v>682</v>
      </c>
      <c r="F224" s="4" t="s">
        <v>440</v>
      </c>
      <c r="G224" s="4" t="s">
        <v>447</v>
      </c>
      <c r="H224" s="3">
        <v>12</v>
      </c>
      <c r="I224" s="222">
        <v>27</v>
      </c>
      <c r="J224" s="3" t="s">
        <v>8</v>
      </c>
      <c r="K224" s="3" t="s">
        <v>1522</v>
      </c>
      <c r="L224" s="166" t="s">
        <v>1573</v>
      </c>
      <c r="M224" s="166" t="s">
        <v>1610</v>
      </c>
      <c r="N224" s="166" t="s">
        <v>2080</v>
      </c>
      <c r="O224" s="52" t="s">
        <v>1859</v>
      </c>
      <c r="P224" s="5" t="s">
        <v>906</v>
      </c>
      <c r="Q224" s="5" t="s">
        <v>907</v>
      </c>
      <c r="R224" s="5" t="s">
        <v>908</v>
      </c>
      <c r="S224" s="5" t="s">
        <v>909</v>
      </c>
    </row>
    <row r="225" spans="1:26" x14ac:dyDescent="0.25">
      <c r="A225" s="317" t="s">
        <v>427</v>
      </c>
      <c r="B225" s="317" t="s">
        <v>6</v>
      </c>
      <c r="C225" s="265">
        <v>2014</v>
      </c>
      <c r="D225" s="11" t="s">
        <v>448</v>
      </c>
      <c r="E225" s="3" t="s">
        <v>682</v>
      </c>
      <c r="F225" s="4" t="s">
        <v>440</v>
      </c>
      <c r="G225" s="4" t="s">
        <v>449</v>
      </c>
      <c r="H225" s="3">
        <v>28</v>
      </c>
      <c r="I225" s="222">
        <v>68</v>
      </c>
      <c r="J225" s="3" t="s">
        <v>8</v>
      </c>
      <c r="K225" s="3" t="s">
        <v>1522</v>
      </c>
      <c r="L225" s="166" t="s">
        <v>1573</v>
      </c>
      <c r="M225" s="166" t="s">
        <v>1610</v>
      </c>
      <c r="N225" s="166" t="s">
        <v>2080</v>
      </c>
      <c r="O225" s="52" t="s">
        <v>2024</v>
      </c>
      <c r="P225" s="5" t="s">
        <v>1093</v>
      </c>
      <c r="Q225" s="5" t="s">
        <v>1357</v>
      </c>
      <c r="R225" s="5" t="s">
        <v>559</v>
      </c>
      <c r="S225" s="5" t="s">
        <v>560</v>
      </c>
    </row>
    <row r="226" spans="1:26" x14ac:dyDescent="0.25">
      <c r="A226" s="317" t="s">
        <v>427</v>
      </c>
      <c r="B226" s="317" t="s">
        <v>7</v>
      </c>
      <c r="C226" s="265">
        <v>2006</v>
      </c>
      <c r="D226" s="11" t="s">
        <v>450</v>
      </c>
      <c r="E226" s="3" t="s">
        <v>761</v>
      </c>
      <c r="F226" s="4" t="s">
        <v>444</v>
      </c>
      <c r="G226" s="4" t="s">
        <v>451</v>
      </c>
      <c r="H226" s="3">
        <v>70</v>
      </c>
      <c r="J226" s="3" t="s">
        <v>8</v>
      </c>
      <c r="K226" s="3" t="s">
        <v>1522</v>
      </c>
      <c r="L226" s="166" t="s">
        <v>1573</v>
      </c>
      <c r="M226" s="166" t="s">
        <v>1609</v>
      </c>
      <c r="N226" s="166"/>
      <c r="O226" s="52" t="s">
        <v>2042</v>
      </c>
      <c r="P226" s="5" t="s">
        <v>1140</v>
      </c>
      <c r="Q226" s="5" t="s">
        <v>1141</v>
      </c>
      <c r="R226" s="5" t="s">
        <v>1358</v>
      </c>
    </row>
    <row r="227" spans="1:26" x14ac:dyDescent="0.25">
      <c r="A227" s="317" t="s">
        <v>427</v>
      </c>
      <c r="B227" s="317" t="s">
        <v>23</v>
      </c>
      <c r="C227" s="265">
        <v>2012</v>
      </c>
      <c r="D227" s="11" t="s">
        <v>452</v>
      </c>
      <c r="E227" s="13" t="s">
        <v>1359</v>
      </c>
      <c r="F227" s="4" t="s">
        <v>453</v>
      </c>
      <c r="G227" s="4" t="s">
        <v>454</v>
      </c>
      <c r="H227" s="3">
        <v>3</v>
      </c>
      <c r="J227" s="3" t="s">
        <v>8</v>
      </c>
      <c r="K227" s="3" t="s">
        <v>1522</v>
      </c>
      <c r="L227" s="166" t="s">
        <v>1573</v>
      </c>
      <c r="M227" s="166" t="s">
        <v>1609</v>
      </c>
      <c r="N227" s="166"/>
      <c r="O227" s="52" t="s">
        <v>2043</v>
      </c>
      <c r="P227" s="5" t="s">
        <v>1129</v>
      </c>
      <c r="Q227" s="5" t="s">
        <v>1360</v>
      </c>
      <c r="R227" s="5" t="s">
        <v>1021</v>
      </c>
      <c r="S227" s="5" t="s">
        <v>1023</v>
      </c>
      <c r="W227" s="5" t="s">
        <v>1366</v>
      </c>
      <c r="X227" s="5" t="s">
        <v>1140</v>
      </c>
      <c r="Y227" s="5" t="s">
        <v>1367</v>
      </c>
    </row>
    <row r="228" spans="1:26" x14ac:dyDescent="0.25">
      <c r="A228" s="317" t="s">
        <v>427</v>
      </c>
      <c r="B228" s="317" t="s">
        <v>6</v>
      </c>
      <c r="C228" s="265">
        <v>2020</v>
      </c>
      <c r="D228" s="11" t="s">
        <v>455</v>
      </c>
      <c r="E228" s="3" t="s">
        <v>682</v>
      </c>
      <c r="F228" s="4" t="s">
        <v>456</v>
      </c>
      <c r="G228" s="4" t="s">
        <v>457</v>
      </c>
      <c r="H228" s="3">
        <v>0</v>
      </c>
      <c r="J228" s="3" t="s">
        <v>8</v>
      </c>
      <c r="K228" s="3" t="s">
        <v>1522</v>
      </c>
      <c r="L228" s="166" t="s">
        <v>1573</v>
      </c>
      <c r="M228" s="166" t="s">
        <v>1609</v>
      </c>
      <c r="N228" s="166"/>
      <c r="O228" s="52" t="s">
        <v>1576</v>
      </c>
      <c r="P228" s="5" t="s">
        <v>1361</v>
      </c>
      <c r="Q228" s="5" t="s">
        <v>1362</v>
      </c>
      <c r="R228" s="5" t="s">
        <v>1363</v>
      </c>
      <c r="S228" s="5" t="s">
        <v>678</v>
      </c>
      <c r="T228" s="5" t="s">
        <v>1364</v>
      </c>
      <c r="U228" s="5" t="s">
        <v>1365</v>
      </c>
      <c r="V228" s="5" t="s">
        <v>677</v>
      </c>
    </row>
    <row r="229" spans="1:26" x14ac:dyDescent="0.25">
      <c r="A229" s="317" t="s">
        <v>427</v>
      </c>
      <c r="B229" s="317" t="s">
        <v>7</v>
      </c>
      <c r="C229" s="265">
        <v>2008</v>
      </c>
      <c r="D229" s="11" t="s">
        <v>458</v>
      </c>
      <c r="E229" s="3" t="s">
        <v>761</v>
      </c>
      <c r="F229" s="4" t="s">
        <v>444</v>
      </c>
      <c r="G229" s="4" t="s">
        <v>459</v>
      </c>
      <c r="H229" s="3">
        <v>30</v>
      </c>
      <c r="I229" s="222">
        <v>97</v>
      </c>
      <c r="J229" s="3" t="s">
        <v>8</v>
      </c>
      <c r="K229" s="3" t="s">
        <v>1522</v>
      </c>
      <c r="L229" s="166" t="s">
        <v>1573</v>
      </c>
      <c r="M229" s="166" t="s">
        <v>1610</v>
      </c>
      <c r="N229" s="166" t="s">
        <v>2080</v>
      </c>
      <c r="O229" s="52" t="s">
        <v>2030</v>
      </c>
      <c r="P229" s="5" t="s">
        <v>837</v>
      </c>
      <c r="Q229" s="5" t="s">
        <v>1368</v>
      </c>
      <c r="R229" s="5" t="s">
        <v>840</v>
      </c>
    </row>
    <row r="230" spans="1:26" x14ac:dyDescent="0.25">
      <c r="A230" s="317" t="s">
        <v>427</v>
      </c>
      <c r="B230" s="317" t="s">
        <v>7</v>
      </c>
      <c r="C230" s="265">
        <v>2013</v>
      </c>
      <c r="D230" s="11" t="s">
        <v>460</v>
      </c>
      <c r="E230" s="13" t="s">
        <v>726</v>
      </c>
      <c r="F230" s="4" t="s">
        <v>461</v>
      </c>
      <c r="G230" s="4" t="s">
        <v>462</v>
      </c>
      <c r="H230" s="3">
        <v>7</v>
      </c>
      <c r="J230" s="3" t="s">
        <v>8</v>
      </c>
      <c r="K230" s="3" t="s">
        <v>1522</v>
      </c>
      <c r="L230" s="166" t="s">
        <v>1573</v>
      </c>
      <c r="M230" s="166" t="s">
        <v>1609</v>
      </c>
      <c r="N230" s="166"/>
      <c r="O230" s="52" t="s">
        <v>2044</v>
      </c>
      <c r="P230" s="5" t="s">
        <v>1253</v>
      </c>
      <c r="Q230" s="5" t="s">
        <v>1093</v>
      </c>
      <c r="R230" s="5" t="s">
        <v>1369</v>
      </c>
      <c r="S230" s="5" t="s">
        <v>1370</v>
      </c>
    </row>
    <row r="231" spans="1:26" x14ac:dyDescent="0.25">
      <c r="A231" s="317" t="s">
        <v>427</v>
      </c>
      <c r="B231" s="317" t="s">
        <v>6</v>
      </c>
      <c r="C231" s="265">
        <v>2019</v>
      </c>
      <c r="D231" s="11" t="s">
        <v>463</v>
      </c>
      <c r="E231" s="3" t="s">
        <v>682</v>
      </c>
      <c r="F231" s="4" t="s">
        <v>456</v>
      </c>
      <c r="G231" s="4" t="s">
        <v>464</v>
      </c>
      <c r="H231" s="3">
        <v>1</v>
      </c>
      <c r="J231" s="3" t="s">
        <v>8</v>
      </c>
      <c r="K231" s="3" t="s">
        <v>1522</v>
      </c>
      <c r="L231" s="166" t="s">
        <v>1573</v>
      </c>
      <c r="M231" s="166" t="s">
        <v>1609</v>
      </c>
      <c r="N231" s="166"/>
      <c r="O231" s="52" t="s">
        <v>2032</v>
      </c>
      <c r="P231" s="5" t="s">
        <v>688</v>
      </c>
      <c r="Q231" s="5" t="s">
        <v>689</v>
      </c>
    </row>
    <row r="232" spans="1:26" x14ac:dyDescent="0.25">
      <c r="A232" s="317" t="s">
        <v>427</v>
      </c>
      <c r="B232" s="317" t="s">
        <v>7</v>
      </c>
      <c r="C232" s="265">
        <v>2013</v>
      </c>
      <c r="D232" s="11" t="s">
        <v>465</v>
      </c>
      <c r="E232" s="3" t="s">
        <v>761</v>
      </c>
      <c r="F232" s="4" t="s">
        <v>444</v>
      </c>
      <c r="G232" s="4" t="s">
        <v>466</v>
      </c>
      <c r="H232" s="3">
        <v>3</v>
      </c>
      <c r="I232" s="222">
        <v>3</v>
      </c>
      <c r="J232" s="3" t="s">
        <v>8</v>
      </c>
      <c r="K232" s="3" t="s">
        <v>1522</v>
      </c>
      <c r="L232" s="166" t="s">
        <v>1573</v>
      </c>
      <c r="M232" s="166" t="s">
        <v>1610</v>
      </c>
      <c r="N232" s="166" t="s">
        <v>2080</v>
      </c>
      <c r="O232" s="52" t="s">
        <v>2045</v>
      </c>
      <c r="P232" s="5" t="s">
        <v>1371</v>
      </c>
      <c r="Q232" s="5" t="s">
        <v>1372</v>
      </c>
    </row>
    <row r="233" spans="1:26" x14ac:dyDescent="0.25">
      <c r="A233" s="317" t="s">
        <v>427</v>
      </c>
      <c r="B233" s="317" t="s">
        <v>6</v>
      </c>
      <c r="C233" s="265">
        <v>2010</v>
      </c>
      <c r="D233" s="11" t="s">
        <v>467</v>
      </c>
      <c r="E233" s="13" t="s">
        <v>1374</v>
      </c>
      <c r="F233" s="4" t="s">
        <v>468</v>
      </c>
      <c r="G233" s="4" t="s">
        <v>469</v>
      </c>
      <c r="H233" s="3">
        <v>1</v>
      </c>
      <c r="J233" s="3" t="s">
        <v>8</v>
      </c>
      <c r="K233" s="3" t="s">
        <v>1522</v>
      </c>
      <c r="L233" s="166" t="s">
        <v>1573</v>
      </c>
      <c r="M233" s="166" t="s">
        <v>1609</v>
      </c>
      <c r="N233" s="166"/>
      <c r="O233" s="52" t="s">
        <v>1969</v>
      </c>
      <c r="P233" s="5" t="s">
        <v>1109</v>
      </c>
      <c r="Q233" s="5" t="s">
        <v>1373</v>
      </c>
    </row>
    <row r="234" spans="1:26" x14ac:dyDescent="0.25">
      <c r="A234" s="317" t="s">
        <v>427</v>
      </c>
      <c r="B234" s="317" t="s">
        <v>7</v>
      </c>
      <c r="C234" s="265">
        <v>2017</v>
      </c>
      <c r="D234" s="11" t="s">
        <v>470</v>
      </c>
      <c r="E234" s="13" t="s">
        <v>1375</v>
      </c>
      <c r="F234" s="4" t="s">
        <v>471</v>
      </c>
      <c r="G234" s="4" t="s">
        <v>472</v>
      </c>
      <c r="H234" s="3">
        <v>1</v>
      </c>
      <c r="J234" s="3" t="s">
        <v>8</v>
      </c>
      <c r="K234" s="3" t="s">
        <v>1522</v>
      </c>
      <c r="L234" s="166" t="s">
        <v>1574</v>
      </c>
      <c r="M234" s="166" t="s">
        <v>1609</v>
      </c>
      <c r="N234" s="166"/>
      <c r="P234" s="5" t="s">
        <v>1235</v>
      </c>
      <c r="Q234" s="5" t="s">
        <v>1376</v>
      </c>
      <c r="R234" s="5" t="s">
        <v>1377</v>
      </c>
      <c r="S234" s="5" t="s">
        <v>1378</v>
      </c>
      <c r="T234" s="5" t="s">
        <v>1379</v>
      </c>
      <c r="U234" s="5" t="s">
        <v>1237</v>
      </c>
    </row>
    <row r="235" spans="1:26" x14ac:dyDescent="0.25">
      <c r="A235" s="317" t="s">
        <v>427</v>
      </c>
      <c r="B235" s="317" t="s">
        <v>7</v>
      </c>
      <c r="C235" s="265">
        <v>2016</v>
      </c>
      <c r="D235" s="11" t="s">
        <v>473</v>
      </c>
      <c r="E235" s="13" t="s">
        <v>726</v>
      </c>
      <c r="F235" s="4" t="s">
        <v>461</v>
      </c>
      <c r="G235" s="4" t="s">
        <v>474</v>
      </c>
      <c r="H235" s="3">
        <v>13</v>
      </c>
      <c r="I235" s="222">
        <v>32</v>
      </c>
      <c r="J235" s="3" t="s">
        <v>8</v>
      </c>
      <c r="K235" s="3" t="s">
        <v>1522</v>
      </c>
      <c r="L235" s="166" t="s">
        <v>1573</v>
      </c>
      <c r="M235" s="166" t="s">
        <v>1610</v>
      </c>
      <c r="N235" s="166" t="s">
        <v>2080</v>
      </c>
      <c r="O235" s="52" t="s">
        <v>1576</v>
      </c>
      <c r="P235" s="5" t="s">
        <v>677</v>
      </c>
      <c r="Q235" s="5" t="s">
        <v>680</v>
      </c>
      <c r="R235" s="5" t="s">
        <v>681</v>
      </c>
      <c r="S235" s="5" t="s">
        <v>1380</v>
      </c>
      <c r="T235" s="5" t="s">
        <v>1362</v>
      </c>
      <c r="U235" s="5" t="s">
        <v>1381</v>
      </c>
    </row>
    <row r="236" spans="1:26" x14ac:dyDescent="0.25">
      <c r="A236" s="317" t="s">
        <v>427</v>
      </c>
      <c r="B236" s="317" t="s">
        <v>7</v>
      </c>
      <c r="C236" s="265">
        <v>2007</v>
      </c>
      <c r="D236" s="11" t="s">
        <v>475</v>
      </c>
      <c r="E236" s="13" t="s">
        <v>1348</v>
      </c>
      <c r="F236" s="4" t="s">
        <v>429</v>
      </c>
      <c r="G236" s="4" t="s">
        <v>476</v>
      </c>
      <c r="H236" s="3">
        <v>20</v>
      </c>
      <c r="J236" s="3" t="s">
        <v>8</v>
      </c>
      <c r="K236" s="3" t="s">
        <v>1522</v>
      </c>
      <c r="L236" s="166" t="s">
        <v>1574</v>
      </c>
      <c r="M236" s="166" t="s">
        <v>1609</v>
      </c>
      <c r="N236" s="166"/>
      <c r="P236" s="5" t="s">
        <v>1382</v>
      </c>
      <c r="Q236" s="5" t="s">
        <v>1383</v>
      </c>
      <c r="R236" s="5" t="s">
        <v>1384</v>
      </c>
      <c r="S236" s="5" t="s">
        <v>1385</v>
      </c>
      <c r="T236" s="5" t="s">
        <v>1386</v>
      </c>
    </row>
    <row r="237" spans="1:26" x14ac:dyDescent="0.25">
      <c r="A237" s="317" t="s">
        <v>427</v>
      </c>
      <c r="B237" s="317" t="s">
        <v>6</v>
      </c>
      <c r="C237" s="265">
        <v>2013</v>
      </c>
      <c r="D237" s="11" t="s">
        <v>477</v>
      </c>
      <c r="E237" s="3" t="s">
        <v>682</v>
      </c>
      <c r="F237" s="4" t="s">
        <v>440</v>
      </c>
      <c r="G237" s="4" t="s">
        <v>478</v>
      </c>
      <c r="H237" s="3">
        <v>9</v>
      </c>
      <c r="J237" s="3" t="s">
        <v>8</v>
      </c>
      <c r="K237" s="3" t="s">
        <v>1522</v>
      </c>
      <c r="L237" s="166" t="s">
        <v>1574</v>
      </c>
      <c r="M237" s="166" t="s">
        <v>1609</v>
      </c>
      <c r="N237" s="166"/>
      <c r="P237" s="5" t="s">
        <v>1387</v>
      </c>
      <c r="Q237" s="5" t="s">
        <v>1367</v>
      </c>
      <c r="R237" s="5" t="s">
        <v>728</v>
      </c>
    </row>
    <row r="238" spans="1:26" x14ac:dyDescent="0.25">
      <c r="A238" s="317" t="s">
        <v>427</v>
      </c>
      <c r="B238" s="317" t="s">
        <v>7</v>
      </c>
      <c r="C238" s="265">
        <v>2007</v>
      </c>
      <c r="D238" s="11" t="s">
        <v>479</v>
      </c>
      <c r="E238" s="3" t="s">
        <v>761</v>
      </c>
      <c r="F238" s="4" t="s">
        <v>444</v>
      </c>
      <c r="G238" s="4" t="s">
        <v>480</v>
      </c>
      <c r="H238" s="3">
        <v>9</v>
      </c>
      <c r="I238" s="222">
        <v>54</v>
      </c>
      <c r="J238" s="3" t="s">
        <v>8</v>
      </c>
      <c r="K238" s="3" t="s">
        <v>1522</v>
      </c>
      <c r="L238" s="166" t="s">
        <v>1573</v>
      </c>
      <c r="M238" s="166" t="s">
        <v>1610</v>
      </c>
      <c r="N238" s="166" t="s">
        <v>2080</v>
      </c>
      <c r="O238" s="52" t="s">
        <v>1594</v>
      </c>
      <c r="P238" s="5" t="s">
        <v>914</v>
      </c>
      <c r="Z238" s="5">
        <v>158</v>
      </c>
    </row>
    <row r="239" spans="1:26" x14ac:dyDescent="0.25">
      <c r="A239" s="317" t="s">
        <v>427</v>
      </c>
      <c r="B239" s="317" t="s">
        <v>7</v>
      </c>
      <c r="C239" s="265">
        <v>2010</v>
      </c>
      <c r="D239" s="11" t="s">
        <v>481</v>
      </c>
      <c r="E239" s="3" t="s">
        <v>761</v>
      </c>
      <c r="F239" s="4" t="s">
        <v>444</v>
      </c>
      <c r="G239" s="4" t="s">
        <v>482</v>
      </c>
      <c r="H239" s="3">
        <v>28</v>
      </c>
      <c r="I239" s="222">
        <v>28</v>
      </c>
      <c r="J239" s="3" t="s">
        <v>8</v>
      </c>
      <c r="K239" s="3" t="s">
        <v>1522</v>
      </c>
      <c r="L239" s="166" t="s">
        <v>1573</v>
      </c>
      <c r="M239" s="166" t="s">
        <v>1610</v>
      </c>
      <c r="N239" s="166" t="s">
        <v>2080</v>
      </c>
      <c r="O239" s="52" t="s">
        <v>1859</v>
      </c>
      <c r="P239" s="5" t="s">
        <v>906</v>
      </c>
      <c r="Q239" s="5" t="s">
        <v>907</v>
      </c>
      <c r="R239" s="5" t="s">
        <v>908</v>
      </c>
      <c r="S239" s="5" t="s">
        <v>909</v>
      </c>
    </row>
    <row r="240" spans="1:26" x14ac:dyDescent="0.25">
      <c r="A240" s="317" t="s">
        <v>427</v>
      </c>
      <c r="B240" s="317" t="s">
        <v>7</v>
      </c>
      <c r="C240" s="265">
        <v>2017</v>
      </c>
      <c r="D240" s="11" t="s">
        <v>483</v>
      </c>
      <c r="E240" s="13" t="s">
        <v>687</v>
      </c>
      <c r="F240" s="4" t="s">
        <v>484</v>
      </c>
      <c r="G240" s="4" t="s">
        <v>485</v>
      </c>
      <c r="H240" s="3">
        <v>0</v>
      </c>
      <c r="J240" s="3" t="s">
        <v>8</v>
      </c>
      <c r="K240" s="3" t="s">
        <v>1522</v>
      </c>
      <c r="L240" s="166" t="s">
        <v>1573</v>
      </c>
      <c r="M240" s="166" t="s">
        <v>1609</v>
      </c>
      <c r="N240" s="166"/>
      <c r="P240" s="5" t="s">
        <v>1388</v>
      </c>
      <c r="Q240" s="5" t="s">
        <v>1389</v>
      </c>
      <c r="R240" s="5" t="s">
        <v>1390</v>
      </c>
    </row>
    <row r="241" spans="1:26" x14ac:dyDescent="0.25">
      <c r="A241" s="317" t="s">
        <v>427</v>
      </c>
      <c r="B241" s="317" t="s">
        <v>7</v>
      </c>
      <c r="C241" s="265">
        <v>2010</v>
      </c>
      <c r="D241" s="11" t="s">
        <v>486</v>
      </c>
      <c r="E241" s="13" t="s">
        <v>1391</v>
      </c>
      <c r="F241" s="4" t="s">
        <v>487</v>
      </c>
      <c r="G241" s="4" t="s">
        <v>488</v>
      </c>
      <c r="H241" s="3">
        <v>16</v>
      </c>
      <c r="I241" s="222">
        <v>46</v>
      </c>
      <c r="J241" s="3" t="s">
        <v>8</v>
      </c>
      <c r="K241" s="3" t="s">
        <v>1522</v>
      </c>
      <c r="L241" s="166" t="s">
        <v>1573</v>
      </c>
      <c r="M241" s="166" t="s">
        <v>1610</v>
      </c>
      <c r="N241" s="166" t="s">
        <v>2080</v>
      </c>
      <c r="O241" s="52" t="s">
        <v>2024</v>
      </c>
      <c r="P241" s="5" t="s">
        <v>1093</v>
      </c>
      <c r="Q241" s="5" t="s">
        <v>1357</v>
      </c>
      <c r="R241" s="5" t="s">
        <v>559</v>
      </c>
      <c r="S241" s="5" t="s">
        <v>560</v>
      </c>
    </row>
    <row r="242" spans="1:26" x14ac:dyDescent="0.25">
      <c r="A242" s="317" t="s">
        <v>427</v>
      </c>
      <c r="B242" s="317" t="s">
        <v>7</v>
      </c>
      <c r="C242" s="265">
        <v>2019</v>
      </c>
      <c r="D242" s="11" t="s">
        <v>489</v>
      </c>
      <c r="E242" s="13" t="s">
        <v>1393</v>
      </c>
      <c r="F242" s="4" t="s">
        <v>490</v>
      </c>
      <c r="G242" s="4" t="s">
        <v>491</v>
      </c>
      <c r="H242" s="3">
        <v>0</v>
      </c>
      <c r="J242" s="3" t="s">
        <v>8</v>
      </c>
      <c r="K242" s="3" t="s">
        <v>1522</v>
      </c>
      <c r="L242" s="166" t="s">
        <v>1573</v>
      </c>
      <c r="M242" s="166" t="s">
        <v>1609</v>
      </c>
      <c r="N242" s="166"/>
      <c r="O242" s="52" t="s">
        <v>2046</v>
      </c>
      <c r="P242" s="5" t="s">
        <v>1392</v>
      </c>
      <c r="Q242" s="5" t="s">
        <v>1394</v>
      </c>
    </row>
    <row r="243" spans="1:26" x14ac:dyDescent="0.25">
      <c r="A243" s="317" t="s">
        <v>427</v>
      </c>
      <c r="B243" s="317" t="s">
        <v>7</v>
      </c>
      <c r="C243" s="265">
        <v>2012</v>
      </c>
      <c r="D243" s="11" t="s">
        <v>492</v>
      </c>
      <c r="E243" s="13" t="s">
        <v>1395</v>
      </c>
      <c r="F243" s="4" t="s">
        <v>493</v>
      </c>
      <c r="G243" s="4" t="s">
        <v>494</v>
      </c>
      <c r="H243" s="3">
        <v>0</v>
      </c>
      <c r="I243" s="222">
        <v>1</v>
      </c>
      <c r="J243" s="3" t="s">
        <v>8</v>
      </c>
      <c r="K243" s="3" t="s">
        <v>1522</v>
      </c>
      <c r="L243" s="166" t="s">
        <v>1573</v>
      </c>
      <c r="M243" s="166" t="s">
        <v>1610</v>
      </c>
      <c r="N243" s="166" t="s">
        <v>2080</v>
      </c>
      <c r="O243" s="52" t="s">
        <v>2047</v>
      </c>
      <c r="P243" s="5" t="s">
        <v>1396</v>
      </c>
      <c r="Q243" s="5" t="s">
        <v>1397</v>
      </c>
      <c r="R243" s="5" t="s">
        <v>1398</v>
      </c>
    </row>
    <row r="244" spans="1:26" x14ac:dyDescent="0.25">
      <c r="A244" s="317" t="s">
        <v>427</v>
      </c>
      <c r="B244" s="317" t="s">
        <v>6</v>
      </c>
      <c r="C244" s="265">
        <v>2017</v>
      </c>
      <c r="D244" s="11" t="s">
        <v>495</v>
      </c>
      <c r="E244" s="3" t="s">
        <v>682</v>
      </c>
      <c r="F244" s="4" t="s">
        <v>440</v>
      </c>
      <c r="G244" s="4" t="s">
        <v>496</v>
      </c>
      <c r="H244" s="3">
        <v>5</v>
      </c>
      <c r="J244" s="3" t="s">
        <v>8</v>
      </c>
      <c r="K244" s="3" t="s">
        <v>1522</v>
      </c>
      <c r="L244" s="166" t="s">
        <v>1573</v>
      </c>
      <c r="M244" s="166" t="s">
        <v>1609</v>
      </c>
      <c r="N244" s="166"/>
      <c r="O244" s="52" t="s">
        <v>1576</v>
      </c>
      <c r="P244" s="5" t="s">
        <v>677</v>
      </c>
      <c r="Q244" s="5" t="s">
        <v>678</v>
      </c>
      <c r="R244" s="5" t="s">
        <v>680</v>
      </c>
      <c r="S244" s="5" t="s">
        <v>681</v>
      </c>
    </row>
    <row r="245" spans="1:26" x14ac:dyDescent="0.25">
      <c r="A245" s="317" t="s">
        <v>427</v>
      </c>
      <c r="B245" s="317" t="s">
        <v>7</v>
      </c>
      <c r="C245" s="265">
        <v>2010</v>
      </c>
      <c r="D245" s="11" t="s">
        <v>497</v>
      </c>
      <c r="E245" s="13" t="s">
        <v>1352</v>
      </c>
      <c r="F245" s="4" t="s">
        <v>438</v>
      </c>
      <c r="G245" s="4" t="s">
        <v>498</v>
      </c>
      <c r="H245" s="3">
        <v>8</v>
      </c>
      <c r="J245" s="3" t="s">
        <v>8</v>
      </c>
      <c r="K245" s="3" t="s">
        <v>1522</v>
      </c>
      <c r="L245" s="166" t="s">
        <v>1573</v>
      </c>
      <c r="M245" s="166" t="s">
        <v>1609</v>
      </c>
      <c r="N245" s="166"/>
      <c r="O245" s="52" t="s">
        <v>1859</v>
      </c>
      <c r="P245" s="5" t="s">
        <v>1399</v>
      </c>
      <c r="Q245" s="5" t="s">
        <v>906</v>
      </c>
      <c r="R245" s="5" t="s">
        <v>909</v>
      </c>
    </row>
    <row r="246" spans="1:26" x14ac:dyDescent="0.25">
      <c r="A246" s="317" t="s">
        <v>427</v>
      </c>
      <c r="B246" s="317" t="s">
        <v>7</v>
      </c>
      <c r="C246" s="265">
        <v>2011</v>
      </c>
      <c r="D246" s="11" t="s">
        <v>499</v>
      </c>
      <c r="E246" s="13" t="s">
        <v>726</v>
      </c>
      <c r="F246" s="4" t="s">
        <v>461</v>
      </c>
      <c r="G246" s="4" t="s">
        <v>500</v>
      </c>
      <c r="H246" s="3">
        <v>7</v>
      </c>
      <c r="I246" s="222">
        <v>31</v>
      </c>
      <c r="J246" s="3" t="s">
        <v>8</v>
      </c>
      <c r="K246" s="3" t="s">
        <v>1522</v>
      </c>
      <c r="L246" s="166" t="s">
        <v>1573</v>
      </c>
      <c r="M246" s="166" t="s">
        <v>1610</v>
      </c>
      <c r="N246" s="166" t="s">
        <v>2080</v>
      </c>
      <c r="O246" s="52" t="s">
        <v>2024</v>
      </c>
      <c r="P246" s="5" t="s">
        <v>1400</v>
      </c>
      <c r="Q246" s="5" t="s">
        <v>1357</v>
      </c>
      <c r="R246" s="5" t="s">
        <v>1093</v>
      </c>
    </row>
    <row r="247" spans="1:26" x14ac:dyDescent="0.25">
      <c r="A247" s="317" t="s">
        <v>427</v>
      </c>
      <c r="B247" s="317" t="s">
        <v>23</v>
      </c>
      <c r="C247" s="265">
        <v>2006</v>
      </c>
      <c r="D247" s="11" t="s">
        <v>501</v>
      </c>
      <c r="E247" s="13" t="s">
        <v>1402</v>
      </c>
      <c r="F247" s="4" t="s">
        <v>502</v>
      </c>
      <c r="G247" s="4" t="s">
        <v>503</v>
      </c>
      <c r="H247" s="3">
        <v>1</v>
      </c>
      <c r="J247" s="3" t="s">
        <v>8</v>
      </c>
      <c r="K247" s="3" t="s">
        <v>1522</v>
      </c>
      <c r="L247" s="166" t="s">
        <v>1574</v>
      </c>
      <c r="M247" s="166" t="s">
        <v>1609</v>
      </c>
      <c r="N247" s="166"/>
      <c r="P247" s="5" t="s">
        <v>1401</v>
      </c>
      <c r="Q247" s="5" t="s">
        <v>1403</v>
      </c>
    </row>
    <row r="248" spans="1:26" x14ac:dyDescent="0.25">
      <c r="A248" s="317" t="s">
        <v>427</v>
      </c>
      <c r="B248" s="317" t="s">
        <v>7</v>
      </c>
      <c r="C248" s="265">
        <v>2020</v>
      </c>
      <c r="D248" s="11" t="s">
        <v>504</v>
      </c>
      <c r="E248" s="13" t="s">
        <v>726</v>
      </c>
      <c r="F248" s="4" t="s">
        <v>461</v>
      </c>
      <c r="G248" s="4" t="s">
        <v>505</v>
      </c>
      <c r="H248" s="3">
        <v>1</v>
      </c>
      <c r="J248" s="3" t="s">
        <v>8</v>
      </c>
      <c r="K248" s="3" t="s">
        <v>1522</v>
      </c>
      <c r="L248" s="166" t="s">
        <v>1573</v>
      </c>
      <c r="M248" s="166" t="s">
        <v>1610</v>
      </c>
      <c r="N248" s="166" t="s">
        <v>2080</v>
      </c>
      <c r="O248" s="52" t="s">
        <v>3295</v>
      </c>
      <c r="P248" s="5" t="s">
        <v>1404</v>
      </c>
      <c r="Q248" s="5" t="s">
        <v>1405</v>
      </c>
      <c r="R248" s="5" t="s">
        <v>1389</v>
      </c>
      <c r="S248" s="5" t="s">
        <v>1406</v>
      </c>
    </row>
    <row r="249" spans="1:26" x14ac:dyDescent="0.25">
      <c r="A249" s="317" t="s">
        <v>427</v>
      </c>
      <c r="B249" s="317" t="s">
        <v>7</v>
      </c>
      <c r="C249" s="265">
        <v>2009</v>
      </c>
      <c r="D249" s="11" t="s">
        <v>506</v>
      </c>
      <c r="E249" s="13" t="s">
        <v>507</v>
      </c>
      <c r="F249" s="4" t="s">
        <v>507</v>
      </c>
      <c r="G249" s="4" t="s">
        <v>508</v>
      </c>
      <c r="H249" s="3">
        <v>10</v>
      </c>
      <c r="J249" s="3" t="s">
        <v>8</v>
      </c>
      <c r="K249" s="3" t="s">
        <v>1522</v>
      </c>
      <c r="L249" s="166" t="s">
        <v>1573</v>
      </c>
      <c r="M249" s="166" t="s">
        <v>1609</v>
      </c>
      <c r="N249" s="166"/>
      <c r="O249" s="52" t="s">
        <v>1595</v>
      </c>
      <c r="P249" s="5" t="s">
        <v>670</v>
      </c>
      <c r="Q249" s="5" t="s">
        <v>671</v>
      </c>
      <c r="R249" s="5" t="s">
        <v>672</v>
      </c>
      <c r="S249" s="5" t="s">
        <v>560</v>
      </c>
      <c r="T249" s="5" t="s">
        <v>559</v>
      </c>
      <c r="W249" s="5" t="s">
        <v>1411</v>
      </c>
    </row>
    <row r="250" spans="1:26" x14ac:dyDescent="0.25">
      <c r="A250" s="317" t="s">
        <v>427</v>
      </c>
      <c r="B250" s="317" t="s">
        <v>7</v>
      </c>
      <c r="C250" s="265">
        <v>2012</v>
      </c>
      <c r="D250" s="11" t="s">
        <v>509</v>
      </c>
      <c r="E250" s="13" t="s">
        <v>1407</v>
      </c>
      <c r="F250" s="4" t="s">
        <v>510</v>
      </c>
      <c r="G250" s="4" t="s">
        <v>511</v>
      </c>
      <c r="H250" s="3">
        <v>12</v>
      </c>
      <c r="J250" s="3" t="s">
        <v>8</v>
      </c>
      <c r="K250" s="3" t="s">
        <v>1522</v>
      </c>
      <c r="L250" s="166" t="s">
        <v>1573</v>
      </c>
      <c r="M250" s="166" t="s">
        <v>1609</v>
      </c>
      <c r="N250" s="166"/>
      <c r="O250" s="52" t="s">
        <v>2048</v>
      </c>
      <c r="P250" s="5" t="s">
        <v>1408</v>
      </c>
      <c r="Q250" s="5" t="s">
        <v>994</v>
      </c>
      <c r="R250" s="5" t="s">
        <v>670</v>
      </c>
      <c r="S250" s="5" t="s">
        <v>1409</v>
      </c>
      <c r="T250" s="5" t="s">
        <v>1410</v>
      </c>
      <c r="U250" s="5" t="s">
        <v>886</v>
      </c>
      <c r="V250" s="5" t="s">
        <v>671</v>
      </c>
    </row>
    <row r="251" spans="1:26" x14ac:dyDescent="0.25">
      <c r="A251" s="317" t="s">
        <v>427</v>
      </c>
      <c r="B251" s="317" t="s">
        <v>7</v>
      </c>
      <c r="C251" s="265">
        <v>2017</v>
      </c>
      <c r="D251" s="11" t="s">
        <v>512</v>
      </c>
      <c r="E251" s="13" t="s">
        <v>1352</v>
      </c>
      <c r="F251" s="4" t="s">
        <v>438</v>
      </c>
      <c r="G251" s="4" t="s">
        <v>513</v>
      </c>
      <c r="H251" s="3">
        <v>2</v>
      </c>
      <c r="I251" s="222">
        <v>4</v>
      </c>
      <c r="J251" s="3" t="s">
        <v>8</v>
      </c>
      <c r="K251" s="3" t="s">
        <v>1522</v>
      </c>
      <c r="L251" s="166" t="s">
        <v>1573</v>
      </c>
      <c r="M251" s="166" t="s">
        <v>1610</v>
      </c>
      <c r="N251" s="166" t="s">
        <v>2080</v>
      </c>
      <c r="O251" s="52" t="s">
        <v>2049</v>
      </c>
      <c r="P251" s="5" t="s">
        <v>1412</v>
      </c>
    </row>
    <row r="252" spans="1:26" x14ac:dyDescent="0.25">
      <c r="A252" s="317" t="s">
        <v>427</v>
      </c>
      <c r="B252" s="317" t="s">
        <v>7</v>
      </c>
      <c r="C252" s="265">
        <v>2009</v>
      </c>
      <c r="D252" s="11" t="s">
        <v>514</v>
      </c>
      <c r="E252" s="13" t="s">
        <v>726</v>
      </c>
      <c r="F252" s="4" t="s">
        <v>461</v>
      </c>
      <c r="G252" s="4" t="s">
        <v>515</v>
      </c>
      <c r="H252" s="3">
        <v>13</v>
      </c>
      <c r="I252" s="222">
        <v>27</v>
      </c>
      <c r="J252" s="3" t="s">
        <v>8</v>
      </c>
      <c r="K252" s="3" t="s">
        <v>1522</v>
      </c>
      <c r="L252" s="166" t="s">
        <v>1573</v>
      </c>
      <c r="M252" s="166" t="s">
        <v>1610</v>
      </c>
      <c r="N252" s="166" t="s">
        <v>2080</v>
      </c>
      <c r="O252" s="52" t="s">
        <v>2256</v>
      </c>
      <c r="P252" s="5" t="s">
        <v>1406</v>
      </c>
      <c r="Q252" s="5" t="s">
        <v>946</v>
      </c>
      <c r="R252" s="5" t="s">
        <v>1389</v>
      </c>
      <c r="S252" s="5" t="s">
        <v>1413</v>
      </c>
    </row>
    <row r="253" spans="1:26" x14ac:dyDescent="0.25">
      <c r="A253" s="317" t="s">
        <v>427</v>
      </c>
      <c r="B253" s="317" t="s">
        <v>7</v>
      </c>
      <c r="C253" s="265">
        <v>2010</v>
      </c>
      <c r="D253" s="11" t="s">
        <v>516</v>
      </c>
      <c r="E253" s="3" t="s">
        <v>761</v>
      </c>
      <c r="F253" s="4" t="s">
        <v>444</v>
      </c>
      <c r="G253" s="4" t="s">
        <v>517</v>
      </c>
      <c r="H253" s="3">
        <v>17</v>
      </c>
      <c r="J253" s="3" t="s">
        <v>8</v>
      </c>
      <c r="K253" s="3" t="s">
        <v>1522</v>
      </c>
      <c r="L253" s="166" t="s">
        <v>1573</v>
      </c>
      <c r="M253" s="166" t="s">
        <v>1609</v>
      </c>
      <c r="N253" s="166"/>
      <c r="O253" s="52" t="s">
        <v>2034</v>
      </c>
      <c r="P253" s="5" t="s">
        <v>1003</v>
      </c>
      <c r="Q253" s="5" t="s">
        <v>986</v>
      </c>
      <c r="R253" s="5" t="s">
        <v>1004</v>
      </c>
    </row>
    <row r="254" spans="1:26" x14ac:dyDescent="0.25">
      <c r="A254" s="317" t="s">
        <v>427</v>
      </c>
      <c r="B254" s="317" t="s">
        <v>7</v>
      </c>
      <c r="C254" s="265">
        <v>2014</v>
      </c>
      <c r="D254" s="11" t="s">
        <v>518</v>
      </c>
      <c r="E254" s="3" t="s">
        <v>731</v>
      </c>
      <c r="F254" s="4" t="s">
        <v>519</v>
      </c>
      <c r="G254" s="4" t="s">
        <v>520</v>
      </c>
      <c r="H254" s="3">
        <v>1</v>
      </c>
      <c r="J254" s="3" t="s">
        <v>8</v>
      </c>
      <c r="K254" s="3" t="s">
        <v>1522</v>
      </c>
      <c r="L254" s="166" t="s">
        <v>1573</v>
      </c>
      <c r="M254" s="166" t="s">
        <v>1609</v>
      </c>
      <c r="N254" s="166"/>
      <c r="O254" s="52" t="s">
        <v>2050</v>
      </c>
      <c r="P254" s="5" t="s">
        <v>732</v>
      </c>
      <c r="Q254" s="5" t="s">
        <v>733</v>
      </c>
      <c r="R254" s="5" t="s">
        <v>734</v>
      </c>
    </row>
    <row r="255" spans="1:26" x14ac:dyDescent="0.25">
      <c r="A255" s="317" t="s">
        <v>427</v>
      </c>
      <c r="B255" s="317" t="s">
        <v>7</v>
      </c>
      <c r="C255" s="265">
        <v>2013</v>
      </c>
      <c r="D255" s="11" t="s">
        <v>521</v>
      </c>
      <c r="E255" s="13" t="s">
        <v>726</v>
      </c>
      <c r="F255" s="4" t="s">
        <v>461</v>
      </c>
      <c r="G255" s="4" t="s">
        <v>522</v>
      </c>
      <c r="H255" s="3">
        <v>6</v>
      </c>
      <c r="J255" s="3" t="s">
        <v>8</v>
      </c>
      <c r="K255" s="3" t="s">
        <v>1522</v>
      </c>
      <c r="L255" s="166" t="s">
        <v>1574</v>
      </c>
      <c r="M255" s="166" t="s">
        <v>1609</v>
      </c>
      <c r="N255" s="166"/>
      <c r="P255" s="5" t="s">
        <v>1414</v>
      </c>
      <c r="Q255" s="5" t="s">
        <v>1415</v>
      </c>
      <c r="R255" s="5" t="s">
        <v>785</v>
      </c>
      <c r="Z255" s="5">
        <v>158</v>
      </c>
    </row>
    <row r="256" spans="1:26" x14ac:dyDescent="0.25">
      <c r="A256" s="317" t="s">
        <v>427</v>
      </c>
      <c r="B256" s="317" t="s">
        <v>7</v>
      </c>
      <c r="C256" s="265">
        <v>2009</v>
      </c>
      <c r="D256" s="11" t="s">
        <v>523</v>
      </c>
      <c r="E256" s="13" t="s">
        <v>1348</v>
      </c>
      <c r="F256" s="4" t="s">
        <v>429</v>
      </c>
      <c r="G256" s="4" t="s">
        <v>524</v>
      </c>
      <c r="H256" s="3">
        <v>19</v>
      </c>
      <c r="I256" s="222">
        <v>41</v>
      </c>
      <c r="J256" s="3" t="s">
        <v>8</v>
      </c>
      <c r="K256" s="3" t="s">
        <v>1522</v>
      </c>
      <c r="L256" s="166" t="s">
        <v>1573</v>
      </c>
      <c r="M256" s="166" t="s">
        <v>1610</v>
      </c>
      <c r="N256" s="166" t="s">
        <v>2080</v>
      </c>
      <c r="O256" s="52" t="s">
        <v>1859</v>
      </c>
      <c r="P256" s="5" t="s">
        <v>907</v>
      </c>
      <c r="Q256" s="5" t="s">
        <v>906</v>
      </c>
      <c r="R256" s="5" t="s">
        <v>909</v>
      </c>
    </row>
    <row r="257" spans="1:23" x14ac:dyDescent="0.25">
      <c r="A257" s="317" t="s">
        <v>427</v>
      </c>
      <c r="B257" s="317" t="s">
        <v>23</v>
      </c>
      <c r="C257" s="265">
        <v>2011</v>
      </c>
      <c r="D257" s="11" t="s">
        <v>525</v>
      </c>
      <c r="E257" s="3" t="s">
        <v>2804</v>
      </c>
      <c r="F257" s="4" t="s">
        <v>444</v>
      </c>
      <c r="G257" s="4" t="s">
        <v>526</v>
      </c>
      <c r="H257" s="3">
        <v>5</v>
      </c>
      <c r="I257" s="222">
        <v>15</v>
      </c>
      <c r="J257" s="3" t="s">
        <v>8</v>
      </c>
      <c r="K257" s="3" t="s">
        <v>1522</v>
      </c>
      <c r="L257" s="166" t="s">
        <v>1573</v>
      </c>
      <c r="M257" s="166" t="s">
        <v>1610</v>
      </c>
      <c r="N257" s="166" t="s">
        <v>2080</v>
      </c>
      <c r="O257" s="52" t="s">
        <v>1595</v>
      </c>
      <c r="P257" s="5" t="s">
        <v>670</v>
      </c>
      <c r="Q257" s="5" t="s">
        <v>1409</v>
      </c>
      <c r="R257" s="5" t="s">
        <v>1416</v>
      </c>
      <c r="S257" s="5" t="s">
        <v>886</v>
      </c>
      <c r="T257" s="5" t="s">
        <v>671</v>
      </c>
      <c r="U257" s="5" t="s">
        <v>1411</v>
      </c>
      <c r="V257" s="5" t="s">
        <v>1408</v>
      </c>
      <c r="W257" s="5" t="s">
        <v>560</v>
      </c>
    </row>
    <row r="258" spans="1:23" x14ac:dyDescent="0.25">
      <c r="A258" s="317" t="s">
        <v>427</v>
      </c>
      <c r="B258" s="317" t="s">
        <v>23</v>
      </c>
      <c r="C258" s="265">
        <v>2013</v>
      </c>
      <c r="D258" s="11" t="s">
        <v>527</v>
      </c>
      <c r="E258" s="13" t="s">
        <v>731</v>
      </c>
      <c r="F258" s="4" t="s">
        <v>519</v>
      </c>
      <c r="G258" s="4" t="s">
        <v>528</v>
      </c>
      <c r="H258" s="3">
        <v>1</v>
      </c>
      <c r="J258" s="3" t="s">
        <v>8</v>
      </c>
      <c r="K258" s="3" t="s">
        <v>1522</v>
      </c>
      <c r="L258" s="166" t="s">
        <v>1574</v>
      </c>
      <c r="M258" s="166" t="s">
        <v>1609</v>
      </c>
      <c r="N258" s="166"/>
      <c r="P258" s="5" t="s">
        <v>1417</v>
      </c>
      <c r="Q258" s="5" t="s">
        <v>1418</v>
      </c>
    </row>
    <row r="259" spans="1:23" x14ac:dyDescent="0.25">
      <c r="A259" s="317" t="s">
        <v>427</v>
      </c>
      <c r="B259" s="317" t="s">
        <v>7</v>
      </c>
      <c r="C259" s="265">
        <v>2002</v>
      </c>
      <c r="D259" s="11" t="s">
        <v>529</v>
      </c>
      <c r="E259" s="13" t="s">
        <v>1422</v>
      </c>
      <c r="F259" s="4" t="s">
        <v>530</v>
      </c>
      <c r="G259" s="4" t="s">
        <v>532</v>
      </c>
      <c r="H259" s="3">
        <v>0</v>
      </c>
      <c r="J259" s="3" t="s">
        <v>8</v>
      </c>
      <c r="K259" s="3" t="s">
        <v>1522</v>
      </c>
      <c r="L259" s="166" t="s">
        <v>1573</v>
      </c>
      <c r="M259" s="166" t="s">
        <v>1609</v>
      </c>
      <c r="N259" s="166"/>
      <c r="O259" s="52" t="s">
        <v>2051</v>
      </c>
      <c r="P259" s="5" t="s">
        <v>1423</v>
      </c>
      <c r="Q259" s="5" t="s">
        <v>1424</v>
      </c>
    </row>
    <row r="260" spans="1:23" x14ac:dyDescent="0.25">
      <c r="A260" s="317" t="s">
        <v>427</v>
      </c>
      <c r="B260" s="317" t="s">
        <v>7</v>
      </c>
      <c r="C260" s="265">
        <v>2018</v>
      </c>
      <c r="D260" s="11" t="s">
        <v>531</v>
      </c>
      <c r="E260" s="13" t="s">
        <v>1393</v>
      </c>
      <c r="F260" s="4" t="s">
        <v>490</v>
      </c>
      <c r="G260" s="4" t="s">
        <v>533</v>
      </c>
      <c r="H260" s="3">
        <v>2</v>
      </c>
      <c r="J260" s="3" t="s">
        <v>8</v>
      </c>
      <c r="K260" s="3" t="s">
        <v>1522</v>
      </c>
      <c r="L260" s="166" t="s">
        <v>1573</v>
      </c>
      <c r="M260" s="166" t="s">
        <v>1610</v>
      </c>
      <c r="N260" s="166" t="s">
        <v>2080</v>
      </c>
      <c r="O260" s="52" t="s">
        <v>3250</v>
      </c>
      <c r="P260" s="5" t="s">
        <v>1419</v>
      </c>
      <c r="Q260" s="5" t="s">
        <v>1420</v>
      </c>
      <c r="R260" s="5" t="s">
        <v>1421</v>
      </c>
    </row>
    <row r="261" spans="1:23" x14ac:dyDescent="0.25">
      <c r="A261" s="317" t="s">
        <v>427</v>
      </c>
      <c r="B261" s="317" t="s">
        <v>7</v>
      </c>
      <c r="C261" s="265">
        <v>2009</v>
      </c>
      <c r="D261" s="11" t="s">
        <v>534</v>
      </c>
      <c r="E261" s="13" t="s">
        <v>1425</v>
      </c>
      <c r="F261" s="4" t="s">
        <v>535</v>
      </c>
      <c r="G261" s="4" t="s">
        <v>536</v>
      </c>
      <c r="H261" s="3">
        <v>13</v>
      </c>
      <c r="I261" s="222">
        <v>39</v>
      </c>
      <c r="J261" s="3" t="s">
        <v>8</v>
      </c>
      <c r="K261" s="3" t="s">
        <v>1522</v>
      </c>
      <c r="L261" s="166" t="s">
        <v>1573</v>
      </c>
      <c r="M261" s="166" t="s">
        <v>1610</v>
      </c>
      <c r="N261" s="166" t="s">
        <v>2080</v>
      </c>
      <c r="O261" s="52" t="s">
        <v>1935</v>
      </c>
      <c r="P261" s="5" t="s">
        <v>975</v>
      </c>
      <c r="Q261" s="5" t="s">
        <v>897</v>
      </c>
      <c r="R261" s="5" t="s">
        <v>1426</v>
      </c>
    </row>
    <row r="262" spans="1:23" x14ac:dyDescent="0.25">
      <c r="A262" s="317" t="s">
        <v>427</v>
      </c>
      <c r="B262" s="317" t="s">
        <v>7</v>
      </c>
      <c r="C262" s="265">
        <v>2009</v>
      </c>
      <c r="D262" s="11" t="s">
        <v>537</v>
      </c>
      <c r="E262" s="13" t="s">
        <v>1427</v>
      </c>
      <c r="F262" s="4" t="s">
        <v>538</v>
      </c>
      <c r="G262" s="4" t="s">
        <v>539</v>
      </c>
      <c r="H262" s="3">
        <v>1</v>
      </c>
      <c r="J262" s="3" t="s">
        <v>8</v>
      </c>
      <c r="K262" s="3" t="s">
        <v>1522</v>
      </c>
      <c r="L262" s="166" t="s">
        <v>1573</v>
      </c>
      <c r="M262" s="166" t="s">
        <v>1609</v>
      </c>
      <c r="N262" s="166"/>
      <c r="O262" s="52" t="s">
        <v>2052</v>
      </c>
      <c r="P262" s="5" t="s">
        <v>1428</v>
      </c>
      <c r="Q262" s="5" t="s">
        <v>1429</v>
      </c>
      <c r="R262" s="5" t="s">
        <v>1430</v>
      </c>
    </row>
    <row r="263" spans="1:23" x14ac:dyDescent="0.25">
      <c r="A263" s="317" t="s">
        <v>427</v>
      </c>
      <c r="B263" s="317" t="s">
        <v>754</v>
      </c>
      <c r="C263" s="265">
        <v>2013</v>
      </c>
      <c r="D263" s="11" t="s">
        <v>540</v>
      </c>
      <c r="E263" s="13" t="s">
        <v>754</v>
      </c>
      <c r="F263" s="4" t="s">
        <v>541</v>
      </c>
      <c r="G263" s="4" t="s">
        <v>542</v>
      </c>
      <c r="H263" s="3">
        <v>1</v>
      </c>
      <c r="J263" s="3" t="s">
        <v>8</v>
      </c>
      <c r="K263" s="3" t="s">
        <v>1522</v>
      </c>
      <c r="L263" s="166" t="s">
        <v>1574</v>
      </c>
      <c r="M263" s="166" t="s">
        <v>1609</v>
      </c>
      <c r="N263" s="166"/>
      <c r="P263" s="5" t="s">
        <v>845</v>
      </c>
      <c r="Q263" s="5" t="s">
        <v>846</v>
      </c>
      <c r="R263" s="5" t="s">
        <v>847</v>
      </c>
    </row>
    <row r="264" spans="1:23" x14ac:dyDescent="0.25">
      <c r="A264" s="317" t="s">
        <v>427</v>
      </c>
      <c r="B264" s="317" t="s">
        <v>7</v>
      </c>
      <c r="C264" s="265">
        <v>2009</v>
      </c>
      <c r="D264" s="11" t="s">
        <v>543</v>
      </c>
      <c r="E264" s="3" t="s">
        <v>761</v>
      </c>
      <c r="F264" s="4" t="s">
        <v>444</v>
      </c>
      <c r="G264" s="4" t="s">
        <v>544</v>
      </c>
      <c r="H264" s="3">
        <v>12</v>
      </c>
      <c r="J264" s="3" t="s">
        <v>8</v>
      </c>
      <c r="K264" s="3" t="s">
        <v>1522</v>
      </c>
      <c r="L264" s="166" t="s">
        <v>1573</v>
      </c>
      <c r="M264" s="166" t="s">
        <v>1609</v>
      </c>
      <c r="N264" s="166"/>
      <c r="O264" s="52" t="s">
        <v>1603</v>
      </c>
      <c r="P264" s="5" t="s">
        <v>1431</v>
      </c>
      <c r="Q264" s="5" t="s">
        <v>1432</v>
      </c>
      <c r="R264" s="5" t="s">
        <v>1433</v>
      </c>
    </row>
    <row r="265" spans="1:23" x14ac:dyDescent="0.25">
      <c r="A265" s="317" t="s">
        <v>427</v>
      </c>
      <c r="B265" s="317" t="s">
        <v>7</v>
      </c>
      <c r="C265" s="265">
        <v>2010</v>
      </c>
      <c r="D265" s="11" t="s">
        <v>545</v>
      </c>
      <c r="E265" s="13" t="s">
        <v>1434</v>
      </c>
      <c r="F265" s="4" t="s">
        <v>546</v>
      </c>
      <c r="G265" s="4" t="s">
        <v>547</v>
      </c>
      <c r="H265" s="3">
        <v>10</v>
      </c>
      <c r="J265" s="3" t="s">
        <v>8</v>
      </c>
      <c r="K265" s="3" t="s">
        <v>1522</v>
      </c>
      <c r="L265" s="166" t="s">
        <v>1573</v>
      </c>
      <c r="M265" s="166" t="s">
        <v>1609</v>
      </c>
      <c r="N265" s="166"/>
      <c r="O265" s="52" t="s">
        <v>1604</v>
      </c>
      <c r="P265" s="5" t="s">
        <v>1435</v>
      </c>
      <c r="Q265" s="5" t="s">
        <v>1436</v>
      </c>
      <c r="R265" s="5" t="s">
        <v>1437</v>
      </c>
      <c r="S265" s="5" t="s">
        <v>1438</v>
      </c>
      <c r="T265" s="5" t="s">
        <v>1439</v>
      </c>
      <c r="U265" s="5" t="s">
        <v>1440</v>
      </c>
    </row>
    <row r="266" spans="1:23" x14ac:dyDescent="0.25">
      <c r="A266" s="317" t="s">
        <v>427</v>
      </c>
      <c r="B266" s="317" t="s">
        <v>6</v>
      </c>
      <c r="C266" s="265">
        <v>2019</v>
      </c>
      <c r="D266" s="11" t="s">
        <v>1606</v>
      </c>
      <c r="E266" s="3" t="s">
        <v>682</v>
      </c>
      <c r="F266" s="4" t="s">
        <v>456</v>
      </c>
      <c r="G266" s="4" t="s">
        <v>683</v>
      </c>
      <c r="H266" s="3">
        <v>0</v>
      </c>
      <c r="J266" s="3" t="s">
        <v>8</v>
      </c>
      <c r="K266" s="3" t="s">
        <v>1522</v>
      </c>
      <c r="L266" s="166" t="s">
        <v>1574</v>
      </c>
      <c r="M266" s="166" t="s">
        <v>1609</v>
      </c>
      <c r="N266" s="166"/>
      <c r="P266" s="5" t="s">
        <v>684</v>
      </c>
      <c r="Q266" s="5" t="s">
        <v>685</v>
      </c>
    </row>
    <row r="267" spans="1:23" x14ac:dyDescent="0.25">
      <c r="A267" s="317" t="s">
        <v>427</v>
      </c>
      <c r="B267" s="317" t="s">
        <v>7</v>
      </c>
      <c r="C267" s="265">
        <v>2017</v>
      </c>
      <c r="D267" s="11" t="s">
        <v>686</v>
      </c>
      <c r="E267" s="3" t="s">
        <v>687</v>
      </c>
      <c r="F267" s="4" t="s">
        <v>484</v>
      </c>
      <c r="G267" s="4" t="s">
        <v>690</v>
      </c>
      <c r="H267" s="3">
        <v>0</v>
      </c>
      <c r="J267" s="3" t="s">
        <v>8</v>
      </c>
      <c r="K267" s="3" t="s">
        <v>1522</v>
      </c>
      <c r="L267" s="166" t="s">
        <v>1574</v>
      </c>
      <c r="M267" s="166" t="s">
        <v>1609</v>
      </c>
      <c r="N267" s="166"/>
      <c r="P267" s="5" t="s">
        <v>688</v>
      </c>
      <c r="Q267" s="5" t="s">
        <v>689</v>
      </c>
    </row>
    <row r="268" spans="1:23" x14ac:dyDescent="0.25">
      <c r="A268" s="317" t="s">
        <v>427</v>
      </c>
      <c r="B268" s="317" t="s">
        <v>7</v>
      </c>
      <c r="C268" s="265">
        <v>2017</v>
      </c>
      <c r="D268" s="11" t="s">
        <v>691</v>
      </c>
      <c r="E268" s="3" t="s">
        <v>692</v>
      </c>
      <c r="F268" s="4" t="s">
        <v>693</v>
      </c>
      <c r="G268" s="4" t="s">
        <v>697</v>
      </c>
      <c r="H268" s="3">
        <v>1</v>
      </c>
      <c r="J268" s="3" t="s">
        <v>8</v>
      </c>
      <c r="K268" s="3" t="s">
        <v>1522</v>
      </c>
      <c r="L268" s="166" t="s">
        <v>1573</v>
      </c>
      <c r="M268" s="166" t="s">
        <v>1610</v>
      </c>
      <c r="N268" s="166" t="s">
        <v>2080</v>
      </c>
      <c r="O268" s="52" t="s">
        <v>3306</v>
      </c>
      <c r="P268" s="5" t="s">
        <v>694</v>
      </c>
      <c r="Q268" s="5" t="s">
        <v>695</v>
      </c>
      <c r="R268" s="5" t="s">
        <v>696</v>
      </c>
    </row>
    <row r="269" spans="1:23" x14ac:dyDescent="0.25">
      <c r="A269" s="317" t="s">
        <v>427</v>
      </c>
      <c r="B269" s="317" t="s">
        <v>6</v>
      </c>
      <c r="C269" s="265">
        <v>2017</v>
      </c>
      <c r="D269" s="11" t="s">
        <v>698</v>
      </c>
      <c r="E269" s="3" t="s">
        <v>699</v>
      </c>
      <c r="F269" s="4" t="s">
        <v>700</v>
      </c>
      <c r="G269" s="4" t="s">
        <v>701</v>
      </c>
      <c r="H269" s="3">
        <v>8</v>
      </c>
      <c r="J269" s="3" t="s">
        <v>8</v>
      </c>
      <c r="K269" s="3" t="s">
        <v>1522</v>
      </c>
      <c r="L269" s="166" t="s">
        <v>1574</v>
      </c>
      <c r="M269" s="166" t="s">
        <v>1609</v>
      </c>
      <c r="N269" s="166"/>
      <c r="P269" s="5" t="s">
        <v>702</v>
      </c>
      <c r="Q269" s="5" t="s">
        <v>703</v>
      </c>
      <c r="R269" s="5" t="s">
        <v>704</v>
      </c>
      <c r="S269" s="5" t="s">
        <v>705</v>
      </c>
      <c r="T269" s="5" t="s">
        <v>706</v>
      </c>
      <c r="U269" s="5" t="s">
        <v>707</v>
      </c>
    </row>
    <row r="270" spans="1:23" x14ac:dyDescent="0.25">
      <c r="A270" s="317" t="s">
        <v>427</v>
      </c>
      <c r="B270" s="317" t="s">
        <v>6</v>
      </c>
      <c r="C270" s="265">
        <v>2016</v>
      </c>
      <c r="D270" s="11" t="s">
        <v>708</v>
      </c>
      <c r="E270" s="3" t="s">
        <v>709</v>
      </c>
      <c r="F270" s="4" t="s">
        <v>711</v>
      </c>
      <c r="G270" s="4" t="s">
        <v>710</v>
      </c>
      <c r="H270" s="3">
        <v>8</v>
      </c>
      <c r="J270" s="3" t="s">
        <v>8</v>
      </c>
      <c r="K270" s="3" t="s">
        <v>1522</v>
      </c>
      <c r="L270" s="166" t="s">
        <v>1573</v>
      </c>
      <c r="M270" s="166" t="s">
        <v>1609</v>
      </c>
      <c r="N270" s="166"/>
      <c r="O270" s="52" t="s">
        <v>1587</v>
      </c>
      <c r="P270" s="5" t="s">
        <v>557</v>
      </c>
      <c r="Q270" s="5" t="s">
        <v>712</v>
      </c>
      <c r="R270" s="5" t="s">
        <v>560</v>
      </c>
      <c r="S270" s="5" t="s">
        <v>713</v>
      </c>
      <c r="T270" s="5" t="s">
        <v>714</v>
      </c>
    </row>
    <row r="271" spans="1:23" x14ac:dyDescent="0.25">
      <c r="A271" s="317" t="s">
        <v>427</v>
      </c>
      <c r="B271" s="317" t="s">
        <v>6</v>
      </c>
      <c r="C271" s="265">
        <v>2020</v>
      </c>
      <c r="D271" s="11" t="s">
        <v>720</v>
      </c>
      <c r="E271" s="3" t="s">
        <v>682</v>
      </c>
      <c r="F271" s="4" t="s">
        <v>456</v>
      </c>
      <c r="G271" s="4" t="s">
        <v>724</v>
      </c>
      <c r="H271" s="3">
        <v>0</v>
      </c>
      <c r="I271" s="222">
        <v>0</v>
      </c>
      <c r="J271" s="3" t="s">
        <v>8</v>
      </c>
      <c r="K271" s="3" t="s">
        <v>1522</v>
      </c>
      <c r="L271" s="166" t="s">
        <v>1573</v>
      </c>
      <c r="M271" s="166" t="s">
        <v>1610</v>
      </c>
      <c r="N271" s="166" t="s">
        <v>2080</v>
      </c>
      <c r="O271" s="52" t="s">
        <v>2809</v>
      </c>
      <c r="P271" s="5" t="s">
        <v>721</v>
      </c>
      <c r="Q271" s="5" t="s">
        <v>722</v>
      </c>
      <c r="R271" s="5" t="s">
        <v>723</v>
      </c>
    </row>
    <row r="272" spans="1:23" x14ac:dyDescent="0.25">
      <c r="A272" s="317" t="s">
        <v>427</v>
      </c>
      <c r="B272" s="317" t="s">
        <v>7</v>
      </c>
      <c r="C272" s="265">
        <v>2020</v>
      </c>
      <c r="D272" s="11" t="s">
        <v>725</v>
      </c>
      <c r="E272" s="3" t="s">
        <v>726</v>
      </c>
      <c r="F272" s="4" t="s">
        <v>461</v>
      </c>
      <c r="G272" s="4" t="s">
        <v>727</v>
      </c>
      <c r="H272" s="3">
        <v>0</v>
      </c>
      <c r="J272" s="3" t="s">
        <v>8</v>
      </c>
      <c r="K272" s="3" t="s">
        <v>1522</v>
      </c>
      <c r="L272" s="166" t="s">
        <v>1573</v>
      </c>
      <c r="M272" s="166" t="s">
        <v>1609</v>
      </c>
      <c r="N272" s="166"/>
      <c r="O272" s="52" t="s">
        <v>2054</v>
      </c>
      <c r="P272" s="5" t="s">
        <v>728</v>
      </c>
      <c r="Q272" s="5" t="s">
        <v>729</v>
      </c>
      <c r="R272" s="5" t="s">
        <v>730</v>
      </c>
    </row>
    <row r="273" spans="1:20" x14ac:dyDescent="0.25">
      <c r="A273" s="317" t="s">
        <v>427</v>
      </c>
      <c r="B273" s="317" t="s">
        <v>7</v>
      </c>
      <c r="C273" s="265">
        <v>2011</v>
      </c>
      <c r="D273" s="11" t="s">
        <v>735</v>
      </c>
      <c r="E273" s="3" t="s">
        <v>736</v>
      </c>
      <c r="F273" s="4" t="s">
        <v>444</v>
      </c>
      <c r="G273" s="4" t="s">
        <v>737</v>
      </c>
      <c r="H273" s="3">
        <v>1</v>
      </c>
      <c r="J273" s="3" t="s">
        <v>8</v>
      </c>
      <c r="K273" s="3" t="s">
        <v>1522</v>
      </c>
      <c r="L273" s="166" t="s">
        <v>1574</v>
      </c>
      <c r="M273" s="166" t="s">
        <v>1609</v>
      </c>
      <c r="N273" s="166"/>
      <c r="P273" s="5" t="s">
        <v>738</v>
      </c>
      <c r="Q273" s="5" t="s">
        <v>739</v>
      </c>
      <c r="R273" s="5" t="s">
        <v>740</v>
      </c>
      <c r="S273" s="5" t="s">
        <v>741</v>
      </c>
    </row>
    <row r="274" spans="1:20" x14ac:dyDescent="0.25">
      <c r="A274" s="317" t="s">
        <v>427</v>
      </c>
      <c r="B274" s="317" t="s">
        <v>754</v>
      </c>
      <c r="C274" s="265">
        <v>2008</v>
      </c>
      <c r="D274" s="11" t="s">
        <v>755</v>
      </c>
      <c r="E274" s="3" t="s">
        <v>754</v>
      </c>
      <c r="F274" s="4" t="s">
        <v>756</v>
      </c>
      <c r="G274" s="4" t="s">
        <v>757</v>
      </c>
      <c r="H274" s="3">
        <v>1</v>
      </c>
      <c r="J274" s="3" t="s">
        <v>8</v>
      </c>
      <c r="K274" s="3" t="s">
        <v>1522</v>
      </c>
      <c r="L274" s="166" t="s">
        <v>1574</v>
      </c>
      <c r="M274" s="166" t="s">
        <v>1609</v>
      </c>
      <c r="N274" s="166"/>
      <c r="P274" s="5" t="s">
        <v>758</v>
      </c>
      <c r="Q274" s="5" t="s">
        <v>759</v>
      </c>
      <c r="R274" s="5" t="s">
        <v>760</v>
      </c>
    </row>
    <row r="275" spans="1:20" x14ac:dyDescent="0.25">
      <c r="A275" s="317" t="s">
        <v>427</v>
      </c>
      <c r="B275" s="317" t="s">
        <v>7</v>
      </c>
      <c r="C275" s="265">
        <v>2013</v>
      </c>
      <c r="D275" s="11" t="s">
        <v>1457</v>
      </c>
      <c r="E275" s="3" t="s">
        <v>1352</v>
      </c>
      <c r="F275" s="4" t="s">
        <v>438</v>
      </c>
      <c r="G275" s="4" t="s">
        <v>1458</v>
      </c>
      <c r="H275" s="3">
        <v>1</v>
      </c>
      <c r="J275" s="3" t="s">
        <v>8</v>
      </c>
      <c r="K275" s="3" t="s">
        <v>1522</v>
      </c>
      <c r="L275" s="166" t="s">
        <v>1574</v>
      </c>
      <c r="M275" s="166" t="s">
        <v>1609</v>
      </c>
      <c r="N275" s="166"/>
      <c r="P275" s="5" t="s">
        <v>1459</v>
      </c>
      <c r="Q275" s="5" t="s">
        <v>1460</v>
      </c>
    </row>
    <row r="276" spans="1:20" x14ac:dyDescent="0.25">
      <c r="A276" s="317" t="s">
        <v>427</v>
      </c>
      <c r="B276" s="317" t="s">
        <v>7</v>
      </c>
      <c r="C276" s="265">
        <v>1996</v>
      </c>
      <c r="D276" s="11" t="s">
        <v>1461</v>
      </c>
      <c r="E276" s="3" t="s">
        <v>1466</v>
      </c>
      <c r="F276" s="4" t="s">
        <v>1462</v>
      </c>
      <c r="G276" s="4" t="s">
        <v>1467</v>
      </c>
      <c r="H276" s="3">
        <v>14</v>
      </c>
      <c r="J276" s="3" t="s">
        <v>8</v>
      </c>
      <c r="K276" s="3" t="s">
        <v>1522</v>
      </c>
      <c r="L276" s="166" t="s">
        <v>1574</v>
      </c>
      <c r="M276" s="166" t="s">
        <v>1609</v>
      </c>
      <c r="N276" s="166"/>
      <c r="O276" s="52" t="s">
        <v>1605</v>
      </c>
      <c r="P276" s="5" t="s">
        <v>1463</v>
      </c>
      <c r="Q276" s="5" t="s">
        <v>1464</v>
      </c>
      <c r="R276" s="5" t="s">
        <v>1465</v>
      </c>
    </row>
    <row r="277" spans="1:20" x14ac:dyDescent="0.25">
      <c r="A277" s="317" t="s">
        <v>427</v>
      </c>
      <c r="B277" s="317" t="s">
        <v>6</v>
      </c>
      <c r="C277" s="265">
        <v>2015</v>
      </c>
      <c r="D277" s="11" t="s">
        <v>1482</v>
      </c>
      <c r="E277" s="3" t="s">
        <v>1484</v>
      </c>
      <c r="F277" s="4" t="s">
        <v>1485</v>
      </c>
      <c r="G277" s="4" t="s">
        <v>1483</v>
      </c>
      <c r="H277" s="3">
        <v>2</v>
      </c>
      <c r="I277" s="222">
        <v>3</v>
      </c>
      <c r="J277" s="3" t="s">
        <v>8</v>
      </c>
      <c r="K277" s="3" t="s">
        <v>1522</v>
      </c>
      <c r="L277" s="166" t="s">
        <v>1573</v>
      </c>
      <c r="M277" s="166" t="s">
        <v>1610</v>
      </c>
      <c r="N277" s="166" t="s">
        <v>2080</v>
      </c>
      <c r="O277" s="52" t="s">
        <v>2261</v>
      </c>
      <c r="P277" s="5" t="s">
        <v>1486</v>
      </c>
      <c r="Q277" s="5" t="s">
        <v>1487</v>
      </c>
      <c r="R277" s="5" t="s">
        <v>1488</v>
      </c>
    </row>
    <row r="278" spans="1:20" x14ac:dyDescent="0.25">
      <c r="A278" s="317" t="s">
        <v>427</v>
      </c>
      <c r="B278" s="317" t="s">
        <v>6</v>
      </c>
      <c r="C278" s="265">
        <v>2007</v>
      </c>
      <c r="D278" s="11" t="s">
        <v>1492</v>
      </c>
      <c r="E278" s="3" t="s">
        <v>1494</v>
      </c>
      <c r="F278" s="4" t="s">
        <v>1495</v>
      </c>
      <c r="G278" s="4" t="s">
        <v>1493</v>
      </c>
      <c r="H278" s="3">
        <v>70</v>
      </c>
      <c r="J278" s="3" t="s">
        <v>8</v>
      </c>
      <c r="K278" s="3" t="s">
        <v>1522</v>
      </c>
      <c r="L278" s="166" t="s">
        <v>1574</v>
      </c>
      <c r="M278" s="166" t="s">
        <v>1609</v>
      </c>
      <c r="N278" s="166"/>
      <c r="P278" s="5" t="s">
        <v>1496</v>
      </c>
      <c r="Q278" s="5" t="s">
        <v>1497</v>
      </c>
      <c r="R278" s="5" t="s">
        <v>1498</v>
      </c>
    </row>
    <row r="279" spans="1:20" x14ac:dyDescent="0.25">
      <c r="A279" s="317" t="s">
        <v>427</v>
      </c>
      <c r="B279" s="317" t="s">
        <v>23</v>
      </c>
      <c r="C279" s="265">
        <v>2008</v>
      </c>
      <c r="D279" s="11" t="s">
        <v>1532</v>
      </c>
      <c r="E279" s="3" t="s">
        <v>1533</v>
      </c>
      <c r="F279" s="4" t="s">
        <v>1534</v>
      </c>
      <c r="G279" s="4" t="s">
        <v>1535</v>
      </c>
      <c r="H279" s="3">
        <v>1</v>
      </c>
      <c r="J279" s="3" t="s">
        <v>8</v>
      </c>
      <c r="K279" s="3" t="s">
        <v>1522</v>
      </c>
      <c r="L279" s="166" t="s">
        <v>1574</v>
      </c>
      <c r="M279" s="166" t="s">
        <v>1609</v>
      </c>
      <c r="N279" s="166"/>
      <c r="P279" s="5" t="s">
        <v>1536</v>
      </c>
      <c r="Q279" s="5" t="s">
        <v>1537</v>
      </c>
      <c r="R279" s="5" t="s">
        <v>1538</v>
      </c>
    </row>
    <row r="280" spans="1:20" x14ac:dyDescent="0.25">
      <c r="A280" s="317" t="s">
        <v>427</v>
      </c>
      <c r="B280" s="317" t="s">
        <v>7</v>
      </c>
      <c r="C280" s="265">
        <v>2019</v>
      </c>
      <c r="D280" s="11" t="s">
        <v>1539</v>
      </c>
      <c r="E280" s="3" t="s">
        <v>726</v>
      </c>
      <c r="F280" s="4" t="s">
        <v>461</v>
      </c>
      <c r="G280" s="4" t="s">
        <v>1540</v>
      </c>
      <c r="H280" s="3">
        <v>0</v>
      </c>
      <c r="I280" s="222">
        <v>3</v>
      </c>
      <c r="J280" s="3" t="s">
        <v>8</v>
      </c>
      <c r="K280" s="3" t="s">
        <v>1522</v>
      </c>
      <c r="L280" s="166" t="s">
        <v>1573</v>
      </c>
      <c r="M280" s="166" t="s">
        <v>1610</v>
      </c>
      <c r="N280" s="166" t="s">
        <v>2080</v>
      </c>
      <c r="O280" s="52" t="s">
        <v>2053</v>
      </c>
      <c r="P280" s="5" t="s">
        <v>1541</v>
      </c>
      <c r="Q280" s="5" t="s">
        <v>1542</v>
      </c>
      <c r="R280" s="5" t="s">
        <v>1543</v>
      </c>
    </row>
    <row r="281" spans="1:20" x14ac:dyDescent="0.25">
      <c r="A281" s="317" t="s">
        <v>427</v>
      </c>
      <c r="B281" s="317" t="s">
        <v>754</v>
      </c>
      <c r="C281" s="265">
        <v>2009</v>
      </c>
      <c r="D281" s="11" t="s">
        <v>1544</v>
      </c>
      <c r="E281" s="3" t="s">
        <v>754</v>
      </c>
      <c r="F281" s="4" t="s">
        <v>1545</v>
      </c>
      <c r="G281" s="4" t="s">
        <v>1546</v>
      </c>
      <c r="H281" s="3">
        <v>1</v>
      </c>
      <c r="J281" s="3" t="s">
        <v>8</v>
      </c>
      <c r="K281" s="3" t="s">
        <v>1522</v>
      </c>
      <c r="L281" s="166" t="s">
        <v>1574</v>
      </c>
      <c r="M281" s="166" t="s">
        <v>1609</v>
      </c>
      <c r="N281" s="166"/>
      <c r="P281" s="5" t="s">
        <v>1501</v>
      </c>
      <c r="Q281" s="5" t="s">
        <v>1547</v>
      </c>
      <c r="R281" s="5" t="s">
        <v>1502</v>
      </c>
      <c r="S281" s="5" t="s">
        <v>1548</v>
      </c>
    </row>
    <row r="282" spans="1:20" x14ac:dyDescent="0.25">
      <c r="A282" s="317" t="s">
        <v>427</v>
      </c>
      <c r="B282" s="317" t="s">
        <v>23</v>
      </c>
      <c r="C282" s="265">
        <v>2011</v>
      </c>
      <c r="D282" s="11" t="s">
        <v>1549</v>
      </c>
      <c r="E282" s="3" t="s">
        <v>1550</v>
      </c>
      <c r="F282" s="4" t="s">
        <v>1551</v>
      </c>
      <c r="G282" s="4" t="s">
        <v>1555</v>
      </c>
      <c r="H282" s="3">
        <v>1</v>
      </c>
      <c r="J282" s="3" t="s">
        <v>8</v>
      </c>
      <c r="K282" s="3" t="s">
        <v>1522</v>
      </c>
      <c r="L282" s="166" t="s">
        <v>1573</v>
      </c>
      <c r="M282" s="166" t="s">
        <v>1609</v>
      </c>
      <c r="N282" s="166"/>
      <c r="O282" s="52" t="s">
        <v>2025</v>
      </c>
      <c r="P282" s="5" t="s">
        <v>1552</v>
      </c>
      <c r="Q282" s="5" t="s">
        <v>560</v>
      </c>
      <c r="R282" s="5" t="s">
        <v>672</v>
      </c>
      <c r="S282" s="5" t="s">
        <v>1553</v>
      </c>
      <c r="T282" s="5" t="s">
        <v>1554</v>
      </c>
    </row>
    <row r="283" spans="1:20" x14ac:dyDescent="0.25">
      <c r="A283" s="317" t="s">
        <v>427</v>
      </c>
      <c r="B283" s="317" t="s">
        <v>7</v>
      </c>
      <c r="C283" s="265">
        <v>2015</v>
      </c>
      <c r="D283" s="11" t="s">
        <v>1556</v>
      </c>
      <c r="E283" s="3" t="s">
        <v>1557</v>
      </c>
      <c r="F283" s="4" t="s">
        <v>1558</v>
      </c>
      <c r="G283" s="4" t="s">
        <v>1559</v>
      </c>
      <c r="H283" s="3">
        <v>2</v>
      </c>
      <c r="I283" s="222">
        <v>10</v>
      </c>
      <c r="J283" s="3" t="s">
        <v>8</v>
      </c>
      <c r="K283" s="3" t="s">
        <v>1522</v>
      </c>
      <c r="L283" s="166" t="s">
        <v>1573</v>
      </c>
      <c r="M283" s="166" t="s">
        <v>1610</v>
      </c>
      <c r="N283" s="166" t="s">
        <v>2080</v>
      </c>
      <c r="O283" s="52" t="s">
        <v>1591</v>
      </c>
      <c r="P283" s="5" t="s">
        <v>1270</v>
      </c>
      <c r="Q283" s="5" t="s">
        <v>1267</v>
      </c>
      <c r="R283" s="5" t="s">
        <v>1560</v>
      </c>
      <c r="S283" s="5" t="s">
        <v>1271</v>
      </c>
      <c r="T283" s="5" t="s">
        <v>1272</v>
      </c>
    </row>
    <row r="284" spans="1:20" x14ac:dyDescent="0.25">
      <c r="A284" s="317" t="s">
        <v>427</v>
      </c>
      <c r="B284" s="317" t="s">
        <v>23</v>
      </c>
      <c r="C284" s="265">
        <v>2018</v>
      </c>
      <c r="D284" s="11" t="s">
        <v>1561</v>
      </c>
      <c r="E284" s="3" t="s">
        <v>1562</v>
      </c>
      <c r="F284" s="4" t="s">
        <v>1564</v>
      </c>
      <c r="G284" s="4" t="s">
        <v>1563</v>
      </c>
      <c r="H284" s="3">
        <v>3</v>
      </c>
      <c r="I284" s="222">
        <v>5</v>
      </c>
      <c r="J284" s="3" t="s">
        <v>8</v>
      </c>
      <c r="K284" s="3" t="s">
        <v>1522</v>
      </c>
      <c r="L284" s="166" t="s">
        <v>1573</v>
      </c>
      <c r="M284" s="166" t="s">
        <v>1610</v>
      </c>
      <c r="N284" s="166" t="s">
        <v>2080</v>
      </c>
      <c r="O284" s="52" t="s">
        <v>1605</v>
      </c>
      <c r="P284" s="5" t="s">
        <v>1463</v>
      </c>
    </row>
    <row r="285" spans="1:20" x14ac:dyDescent="0.25">
      <c r="A285" s="317" t="s">
        <v>427</v>
      </c>
      <c r="B285" s="317" t="s">
        <v>6</v>
      </c>
      <c r="C285" s="265">
        <v>2020</v>
      </c>
      <c r="D285" s="11" t="s">
        <v>2289</v>
      </c>
      <c r="E285" s="3" t="s">
        <v>682</v>
      </c>
      <c r="F285" s="4" t="s">
        <v>456</v>
      </c>
      <c r="G285" s="4" t="s">
        <v>2290</v>
      </c>
      <c r="H285" s="3">
        <v>0</v>
      </c>
      <c r="J285" s="3" t="s">
        <v>8</v>
      </c>
      <c r="K285" s="3" t="s">
        <v>1522</v>
      </c>
      <c r="L285" s="166" t="s">
        <v>1574</v>
      </c>
      <c r="M285" s="166" t="s">
        <v>1609</v>
      </c>
      <c r="N285" s="166"/>
      <c r="P285" s="5" t="s">
        <v>2291</v>
      </c>
      <c r="Q285" s="5" t="s">
        <v>2292</v>
      </c>
      <c r="R285" s="5" t="s">
        <v>696</v>
      </c>
      <c r="S285" s="5" t="s">
        <v>806</v>
      </c>
    </row>
    <row r="286" spans="1:20" x14ac:dyDescent="0.25">
      <c r="A286" s="317" t="s">
        <v>427</v>
      </c>
      <c r="B286" s="317" t="s">
        <v>7</v>
      </c>
      <c r="C286" s="265">
        <v>2016</v>
      </c>
      <c r="D286" s="11" t="s">
        <v>2409</v>
      </c>
      <c r="E286" s="3" t="s">
        <v>1466</v>
      </c>
      <c r="F286" s="4" t="s">
        <v>2410</v>
      </c>
      <c r="G286" s="4" t="s">
        <v>2411</v>
      </c>
      <c r="H286" s="3">
        <v>3</v>
      </c>
      <c r="I286" s="222">
        <v>9</v>
      </c>
      <c r="J286" s="3" t="s">
        <v>8</v>
      </c>
      <c r="K286" s="3" t="s">
        <v>1522</v>
      </c>
      <c r="L286" s="166" t="s">
        <v>1573</v>
      </c>
      <c r="M286" s="166" t="s">
        <v>1610</v>
      </c>
      <c r="N286" s="166" t="s">
        <v>2080</v>
      </c>
      <c r="O286" s="52" t="s">
        <v>1591</v>
      </c>
      <c r="P286" s="5" t="s">
        <v>1267</v>
      </c>
      <c r="Q286" s="5" t="s">
        <v>1269</v>
      </c>
      <c r="R286" s="5" t="s">
        <v>1270</v>
      </c>
      <c r="S286" s="5" t="s">
        <v>1271</v>
      </c>
      <c r="T286" s="5" t="s">
        <v>1272</v>
      </c>
    </row>
    <row r="287" spans="1:20" x14ac:dyDescent="0.25">
      <c r="A287" s="317" t="s">
        <v>427</v>
      </c>
      <c r="B287" s="317" t="s">
        <v>7</v>
      </c>
      <c r="C287" s="265">
        <v>2012</v>
      </c>
      <c r="D287" s="11" t="s">
        <v>2394</v>
      </c>
      <c r="E287" s="3" t="s">
        <v>726</v>
      </c>
      <c r="F287" s="99" t="s">
        <v>461</v>
      </c>
      <c r="G287" s="6" t="s">
        <v>2396</v>
      </c>
      <c r="H287" s="3">
        <v>13</v>
      </c>
      <c r="J287" s="3" t="s">
        <v>8</v>
      </c>
      <c r="K287" s="3" t="s">
        <v>1522</v>
      </c>
      <c r="L287" s="166" t="s">
        <v>1573</v>
      </c>
      <c r="M287" s="166" t="s">
        <v>1609</v>
      </c>
      <c r="N287" s="166"/>
      <c r="P287" s="5" t="s">
        <v>2395</v>
      </c>
      <c r="Q287" s="5" t="s">
        <v>1400</v>
      </c>
      <c r="R287" s="5" t="s">
        <v>1357</v>
      </c>
      <c r="S287" s="5" t="s">
        <v>728</v>
      </c>
    </row>
    <row r="288" spans="1:20" x14ac:dyDescent="0.25">
      <c r="A288" s="317" t="s">
        <v>427</v>
      </c>
      <c r="B288" s="317" t="s">
        <v>6</v>
      </c>
      <c r="C288" s="265">
        <v>2014</v>
      </c>
      <c r="D288" s="11" t="s">
        <v>2397</v>
      </c>
      <c r="E288" s="3" t="s">
        <v>2398</v>
      </c>
      <c r="F288" s="99" t="s">
        <v>2399</v>
      </c>
      <c r="G288" s="6" t="s">
        <v>2400</v>
      </c>
      <c r="H288" s="3">
        <v>0</v>
      </c>
      <c r="J288" s="3" t="s">
        <v>8</v>
      </c>
      <c r="K288" s="3" t="s">
        <v>1522</v>
      </c>
      <c r="L288" s="166" t="s">
        <v>1573</v>
      </c>
      <c r="M288" s="166" t="s">
        <v>1609</v>
      </c>
      <c r="N288" s="166"/>
      <c r="P288" s="5" t="s">
        <v>2401</v>
      </c>
      <c r="Q288" s="5" t="s">
        <v>2402</v>
      </c>
    </row>
    <row r="289" spans="1:21" x14ac:dyDescent="0.25">
      <c r="A289" s="317" t="s">
        <v>427</v>
      </c>
      <c r="B289" s="317" t="s">
        <v>7</v>
      </c>
      <c r="C289" s="265">
        <v>2006</v>
      </c>
      <c r="D289" s="11" t="s">
        <v>2378</v>
      </c>
      <c r="E289" s="3" t="s">
        <v>761</v>
      </c>
      <c r="F289" s="99" t="s">
        <v>444</v>
      </c>
      <c r="G289" s="6" t="s">
        <v>2379</v>
      </c>
      <c r="H289" s="3">
        <v>57</v>
      </c>
      <c r="J289" s="3" t="s">
        <v>8</v>
      </c>
      <c r="K289" s="3" t="s">
        <v>1522</v>
      </c>
      <c r="L289" s="166" t="s">
        <v>1573</v>
      </c>
      <c r="M289" s="166" t="s">
        <v>1609</v>
      </c>
      <c r="N289" s="166"/>
      <c r="P289" s="31" t="s">
        <v>976</v>
      </c>
      <c r="Q289" s="31" t="s">
        <v>2380</v>
      </c>
      <c r="R289" s="31" t="s">
        <v>2381</v>
      </c>
      <c r="S289" s="31"/>
    </row>
    <row r="290" spans="1:21" x14ac:dyDescent="0.25">
      <c r="A290" s="317" t="s">
        <v>1647</v>
      </c>
      <c r="B290" s="317" t="s">
        <v>23</v>
      </c>
      <c r="C290" s="265">
        <v>2007</v>
      </c>
      <c r="D290" s="11" t="s">
        <v>2293</v>
      </c>
      <c r="E290" s="3" t="s">
        <v>673</v>
      </c>
      <c r="F290" s="4" t="s">
        <v>2294</v>
      </c>
      <c r="G290" s="4" t="s">
        <v>2295</v>
      </c>
      <c r="H290" s="3">
        <v>16</v>
      </c>
      <c r="I290" s="222">
        <v>17</v>
      </c>
      <c r="J290" s="3" t="s">
        <v>8</v>
      </c>
      <c r="K290" s="3" t="s">
        <v>555</v>
      </c>
      <c r="L290" s="166" t="s">
        <v>1573</v>
      </c>
      <c r="M290" s="166" t="s">
        <v>1610</v>
      </c>
      <c r="N290" s="166" t="s">
        <v>2080</v>
      </c>
      <c r="O290" s="52" t="s">
        <v>1594</v>
      </c>
      <c r="P290" s="5" t="s">
        <v>914</v>
      </c>
      <c r="Q290" s="5" t="s">
        <v>2296</v>
      </c>
      <c r="R290" s="5" t="s">
        <v>2297</v>
      </c>
      <c r="S290" s="5" t="s">
        <v>915</v>
      </c>
    </row>
    <row r="291" spans="1:21" x14ac:dyDescent="0.25">
      <c r="A291" s="317" t="s">
        <v>1647</v>
      </c>
      <c r="B291" s="317" t="s">
        <v>6</v>
      </c>
      <c r="C291" s="265">
        <v>2015</v>
      </c>
      <c r="D291" s="11" t="s">
        <v>2298</v>
      </c>
      <c r="E291" s="3" t="s">
        <v>2300</v>
      </c>
      <c r="F291" s="4" t="s">
        <v>2299</v>
      </c>
      <c r="G291" s="4" t="s">
        <v>2301</v>
      </c>
      <c r="H291" s="3">
        <v>3</v>
      </c>
      <c r="I291" s="222">
        <v>3</v>
      </c>
      <c r="J291" s="3" t="s">
        <v>8</v>
      </c>
      <c r="K291" s="3" t="s">
        <v>555</v>
      </c>
      <c r="L291" s="166" t="s">
        <v>1573</v>
      </c>
      <c r="M291" s="166" t="s">
        <v>1610</v>
      </c>
      <c r="N291" s="166" t="s">
        <v>2080</v>
      </c>
      <c r="O291" s="52" t="s">
        <v>2479</v>
      </c>
      <c r="P291" s="5" t="s">
        <v>2302</v>
      </c>
      <c r="Q291" s="5" t="s">
        <v>817</v>
      </c>
      <c r="R291" s="5" t="s">
        <v>818</v>
      </c>
    </row>
    <row r="292" spans="1:21" x14ac:dyDescent="0.25">
      <c r="A292" s="317" t="s">
        <v>1647</v>
      </c>
      <c r="B292" s="317" t="s">
        <v>23</v>
      </c>
      <c r="C292" s="265">
        <v>2014</v>
      </c>
      <c r="D292" s="11" t="s">
        <v>2303</v>
      </c>
      <c r="E292" s="3" t="s">
        <v>936</v>
      </c>
      <c r="F292" s="4" t="s">
        <v>2304</v>
      </c>
      <c r="G292" s="4" t="s">
        <v>2306</v>
      </c>
      <c r="H292" s="3">
        <v>9</v>
      </c>
      <c r="J292" s="3" t="s">
        <v>8</v>
      </c>
      <c r="K292" s="3" t="s">
        <v>555</v>
      </c>
      <c r="L292" s="166" t="s">
        <v>1573</v>
      </c>
      <c r="M292" s="166" t="s">
        <v>1609</v>
      </c>
      <c r="N292" s="166"/>
      <c r="P292" s="5" t="s">
        <v>2305</v>
      </c>
      <c r="Q292" s="5" t="s">
        <v>1479</v>
      </c>
    </row>
    <row r="293" spans="1:21" x14ac:dyDescent="0.25">
      <c r="A293" s="317" t="s">
        <v>1647</v>
      </c>
      <c r="B293" s="317" t="s">
        <v>6</v>
      </c>
      <c r="C293" s="265">
        <v>2012</v>
      </c>
      <c r="D293" s="11" t="s">
        <v>2311</v>
      </c>
      <c r="E293" s="3" t="s">
        <v>2312</v>
      </c>
      <c r="F293" s="6" t="s">
        <v>2313</v>
      </c>
      <c r="G293" s="6" t="s">
        <v>2314</v>
      </c>
      <c r="H293" s="3">
        <v>14</v>
      </c>
      <c r="I293" s="222">
        <v>15</v>
      </c>
      <c r="J293" s="3" t="s">
        <v>8</v>
      </c>
      <c r="K293" s="3" t="s">
        <v>555</v>
      </c>
      <c r="L293" s="166" t="s">
        <v>1573</v>
      </c>
      <c r="M293" s="166" t="s">
        <v>1610</v>
      </c>
      <c r="N293" s="166" t="s">
        <v>2080</v>
      </c>
      <c r="O293" s="52" t="s">
        <v>1595</v>
      </c>
      <c r="P293" s="98" t="s">
        <v>670</v>
      </c>
      <c r="Q293" s="98" t="s">
        <v>671</v>
      </c>
      <c r="R293" s="31" t="s">
        <v>560</v>
      </c>
      <c r="S293" s="31" t="s">
        <v>886</v>
      </c>
      <c r="T293" s="31"/>
      <c r="U293" s="31"/>
    </row>
    <row r="294" spans="1:21" x14ac:dyDescent="0.25">
      <c r="A294" s="317" t="s">
        <v>217</v>
      </c>
      <c r="B294" s="317" t="s">
        <v>7</v>
      </c>
      <c r="C294" s="265">
        <v>2005</v>
      </c>
      <c r="D294" s="11" t="s">
        <v>2319</v>
      </c>
      <c r="E294" s="3" t="s">
        <v>623</v>
      </c>
      <c r="F294" s="6" t="s">
        <v>2320</v>
      </c>
      <c r="G294" s="6" t="s">
        <v>2321</v>
      </c>
      <c r="H294" s="3">
        <v>75</v>
      </c>
      <c r="J294" s="3" t="s">
        <v>8</v>
      </c>
      <c r="K294" s="3" t="s">
        <v>555</v>
      </c>
      <c r="L294" s="166" t="s">
        <v>1573</v>
      </c>
      <c r="M294" s="166" t="s">
        <v>1609</v>
      </c>
      <c r="N294" s="166"/>
      <c r="P294" s="31" t="s">
        <v>2322</v>
      </c>
      <c r="Q294" s="31" t="s">
        <v>2323</v>
      </c>
      <c r="R294" s="31" t="s">
        <v>2324</v>
      </c>
      <c r="S294" s="31"/>
      <c r="T294" s="31"/>
      <c r="U294" s="31"/>
    </row>
    <row r="295" spans="1:21" x14ac:dyDescent="0.25">
      <c r="A295" s="317" t="s">
        <v>5</v>
      </c>
      <c r="B295" s="317" t="s">
        <v>7</v>
      </c>
      <c r="C295" s="265">
        <v>2008</v>
      </c>
      <c r="D295" s="11" t="s">
        <v>2328</v>
      </c>
      <c r="E295" s="3" t="s">
        <v>864</v>
      </c>
      <c r="F295" s="6" t="s">
        <v>2329</v>
      </c>
      <c r="G295" s="6" t="s">
        <v>2330</v>
      </c>
      <c r="H295" s="3">
        <v>7</v>
      </c>
      <c r="J295" s="3" t="s">
        <v>8</v>
      </c>
      <c r="K295" s="3" t="s">
        <v>555</v>
      </c>
      <c r="L295" s="166" t="s">
        <v>1573</v>
      </c>
      <c r="M295" s="166" t="s">
        <v>1610</v>
      </c>
      <c r="N295" s="166" t="s">
        <v>2080</v>
      </c>
      <c r="O295" s="52" t="s">
        <v>2331</v>
      </c>
      <c r="P295" s="31" t="s">
        <v>782</v>
      </c>
      <c r="Q295" s="31" t="s">
        <v>783</v>
      </c>
      <c r="R295" s="31" t="s">
        <v>784</v>
      </c>
      <c r="S295" s="31" t="s">
        <v>785</v>
      </c>
      <c r="T295" s="31"/>
      <c r="U295" s="31"/>
    </row>
    <row r="296" spans="1:21" x14ac:dyDescent="0.25">
      <c r="A296" s="317" t="s">
        <v>1647</v>
      </c>
      <c r="B296" s="317" t="s">
        <v>23</v>
      </c>
      <c r="C296" s="265">
        <v>2018</v>
      </c>
      <c r="D296" s="11" t="s">
        <v>2335</v>
      </c>
      <c r="E296" s="3" t="s">
        <v>2804</v>
      </c>
      <c r="F296" s="6" t="s">
        <v>2336</v>
      </c>
      <c r="G296" s="99" t="s">
        <v>2337</v>
      </c>
      <c r="H296" s="3">
        <v>0</v>
      </c>
      <c r="I296" s="222">
        <v>0</v>
      </c>
      <c r="J296" s="3" t="s">
        <v>8</v>
      </c>
      <c r="K296" s="3" t="s">
        <v>555</v>
      </c>
      <c r="L296" s="166" t="s">
        <v>1573</v>
      </c>
      <c r="M296" s="166" t="s">
        <v>1610</v>
      </c>
      <c r="N296" s="166" t="s">
        <v>2080</v>
      </c>
      <c r="O296" s="52" t="s">
        <v>2256</v>
      </c>
      <c r="P296" s="31" t="s">
        <v>946</v>
      </c>
      <c r="Q296" s="31" t="s">
        <v>1406</v>
      </c>
      <c r="R296" s="31" t="s">
        <v>1389</v>
      </c>
      <c r="S296" s="31" t="s">
        <v>1413</v>
      </c>
    </row>
    <row r="297" spans="1:21" x14ac:dyDescent="0.25">
      <c r="A297" s="317" t="s">
        <v>1647</v>
      </c>
      <c r="B297" s="317" t="s">
        <v>7</v>
      </c>
      <c r="C297" s="265">
        <v>2010</v>
      </c>
      <c r="D297" s="11" t="s">
        <v>2342</v>
      </c>
      <c r="E297" s="3" t="s">
        <v>2343</v>
      </c>
      <c r="G297" s="6" t="s">
        <v>2344</v>
      </c>
      <c r="H297" s="3">
        <v>40</v>
      </c>
      <c r="J297" s="3" t="s">
        <v>8</v>
      </c>
      <c r="K297" s="3" t="s">
        <v>555</v>
      </c>
      <c r="L297" s="166" t="s">
        <v>1573</v>
      </c>
      <c r="M297" s="166" t="s">
        <v>1609</v>
      </c>
      <c r="N297" s="166"/>
      <c r="O297" s="52" t="s">
        <v>1595</v>
      </c>
      <c r="P297" s="31" t="s">
        <v>670</v>
      </c>
      <c r="Q297" s="31" t="s">
        <v>886</v>
      </c>
      <c r="R297" s="31" t="s">
        <v>671</v>
      </c>
      <c r="S297" s="31" t="s">
        <v>672</v>
      </c>
      <c r="T297" s="31" t="s">
        <v>560</v>
      </c>
      <c r="U297" s="71" t="s">
        <v>885</v>
      </c>
    </row>
    <row r="298" spans="1:21" x14ac:dyDescent="0.25">
      <c r="A298" s="317" t="s">
        <v>1647</v>
      </c>
      <c r="B298" s="317" t="s">
        <v>6</v>
      </c>
      <c r="C298" s="265">
        <v>2010</v>
      </c>
      <c r="D298" s="11" t="s">
        <v>2345</v>
      </c>
      <c r="E298" s="3" t="s">
        <v>2346</v>
      </c>
      <c r="F298" s="99" t="s">
        <v>2347</v>
      </c>
      <c r="G298" s="6" t="s">
        <v>2348</v>
      </c>
      <c r="H298" s="3">
        <v>21</v>
      </c>
      <c r="I298" s="222">
        <v>22</v>
      </c>
      <c r="J298" s="3" t="s">
        <v>8</v>
      </c>
      <c r="K298" s="3" t="s">
        <v>555</v>
      </c>
      <c r="L298" s="166" t="s">
        <v>1573</v>
      </c>
      <c r="M298" s="166" t="s">
        <v>1610</v>
      </c>
      <c r="N298" s="166" t="s">
        <v>2080</v>
      </c>
      <c r="O298" s="52" t="s">
        <v>1594</v>
      </c>
      <c r="P298" s="31" t="s">
        <v>914</v>
      </c>
      <c r="Q298" s="31" t="s">
        <v>2297</v>
      </c>
      <c r="R298" s="31" t="s">
        <v>915</v>
      </c>
      <c r="S298" s="31"/>
    </row>
    <row r="299" spans="1:21" x14ac:dyDescent="0.25">
      <c r="A299" s="317" t="s">
        <v>1647</v>
      </c>
      <c r="B299" s="317" t="s">
        <v>7</v>
      </c>
      <c r="C299" s="265">
        <v>2013</v>
      </c>
      <c r="D299" s="11" t="s">
        <v>2349</v>
      </c>
      <c r="E299" s="3" t="s">
        <v>2350</v>
      </c>
      <c r="G299" s="6" t="s">
        <v>2351</v>
      </c>
      <c r="H299" s="3">
        <v>3</v>
      </c>
      <c r="I299" s="222">
        <v>3</v>
      </c>
      <c r="J299" s="3" t="s">
        <v>8</v>
      </c>
      <c r="K299" s="3" t="s">
        <v>555</v>
      </c>
      <c r="L299" s="166" t="s">
        <v>1573</v>
      </c>
      <c r="M299" s="166" t="s">
        <v>1610</v>
      </c>
      <c r="N299" s="166" t="s">
        <v>2080</v>
      </c>
      <c r="O299" s="52" t="s">
        <v>2507</v>
      </c>
      <c r="P299" s="31" t="s">
        <v>2352</v>
      </c>
      <c r="Q299" s="31" t="s">
        <v>2353</v>
      </c>
      <c r="R299" s="31" t="s">
        <v>2354</v>
      </c>
    </row>
    <row r="300" spans="1:21" x14ac:dyDescent="0.25">
      <c r="A300" s="317" t="s">
        <v>1647</v>
      </c>
      <c r="B300" s="317" t="s">
        <v>6</v>
      </c>
      <c r="C300" s="265">
        <v>2015</v>
      </c>
      <c r="D300" s="11" t="s">
        <v>2361</v>
      </c>
      <c r="E300" s="3" t="s">
        <v>2362</v>
      </c>
      <c r="F300" s="99" t="s">
        <v>2363</v>
      </c>
      <c r="G300" s="6" t="s">
        <v>2364</v>
      </c>
      <c r="H300" s="3">
        <v>2</v>
      </c>
      <c r="J300" s="3" t="s">
        <v>8</v>
      </c>
      <c r="K300" s="3" t="s">
        <v>555</v>
      </c>
      <c r="L300" s="166" t="s">
        <v>1573</v>
      </c>
      <c r="M300" s="166" t="s">
        <v>1610</v>
      </c>
      <c r="N300" s="166" t="s">
        <v>2079</v>
      </c>
      <c r="O300" s="52" t="s">
        <v>2476</v>
      </c>
      <c r="P300" s="31" t="s">
        <v>2365</v>
      </c>
      <c r="Q300" s="31" t="s">
        <v>2366</v>
      </c>
      <c r="R300" s="31"/>
      <c r="S300" s="31"/>
    </row>
    <row r="301" spans="1:21" x14ac:dyDescent="0.25">
      <c r="A301" s="317" t="s">
        <v>1647</v>
      </c>
      <c r="B301" s="317" t="s">
        <v>7</v>
      </c>
      <c r="C301" s="265">
        <v>2018</v>
      </c>
      <c r="D301" s="11" t="s">
        <v>2367</v>
      </c>
      <c r="E301" s="3" t="s">
        <v>2368</v>
      </c>
      <c r="G301" s="6" t="s">
        <v>2369</v>
      </c>
      <c r="H301" s="3">
        <v>0</v>
      </c>
      <c r="I301" s="222">
        <v>0</v>
      </c>
      <c r="J301" s="3" t="s">
        <v>8</v>
      </c>
      <c r="K301" s="3" t="s">
        <v>555</v>
      </c>
      <c r="L301" s="166" t="s">
        <v>1573</v>
      </c>
      <c r="M301" s="166" t="s">
        <v>1610</v>
      </c>
      <c r="N301" s="166" t="s">
        <v>2080</v>
      </c>
      <c r="O301" s="52" t="s">
        <v>2514</v>
      </c>
      <c r="P301" s="31" t="s">
        <v>2370</v>
      </c>
      <c r="Q301" s="31" t="s">
        <v>1406</v>
      </c>
    </row>
    <row r="302" spans="1:21" x14ac:dyDescent="0.25">
      <c r="A302" s="317" t="s">
        <v>5</v>
      </c>
      <c r="B302" s="317" t="s">
        <v>7</v>
      </c>
      <c r="C302" s="265">
        <v>2014</v>
      </c>
      <c r="D302" s="11" t="s">
        <v>2371</v>
      </c>
      <c r="E302" s="3" t="s">
        <v>2372</v>
      </c>
      <c r="F302" s="99" t="s">
        <v>2373</v>
      </c>
      <c r="G302" s="6" t="s">
        <v>2374</v>
      </c>
      <c r="H302" s="3">
        <v>0</v>
      </c>
      <c r="I302" s="222">
        <v>0</v>
      </c>
      <c r="J302" s="3" t="s">
        <v>8</v>
      </c>
      <c r="K302" s="3" t="s">
        <v>555</v>
      </c>
      <c r="L302" s="166" t="s">
        <v>1573</v>
      </c>
      <c r="M302" s="166" t="s">
        <v>1610</v>
      </c>
      <c r="N302" s="166" t="s">
        <v>2080</v>
      </c>
      <c r="O302" s="52" t="s">
        <v>2375</v>
      </c>
      <c r="P302" s="31" t="s">
        <v>2376</v>
      </c>
      <c r="Q302" s="31" t="s">
        <v>2377</v>
      </c>
      <c r="R302" s="31"/>
      <c r="S302" s="31"/>
    </row>
    <row r="303" spans="1:21" x14ac:dyDescent="0.25">
      <c r="A303" s="317" t="s">
        <v>1647</v>
      </c>
      <c r="B303" s="317" t="s">
        <v>6</v>
      </c>
      <c r="C303" s="265">
        <v>2015</v>
      </c>
      <c r="D303" s="11" t="s">
        <v>2388</v>
      </c>
      <c r="E303" s="3" t="s">
        <v>2389</v>
      </c>
      <c r="F303" s="99" t="s">
        <v>2390</v>
      </c>
      <c r="G303" s="6" t="s">
        <v>2391</v>
      </c>
      <c r="H303" s="3">
        <v>4</v>
      </c>
      <c r="I303" s="222">
        <v>6</v>
      </c>
      <c r="J303" s="3" t="s">
        <v>8</v>
      </c>
      <c r="K303" s="3" t="s">
        <v>555</v>
      </c>
      <c r="L303" s="166" t="s">
        <v>1573</v>
      </c>
      <c r="M303" s="166" t="s">
        <v>1610</v>
      </c>
      <c r="N303" s="166" t="s">
        <v>2080</v>
      </c>
      <c r="O303" s="52" t="s">
        <v>2039</v>
      </c>
      <c r="P303" s="5" t="s">
        <v>2392</v>
      </c>
      <c r="Q303" s="5" t="s">
        <v>919</v>
      </c>
      <c r="R303" s="100" t="s">
        <v>920</v>
      </c>
      <c r="S303" s="100" t="s">
        <v>2393</v>
      </c>
      <c r="T303" s="100" t="s">
        <v>921</v>
      </c>
    </row>
    <row r="304" spans="1:21" x14ac:dyDescent="0.25">
      <c r="A304" s="317" t="s">
        <v>1647</v>
      </c>
      <c r="B304" s="317" t="s">
        <v>6</v>
      </c>
      <c r="C304" s="265">
        <v>2010</v>
      </c>
      <c r="D304" s="11" t="s">
        <v>2403</v>
      </c>
      <c r="E304" s="3" t="s">
        <v>2413</v>
      </c>
      <c r="F304" s="99" t="s">
        <v>2404</v>
      </c>
      <c r="G304" s="6" t="s">
        <v>2405</v>
      </c>
      <c r="H304" s="3">
        <v>2</v>
      </c>
      <c r="J304" s="3" t="s">
        <v>8</v>
      </c>
      <c r="K304" s="3" t="s">
        <v>555</v>
      </c>
      <c r="L304" s="166" t="s">
        <v>1573</v>
      </c>
      <c r="M304" s="166" t="s">
        <v>1609</v>
      </c>
      <c r="N304" s="166"/>
      <c r="P304" s="5" t="s">
        <v>2406</v>
      </c>
      <c r="Q304" s="5" t="s">
        <v>2407</v>
      </c>
      <c r="R304" s="5" t="s">
        <v>2408</v>
      </c>
    </row>
    <row r="305" spans="1:23" x14ac:dyDescent="0.25">
      <c r="A305" s="317" t="s">
        <v>217</v>
      </c>
      <c r="B305" s="317" t="s">
        <v>7</v>
      </c>
      <c r="C305" s="265">
        <v>2008</v>
      </c>
      <c r="D305" s="11" t="s">
        <v>2420</v>
      </c>
      <c r="E305" s="3" t="s">
        <v>936</v>
      </c>
      <c r="F305" s="99" t="s">
        <v>2421</v>
      </c>
      <c r="G305" s="6" t="s">
        <v>2422</v>
      </c>
      <c r="H305" s="3">
        <v>32</v>
      </c>
      <c r="J305" s="3" t="s">
        <v>8</v>
      </c>
      <c r="K305" s="3" t="s">
        <v>555</v>
      </c>
      <c r="L305" s="166" t="s">
        <v>1573</v>
      </c>
      <c r="M305" s="166" t="s">
        <v>1609</v>
      </c>
      <c r="N305" s="166"/>
      <c r="O305" s="52" t="s">
        <v>2522</v>
      </c>
      <c r="P305" s="5" t="s">
        <v>2423</v>
      </c>
      <c r="Q305" s="5" t="s">
        <v>2424</v>
      </c>
      <c r="R305" s="5" t="s">
        <v>2425</v>
      </c>
      <c r="S305" s="5" t="s">
        <v>1516</v>
      </c>
    </row>
    <row r="306" spans="1:23" x14ac:dyDescent="0.25">
      <c r="A306" s="317" t="s">
        <v>217</v>
      </c>
      <c r="B306" s="317" t="s">
        <v>7</v>
      </c>
      <c r="C306" s="265">
        <v>2020</v>
      </c>
      <c r="D306" s="11" t="s">
        <v>2743</v>
      </c>
      <c r="E306" s="3" t="s">
        <v>1393</v>
      </c>
      <c r="F306" s="99" t="s">
        <v>2276</v>
      </c>
      <c r="G306" s="6" t="s">
        <v>2744</v>
      </c>
      <c r="H306" s="3">
        <v>0</v>
      </c>
      <c r="J306" s="3" t="s">
        <v>8</v>
      </c>
      <c r="K306" s="3" t="s">
        <v>1522</v>
      </c>
      <c r="L306" s="166" t="s">
        <v>1573</v>
      </c>
      <c r="M306" s="166" t="s">
        <v>1609</v>
      </c>
      <c r="N306" s="166"/>
      <c r="P306" s="98" t="s">
        <v>2745</v>
      </c>
      <c r="Q306" s="98" t="s">
        <v>2746</v>
      </c>
    </row>
    <row r="307" spans="1:23" x14ac:dyDescent="0.25">
      <c r="A307" s="317" t="s">
        <v>217</v>
      </c>
      <c r="B307" s="317" t="s">
        <v>7</v>
      </c>
      <c r="C307" s="265">
        <v>2020</v>
      </c>
      <c r="D307" s="11" t="s">
        <v>2758</v>
      </c>
      <c r="E307" s="193" t="s">
        <v>2759</v>
      </c>
      <c r="F307" s="99" t="s">
        <v>2761</v>
      </c>
      <c r="G307" s="6" t="s">
        <v>2760</v>
      </c>
      <c r="H307" s="193">
        <v>0</v>
      </c>
      <c r="J307" s="193" t="s">
        <v>8</v>
      </c>
      <c r="K307" s="193" t="s">
        <v>1522</v>
      </c>
      <c r="L307" s="166" t="s">
        <v>1574</v>
      </c>
      <c r="M307" s="166" t="s">
        <v>1609</v>
      </c>
      <c r="N307" s="166"/>
      <c r="P307" s="98" t="s">
        <v>2762</v>
      </c>
      <c r="Q307" s="98" t="s">
        <v>2763</v>
      </c>
      <c r="R307" s="98" t="s">
        <v>2764</v>
      </c>
      <c r="S307" s="98" t="s">
        <v>2765</v>
      </c>
      <c r="T307" s="98" t="s">
        <v>2766</v>
      </c>
      <c r="U307" s="98" t="s">
        <v>1512</v>
      </c>
      <c r="V307" s="98" t="s">
        <v>2767</v>
      </c>
    </row>
    <row r="308" spans="1:23" x14ac:dyDescent="0.25">
      <c r="A308" s="317" t="s">
        <v>217</v>
      </c>
      <c r="B308" s="317" t="s">
        <v>23</v>
      </c>
      <c r="C308" s="265">
        <v>2020</v>
      </c>
      <c r="D308" s="11" t="s">
        <v>2775</v>
      </c>
      <c r="E308" s="193" t="s">
        <v>2780</v>
      </c>
      <c r="F308" s="99" t="s">
        <v>2777</v>
      </c>
      <c r="G308" s="6" t="s">
        <v>2776</v>
      </c>
      <c r="H308" s="193">
        <v>0</v>
      </c>
      <c r="J308" s="193" t="s">
        <v>8</v>
      </c>
      <c r="K308" s="193" t="s">
        <v>1522</v>
      </c>
      <c r="L308" s="166" t="s">
        <v>1574</v>
      </c>
      <c r="M308" s="166" t="s">
        <v>1609</v>
      </c>
      <c r="N308" s="166"/>
      <c r="P308" s="98" t="s">
        <v>2778</v>
      </c>
      <c r="Q308" s="98" t="s">
        <v>1387</v>
      </c>
      <c r="R308" s="98" t="s">
        <v>2779</v>
      </c>
      <c r="S308" s="98"/>
      <c r="T308" s="98"/>
      <c r="U308" s="98"/>
      <c r="V308" s="98"/>
    </row>
    <row r="309" spans="1:23" x14ac:dyDescent="0.25">
      <c r="A309" s="317" t="s">
        <v>217</v>
      </c>
      <c r="B309" s="317" t="s">
        <v>7</v>
      </c>
      <c r="C309" s="265">
        <v>2020</v>
      </c>
      <c r="D309" s="11" t="s">
        <v>2781</v>
      </c>
      <c r="E309" s="193" t="s">
        <v>865</v>
      </c>
      <c r="F309" s="99" t="s">
        <v>2782</v>
      </c>
      <c r="G309" s="6" t="s">
        <v>2783</v>
      </c>
      <c r="H309" s="193">
        <v>0</v>
      </c>
      <c r="J309" s="193" t="s">
        <v>8</v>
      </c>
      <c r="K309" s="193" t="s">
        <v>1522</v>
      </c>
      <c r="L309" s="166" t="s">
        <v>1573</v>
      </c>
      <c r="M309" s="166" t="s">
        <v>1609</v>
      </c>
      <c r="N309" s="166"/>
      <c r="P309" s="98" t="s">
        <v>2784</v>
      </c>
      <c r="Q309" s="98" t="s">
        <v>2785</v>
      </c>
      <c r="R309" s="98" t="s">
        <v>2786</v>
      </c>
      <c r="S309" s="98" t="s">
        <v>2787</v>
      </c>
      <c r="T309" s="98" t="s">
        <v>2788</v>
      </c>
      <c r="U309" s="98"/>
      <c r="V309" s="98"/>
    </row>
    <row r="310" spans="1:23" x14ac:dyDescent="0.25">
      <c r="A310" s="317" t="s">
        <v>217</v>
      </c>
      <c r="B310" s="317" t="s">
        <v>7</v>
      </c>
      <c r="C310" s="265">
        <v>2020</v>
      </c>
      <c r="D310" s="11" t="s">
        <v>2789</v>
      </c>
      <c r="E310" s="193" t="s">
        <v>865</v>
      </c>
      <c r="F310" s="99" t="s">
        <v>2782</v>
      </c>
      <c r="G310" s="6" t="s">
        <v>2790</v>
      </c>
      <c r="H310" s="193">
        <v>0</v>
      </c>
      <c r="J310" s="193" t="s">
        <v>8</v>
      </c>
      <c r="K310" s="193" t="s">
        <v>1522</v>
      </c>
      <c r="L310" s="166" t="s">
        <v>1573</v>
      </c>
      <c r="M310" s="166" t="s">
        <v>1609</v>
      </c>
      <c r="N310" s="166"/>
      <c r="P310" s="98" t="s">
        <v>2791</v>
      </c>
      <c r="Q310" s="98" t="s">
        <v>2792</v>
      </c>
      <c r="R310" s="98" t="s">
        <v>2793</v>
      </c>
      <c r="S310" s="98" t="s">
        <v>2794</v>
      </c>
      <c r="T310" s="98" t="s">
        <v>2795</v>
      </c>
      <c r="U310" s="98" t="s">
        <v>2796</v>
      </c>
      <c r="V310" s="98" t="s">
        <v>2797</v>
      </c>
      <c r="W310" s="98" t="s">
        <v>2798</v>
      </c>
    </row>
    <row r="311" spans="1:23" x14ac:dyDescent="0.25">
      <c r="A311" s="317" t="s">
        <v>217</v>
      </c>
      <c r="B311" s="317" t="s">
        <v>7</v>
      </c>
      <c r="C311" s="265">
        <v>2020</v>
      </c>
      <c r="D311" s="11" t="s">
        <v>2768</v>
      </c>
      <c r="E311" s="193" t="s">
        <v>1407</v>
      </c>
      <c r="F311" s="99" t="s">
        <v>2769</v>
      </c>
      <c r="G311" s="6" t="s">
        <v>2770</v>
      </c>
      <c r="H311" s="193">
        <v>0</v>
      </c>
      <c r="J311" s="193" t="s">
        <v>8</v>
      </c>
      <c r="K311" s="193" t="s">
        <v>1522</v>
      </c>
      <c r="L311" s="166" t="s">
        <v>1573</v>
      </c>
      <c r="M311" s="166" t="s">
        <v>1609</v>
      </c>
      <c r="N311" s="166"/>
      <c r="O311" s="52" t="s">
        <v>2772</v>
      </c>
      <c r="P311" s="98" t="s">
        <v>2771</v>
      </c>
      <c r="Q311" s="98" t="s">
        <v>2773</v>
      </c>
      <c r="R311" s="98" t="s">
        <v>2774</v>
      </c>
      <c r="S311" s="98"/>
      <c r="T311" s="98"/>
    </row>
    <row r="312" spans="1:23" x14ac:dyDescent="0.25">
      <c r="A312" s="317" t="s">
        <v>427</v>
      </c>
      <c r="B312" s="317" t="s">
        <v>7</v>
      </c>
      <c r="C312" s="265">
        <v>2020</v>
      </c>
      <c r="D312" s="11" t="s">
        <v>2742</v>
      </c>
      <c r="E312" s="3" t="s">
        <v>2748</v>
      </c>
      <c r="F312" s="99" t="s">
        <v>2756</v>
      </c>
      <c r="G312" s="6" t="s">
        <v>2757</v>
      </c>
      <c r="H312" s="3">
        <v>0</v>
      </c>
      <c r="I312" s="222">
        <v>1</v>
      </c>
      <c r="J312" s="3" t="s">
        <v>90</v>
      </c>
      <c r="K312" s="3" t="s">
        <v>1522</v>
      </c>
      <c r="L312" s="166" t="s">
        <v>1573</v>
      </c>
      <c r="M312" s="166" t="s">
        <v>1610</v>
      </c>
      <c r="N312" s="166" t="s">
        <v>2080</v>
      </c>
      <c r="O312" s="52" t="s">
        <v>2815</v>
      </c>
      <c r="P312" s="5" t="s">
        <v>2747</v>
      </c>
      <c r="Q312" s="5" t="s">
        <v>1321</v>
      </c>
    </row>
    <row r="313" spans="1:23" x14ac:dyDescent="0.25">
      <c r="A313" s="317" t="s">
        <v>1647</v>
      </c>
      <c r="B313" s="317" t="s">
        <v>7</v>
      </c>
      <c r="C313" s="265">
        <v>2020</v>
      </c>
      <c r="D313" s="11" t="s">
        <v>2741</v>
      </c>
      <c r="E313" s="192" t="s">
        <v>2749</v>
      </c>
      <c r="F313" s="99" t="s">
        <v>2750</v>
      </c>
      <c r="G313" s="6" t="s">
        <v>2799</v>
      </c>
      <c r="H313" s="192">
        <v>0</v>
      </c>
      <c r="I313" s="222">
        <v>0</v>
      </c>
      <c r="J313" s="192" t="s">
        <v>8</v>
      </c>
      <c r="K313" s="192" t="s">
        <v>555</v>
      </c>
      <c r="L313" s="166" t="s">
        <v>1573</v>
      </c>
      <c r="M313" s="166" t="s">
        <v>1610</v>
      </c>
      <c r="N313" s="166" t="s">
        <v>2080</v>
      </c>
      <c r="O313" s="52" t="s">
        <v>2821</v>
      </c>
      <c r="P313" s="98" t="s">
        <v>2751</v>
      </c>
      <c r="Q313" s="98" t="s">
        <v>2752</v>
      </c>
      <c r="R313" s="98" t="s">
        <v>2753</v>
      </c>
      <c r="S313" s="98" t="s">
        <v>2754</v>
      </c>
      <c r="T313" s="98" t="s">
        <v>2755</v>
      </c>
    </row>
    <row r="314" spans="1:23" x14ac:dyDescent="0.25">
      <c r="A314" s="317" t="s">
        <v>427</v>
      </c>
      <c r="B314" s="317" t="s">
        <v>7</v>
      </c>
      <c r="C314" s="265">
        <v>2010</v>
      </c>
      <c r="D314" s="11" t="s">
        <v>3141</v>
      </c>
      <c r="E314" s="3" t="s">
        <v>1352</v>
      </c>
      <c r="F314" s="99" t="s">
        <v>438</v>
      </c>
      <c r="G314" s="6" t="s">
        <v>3142</v>
      </c>
      <c r="H314" s="3">
        <v>17</v>
      </c>
      <c r="J314" s="3" t="s">
        <v>8</v>
      </c>
      <c r="K314" s="3" t="s">
        <v>1522</v>
      </c>
      <c r="L314" s="166" t="s">
        <v>1573</v>
      </c>
      <c r="M314" s="166" t="s">
        <v>1609</v>
      </c>
      <c r="N314" s="166"/>
    </row>
    <row r="315" spans="1:23" x14ac:dyDescent="0.25">
      <c r="A315" s="317" t="s">
        <v>427</v>
      </c>
      <c r="B315" s="317" t="s">
        <v>3143</v>
      </c>
      <c r="C315" s="265">
        <v>2018</v>
      </c>
      <c r="D315" s="11" t="s">
        <v>3144</v>
      </c>
      <c r="G315" s="6" t="s">
        <v>3145</v>
      </c>
      <c r="H315" s="3">
        <v>0</v>
      </c>
      <c r="J315" s="3" t="s">
        <v>8</v>
      </c>
      <c r="K315" s="3" t="s">
        <v>1522</v>
      </c>
      <c r="L315" s="166" t="s">
        <v>1574</v>
      </c>
      <c r="M315" s="166" t="s">
        <v>1609</v>
      </c>
      <c r="N315" s="166"/>
    </row>
    <row r="316" spans="1:23" x14ac:dyDescent="0.25">
      <c r="A316" s="264" t="s">
        <v>1647</v>
      </c>
      <c r="B316" s="264" t="s">
        <v>6</v>
      </c>
      <c r="C316" s="265">
        <v>2010</v>
      </c>
      <c r="D316" s="266" t="s">
        <v>3146</v>
      </c>
      <c r="E316" s="166"/>
      <c r="F316" s="99" t="s">
        <v>3147</v>
      </c>
      <c r="G316" s="267" t="s">
        <v>3148</v>
      </c>
      <c r="H316" s="166">
        <v>5</v>
      </c>
      <c r="I316" s="166"/>
      <c r="J316" s="166" t="s">
        <v>8</v>
      </c>
      <c r="K316" s="166" t="s">
        <v>555</v>
      </c>
      <c r="L316" s="166" t="s">
        <v>1574</v>
      </c>
      <c r="M316" s="166" t="s">
        <v>1609</v>
      </c>
      <c r="N316" s="166"/>
      <c r="O316" s="166"/>
      <c r="P316" s="264"/>
      <c r="Q316" s="264"/>
      <c r="R316" s="264"/>
      <c r="S316" s="264"/>
      <c r="T316" s="264"/>
    </row>
    <row r="317" spans="1:23" x14ac:dyDescent="0.25">
      <c r="A317" s="264" t="s">
        <v>1647</v>
      </c>
      <c r="B317" s="264" t="s">
        <v>6</v>
      </c>
      <c r="C317" s="265">
        <v>2016</v>
      </c>
      <c r="D317" s="266" t="s">
        <v>3149</v>
      </c>
      <c r="E317" s="166" t="s">
        <v>3150</v>
      </c>
      <c r="F317" s="99" t="s">
        <v>3151</v>
      </c>
      <c r="G317" s="264"/>
      <c r="H317" s="166"/>
      <c r="I317" s="166"/>
      <c r="J317" s="166" t="s">
        <v>8</v>
      </c>
      <c r="K317" s="166" t="s">
        <v>555</v>
      </c>
      <c r="L317" s="166" t="s">
        <v>1573</v>
      </c>
      <c r="M317" s="166" t="s">
        <v>1609</v>
      </c>
      <c r="N317" s="166"/>
      <c r="O317" s="166"/>
      <c r="P317" s="264"/>
      <c r="Q317" s="264"/>
      <c r="R317" s="264"/>
      <c r="S317" s="264"/>
      <c r="T317" s="264"/>
    </row>
    <row r="318" spans="1:23" x14ac:dyDescent="0.25">
      <c r="A318" s="264" t="s">
        <v>217</v>
      </c>
      <c r="B318" s="264" t="s">
        <v>7</v>
      </c>
      <c r="C318" s="265">
        <v>2015</v>
      </c>
      <c r="D318" s="266" t="s">
        <v>3152</v>
      </c>
      <c r="E318" s="166" t="s">
        <v>1407</v>
      </c>
      <c r="F318" s="261" t="s">
        <v>510</v>
      </c>
      <c r="G318" s="267" t="s">
        <v>3153</v>
      </c>
      <c r="H318" s="166">
        <v>2</v>
      </c>
      <c r="I318" s="166"/>
      <c r="J318" s="166" t="s">
        <v>8</v>
      </c>
      <c r="K318" s="166" t="s">
        <v>1522</v>
      </c>
      <c r="L318" s="166" t="s">
        <v>1573</v>
      </c>
      <c r="M318" s="166" t="s">
        <v>1609</v>
      </c>
      <c r="N318" s="166"/>
      <c r="O318" s="166"/>
      <c r="P318" s="264"/>
      <c r="Q318" s="264"/>
      <c r="R318" s="264"/>
      <c r="S318" s="264"/>
      <c r="T318" s="264"/>
    </row>
    <row r="319" spans="1:23" x14ac:dyDescent="0.25">
      <c r="A319" s="264" t="s">
        <v>217</v>
      </c>
      <c r="B319" s="264" t="s">
        <v>7</v>
      </c>
      <c r="C319" s="265">
        <v>2009</v>
      </c>
      <c r="D319" s="266" t="s">
        <v>3154</v>
      </c>
      <c r="E319" s="166" t="s">
        <v>3155</v>
      </c>
      <c r="F319" s="99" t="s">
        <v>3156</v>
      </c>
      <c r="G319" s="99" t="s">
        <v>3157</v>
      </c>
      <c r="H319" s="166">
        <v>112</v>
      </c>
      <c r="I319" s="166"/>
      <c r="J319" s="166" t="s">
        <v>8</v>
      </c>
      <c r="K319" s="166" t="s">
        <v>1522</v>
      </c>
      <c r="L319" s="166" t="s">
        <v>1573</v>
      </c>
      <c r="M319" s="166" t="s">
        <v>1609</v>
      </c>
      <c r="N319" s="166"/>
      <c r="O319" s="166" t="s">
        <v>3319</v>
      </c>
      <c r="P319" s="173" t="s">
        <v>1421</v>
      </c>
      <c r="Q319" s="173" t="s">
        <v>3317</v>
      </c>
      <c r="R319" s="173" t="s">
        <v>3318</v>
      </c>
      <c r="S319" s="264"/>
      <c r="T319" s="264"/>
    </row>
    <row r="320" spans="1:23" x14ac:dyDescent="0.25">
      <c r="A320" s="264" t="s">
        <v>217</v>
      </c>
      <c r="B320" s="264" t="s">
        <v>7</v>
      </c>
      <c r="C320" s="265">
        <v>2016</v>
      </c>
      <c r="D320" s="266" t="s">
        <v>3158</v>
      </c>
      <c r="E320" s="166" t="s">
        <v>623</v>
      </c>
      <c r="F320" s="99" t="s">
        <v>131</v>
      </c>
      <c r="G320" s="99" t="s">
        <v>3159</v>
      </c>
      <c r="H320" s="166">
        <v>6</v>
      </c>
      <c r="I320" s="166"/>
      <c r="J320" s="166" t="s">
        <v>8</v>
      </c>
      <c r="K320" s="166" t="s">
        <v>1522</v>
      </c>
      <c r="L320" s="166" t="s">
        <v>1573</v>
      </c>
      <c r="M320" s="166" t="s">
        <v>1610</v>
      </c>
      <c r="N320" s="166" t="s">
        <v>2080</v>
      </c>
      <c r="O320" s="166" t="s">
        <v>3513</v>
      </c>
      <c r="P320" s="173" t="s">
        <v>3328</v>
      </c>
      <c r="Q320" s="173" t="s">
        <v>3329</v>
      </c>
      <c r="R320" s="173" t="s">
        <v>806</v>
      </c>
      <c r="S320" s="264"/>
      <c r="T320" s="264"/>
    </row>
    <row r="321" spans="1:20" x14ac:dyDescent="0.25">
      <c r="A321" s="264" t="s">
        <v>217</v>
      </c>
      <c r="B321" s="264" t="s">
        <v>23</v>
      </c>
      <c r="C321" s="265">
        <v>2011</v>
      </c>
      <c r="D321" s="266" t="s">
        <v>3160</v>
      </c>
      <c r="E321" s="166" t="s">
        <v>3161</v>
      </c>
      <c r="F321" s="99" t="s">
        <v>3162</v>
      </c>
      <c r="G321" s="267" t="s">
        <v>3163</v>
      </c>
      <c r="H321" s="166">
        <v>4</v>
      </c>
      <c r="I321" s="166"/>
      <c r="J321" s="166" t="s">
        <v>8</v>
      </c>
      <c r="K321" s="166" t="s">
        <v>1522</v>
      </c>
      <c r="L321" s="166" t="s">
        <v>1573</v>
      </c>
      <c r="M321" s="166" t="s">
        <v>1610</v>
      </c>
      <c r="N321" s="166" t="s">
        <v>2080</v>
      </c>
      <c r="O321" s="166" t="s">
        <v>3341</v>
      </c>
      <c r="P321" s="173" t="s">
        <v>804</v>
      </c>
      <c r="Q321" s="173" t="s">
        <v>3336</v>
      </c>
      <c r="R321" s="264"/>
      <c r="S321" s="264"/>
      <c r="T321" s="264"/>
    </row>
    <row r="322" spans="1:20" x14ac:dyDescent="0.25">
      <c r="A322" s="264" t="s">
        <v>217</v>
      </c>
      <c r="B322" s="264" t="s">
        <v>7</v>
      </c>
      <c r="C322" s="265">
        <v>2005</v>
      </c>
      <c r="D322" s="266" t="s">
        <v>3164</v>
      </c>
      <c r="E322" s="166" t="s">
        <v>623</v>
      </c>
      <c r="F322" s="99" t="s">
        <v>3165</v>
      </c>
      <c r="G322" s="267" t="s">
        <v>3166</v>
      </c>
      <c r="H322" s="166">
        <v>2</v>
      </c>
      <c r="I322" s="166"/>
      <c r="J322" s="166" t="s">
        <v>8</v>
      </c>
      <c r="K322" s="166" t="s">
        <v>1522</v>
      </c>
      <c r="L322" s="166" t="s">
        <v>1573</v>
      </c>
      <c r="M322" s="166" t="s">
        <v>1610</v>
      </c>
      <c r="N322" s="166" t="s">
        <v>2080</v>
      </c>
      <c r="O322" s="166" t="s">
        <v>3324</v>
      </c>
      <c r="P322" s="264" t="s">
        <v>783</v>
      </c>
      <c r="Q322" s="264"/>
      <c r="R322" s="264"/>
      <c r="S322" s="264"/>
      <c r="T322" s="264"/>
    </row>
    <row r="323" spans="1:20" x14ac:dyDescent="0.25">
      <c r="A323" s="264" t="s">
        <v>323</v>
      </c>
      <c r="B323" s="264" t="s">
        <v>6</v>
      </c>
      <c r="C323" s="265">
        <v>2020</v>
      </c>
      <c r="D323" s="266" t="s">
        <v>3167</v>
      </c>
      <c r="E323" s="166" t="s">
        <v>2876</v>
      </c>
      <c r="F323" s="268" t="s">
        <v>331</v>
      </c>
      <c r="G323" s="267" t="s">
        <v>3168</v>
      </c>
      <c r="H323" s="166">
        <v>0</v>
      </c>
      <c r="I323" s="166"/>
      <c r="J323" s="166" t="s">
        <v>8</v>
      </c>
      <c r="K323" s="166" t="s">
        <v>1522</v>
      </c>
      <c r="L323" s="166" t="s">
        <v>1574</v>
      </c>
      <c r="M323" s="166" t="s">
        <v>1609</v>
      </c>
      <c r="N323" s="166"/>
      <c r="O323" s="166"/>
      <c r="P323" s="264"/>
      <c r="Q323" s="264"/>
      <c r="R323" s="264"/>
      <c r="S323" s="264"/>
      <c r="T323" s="264"/>
    </row>
    <row r="324" spans="1:20" x14ac:dyDescent="0.25">
      <c r="A324" s="264" t="s">
        <v>427</v>
      </c>
      <c r="B324" s="264" t="s">
        <v>6</v>
      </c>
      <c r="C324" s="265">
        <v>2011</v>
      </c>
      <c r="D324" s="266" t="s">
        <v>3169</v>
      </c>
      <c r="E324" s="166"/>
      <c r="F324" s="99" t="s">
        <v>3170</v>
      </c>
      <c r="G324" s="267" t="s">
        <v>3171</v>
      </c>
      <c r="H324" s="166">
        <v>23</v>
      </c>
      <c r="I324" s="166"/>
      <c r="J324" s="166" t="s">
        <v>8</v>
      </c>
      <c r="K324" s="166" t="s">
        <v>1522</v>
      </c>
      <c r="L324" s="166" t="s">
        <v>1573</v>
      </c>
      <c r="M324" s="166" t="s">
        <v>1609</v>
      </c>
      <c r="N324" s="166"/>
      <c r="O324" s="166" t="s">
        <v>2331</v>
      </c>
      <c r="P324" s="173" t="s">
        <v>785</v>
      </c>
      <c r="Q324" s="264" t="s">
        <v>3172</v>
      </c>
      <c r="R324" s="264" t="s">
        <v>782</v>
      </c>
      <c r="S324" s="264"/>
      <c r="T324" s="264"/>
    </row>
    <row r="325" spans="1:20" x14ac:dyDescent="0.25">
      <c r="A325" s="264" t="s">
        <v>427</v>
      </c>
      <c r="B325" s="264" t="s">
        <v>7</v>
      </c>
      <c r="C325" s="265">
        <v>2016</v>
      </c>
      <c r="D325" s="266" t="s">
        <v>3173</v>
      </c>
      <c r="E325" s="166" t="s">
        <v>1466</v>
      </c>
      <c r="F325" s="99" t="s">
        <v>2410</v>
      </c>
      <c r="G325" s="267" t="s">
        <v>3174</v>
      </c>
      <c r="H325" s="166">
        <v>0</v>
      </c>
      <c r="I325" s="166"/>
      <c r="J325" s="166" t="s">
        <v>8</v>
      </c>
      <c r="K325" s="166" t="s">
        <v>1522</v>
      </c>
      <c r="L325" s="166" t="s">
        <v>1574</v>
      </c>
      <c r="M325" s="166" t="s">
        <v>1609</v>
      </c>
      <c r="N325" s="166"/>
      <c r="O325" s="166"/>
      <c r="P325" s="264" t="s">
        <v>3175</v>
      </c>
      <c r="Q325" s="264" t="s">
        <v>3176</v>
      </c>
      <c r="R325" s="264"/>
      <c r="S325" s="264"/>
      <c r="T325" s="264"/>
    </row>
    <row r="326" spans="1:20" x14ac:dyDescent="0.25">
      <c r="A326" s="264" t="s">
        <v>5</v>
      </c>
      <c r="B326" s="264" t="s">
        <v>7</v>
      </c>
      <c r="C326" s="265">
        <v>2005</v>
      </c>
      <c r="D326" s="266" t="s">
        <v>3177</v>
      </c>
      <c r="E326" s="166" t="s">
        <v>699</v>
      </c>
      <c r="F326" s="99" t="s">
        <v>3178</v>
      </c>
      <c r="G326" s="267" t="s">
        <v>3179</v>
      </c>
      <c r="H326" s="166">
        <v>27</v>
      </c>
      <c r="I326" s="166">
        <v>86</v>
      </c>
      <c r="J326" s="166" t="s">
        <v>8</v>
      </c>
      <c r="K326" s="166" t="s">
        <v>1522</v>
      </c>
      <c r="L326" s="166" t="s">
        <v>1573</v>
      </c>
      <c r="M326" s="166" t="s">
        <v>1610</v>
      </c>
      <c r="N326" s="166" t="s">
        <v>2080</v>
      </c>
      <c r="O326" s="166" t="s">
        <v>3238</v>
      </c>
      <c r="P326" s="264" t="s">
        <v>782</v>
      </c>
      <c r="Q326" s="264" t="s">
        <v>784</v>
      </c>
      <c r="R326" s="264"/>
      <c r="S326" s="264"/>
      <c r="T326" s="264"/>
    </row>
    <row r="327" spans="1:20" x14ac:dyDescent="0.25">
      <c r="A327" s="264" t="s">
        <v>1647</v>
      </c>
      <c r="B327" s="264" t="s">
        <v>6</v>
      </c>
      <c r="C327" s="265">
        <v>2010</v>
      </c>
      <c r="D327" s="266" t="s">
        <v>3180</v>
      </c>
      <c r="E327" s="166"/>
      <c r="F327" s="99" t="s">
        <v>3181</v>
      </c>
      <c r="G327" s="267" t="s">
        <v>3182</v>
      </c>
      <c r="H327" s="166"/>
      <c r="I327" s="166"/>
      <c r="J327" s="166" t="s">
        <v>8</v>
      </c>
      <c r="K327" s="166" t="s">
        <v>555</v>
      </c>
      <c r="L327" s="166" t="s">
        <v>1573</v>
      </c>
      <c r="M327" s="166" t="s">
        <v>1609</v>
      </c>
      <c r="N327" s="166"/>
      <c r="O327" s="166"/>
      <c r="P327" s="264" t="s">
        <v>3183</v>
      </c>
      <c r="Q327" s="264" t="s">
        <v>3184</v>
      </c>
      <c r="R327" s="264" t="s">
        <v>3185</v>
      </c>
      <c r="S327" s="264"/>
      <c r="T327" s="264"/>
    </row>
    <row r="328" spans="1:20" x14ac:dyDescent="0.25">
      <c r="A328" s="264" t="s">
        <v>1647</v>
      </c>
      <c r="B328" s="264" t="s">
        <v>7</v>
      </c>
      <c r="C328" s="265">
        <v>2008</v>
      </c>
      <c r="D328" s="266" t="s">
        <v>3186</v>
      </c>
      <c r="E328" s="166" t="s">
        <v>3187</v>
      </c>
      <c r="F328" s="99" t="s">
        <v>3188</v>
      </c>
      <c r="G328" s="267" t="s">
        <v>3189</v>
      </c>
      <c r="H328" s="166">
        <v>6</v>
      </c>
      <c r="I328" s="166"/>
      <c r="J328" s="166" t="s">
        <v>8</v>
      </c>
      <c r="K328" s="166" t="s">
        <v>555</v>
      </c>
      <c r="L328" s="166" t="s">
        <v>1573</v>
      </c>
      <c r="M328" s="166" t="s">
        <v>1609</v>
      </c>
      <c r="N328" s="166"/>
      <c r="O328" s="166" t="s">
        <v>3190</v>
      </c>
      <c r="P328" s="264"/>
      <c r="Q328" s="264"/>
      <c r="R328" s="264"/>
      <c r="S328" s="264"/>
      <c r="T328" s="264"/>
    </row>
    <row r="329" spans="1:20" x14ac:dyDescent="0.25">
      <c r="A329" s="264" t="s">
        <v>427</v>
      </c>
      <c r="B329" s="264" t="s">
        <v>6</v>
      </c>
      <c r="C329" s="265">
        <v>2006</v>
      </c>
      <c r="D329" s="266" t="s">
        <v>3191</v>
      </c>
      <c r="E329" s="166" t="s">
        <v>699</v>
      </c>
      <c r="F329" s="99" t="s">
        <v>700</v>
      </c>
      <c r="G329" s="267" t="s">
        <v>3192</v>
      </c>
      <c r="H329" s="166">
        <v>58</v>
      </c>
      <c r="I329" s="166"/>
      <c r="J329" s="166" t="s">
        <v>8</v>
      </c>
      <c r="K329" s="166" t="s">
        <v>1522</v>
      </c>
      <c r="L329" s="166" t="s">
        <v>1573</v>
      </c>
      <c r="M329" s="166" t="s">
        <v>1610</v>
      </c>
      <c r="N329" s="166" t="s">
        <v>2080</v>
      </c>
      <c r="O329" s="166" t="s">
        <v>3238</v>
      </c>
      <c r="P329" s="264" t="s">
        <v>782</v>
      </c>
      <c r="Q329" s="264" t="s">
        <v>3193</v>
      </c>
      <c r="R329" s="264"/>
      <c r="S329" s="264"/>
      <c r="T329" s="264"/>
    </row>
    <row r="330" spans="1:20" x14ac:dyDescent="0.25">
      <c r="A330" s="264" t="s">
        <v>1647</v>
      </c>
      <c r="B330" s="264" t="s">
        <v>6</v>
      </c>
      <c r="C330" s="265">
        <v>2010</v>
      </c>
      <c r="D330" s="266" t="s">
        <v>3194</v>
      </c>
      <c r="E330" s="166" t="s">
        <v>2312</v>
      </c>
      <c r="F330" s="99" t="s">
        <v>3195</v>
      </c>
      <c r="G330" s="264"/>
      <c r="H330" s="166"/>
      <c r="I330" s="166"/>
      <c r="J330" s="166" t="s">
        <v>8</v>
      </c>
      <c r="K330" s="166" t="s">
        <v>555</v>
      </c>
      <c r="L330" s="166" t="s">
        <v>1573</v>
      </c>
      <c r="M330" s="166" t="s">
        <v>1609</v>
      </c>
      <c r="N330" s="166"/>
      <c r="O330" s="166" t="s">
        <v>3190</v>
      </c>
      <c r="P330" s="264" t="s">
        <v>1129</v>
      </c>
      <c r="Q330" s="264" t="s">
        <v>1022</v>
      </c>
      <c r="R330" s="264" t="s">
        <v>1023</v>
      </c>
      <c r="S330" s="264" t="s">
        <v>1021</v>
      </c>
      <c r="T330" s="264" t="s">
        <v>3196</v>
      </c>
    </row>
    <row r="331" spans="1:20" x14ac:dyDescent="0.25">
      <c r="A331" s="264" t="s">
        <v>427</v>
      </c>
      <c r="B331" s="264" t="s">
        <v>7</v>
      </c>
      <c r="C331" s="265">
        <v>2009</v>
      </c>
      <c r="D331" s="266" t="s">
        <v>3197</v>
      </c>
      <c r="E331" s="166" t="s">
        <v>3198</v>
      </c>
      <c r="F331" s="99" t="s">
        <v>3199</v>
      </c>
      <c r="G331" s="267" t="s">
        <v>3200</v>
      </c>
      <c r="H331" s="166">
        <v>7</v>
      </c>
      <c r="I331" s="166"/>
      <c r="J331" s="166" t="s">
        <v>8</v>
      </c>
      <c r="K331" s="166" t="s">
        <v>1522</v>
      </c>
      <c r="L331" s="166" t="s">
        <v>1573</v>
      </c>
      <c r="M331" s="166" t="s">
        <v>1610</v>
      </c>
      <c r="N331" s="166" t="s">
        <v>2080</v>
      </c>
      <c r="O331" s="166" t="s">
        <v>3314</v>
      </c>
      <c r="P331" s="264" t="s">
        <v>3201</v>
      </c>
      <c r="Q331" s="264" t="s">
        <v>3202</v>
      </c>
      <c r="R331" s="264" t="s">
        <v>1572</v>
      </c>
      <c r="S331" s="264" t="s">
        <v>3203</v>
      </c>
      <c r="T331" s="264"/>
    </row>
    <row r="332" spans="1:20" x14ac:dyDescent="0.25">
      <c r="A332" s="264" t="s">
        <v>427</v>
      </c>
      <c r="B332" s="264" t="s">
        <v>7</v>
      </c>
      <c r="C332" s="265">
        <v>2008</v>
      </c>
      <c r="D332" s="266" t="s">
        <v>3204</v>
      </c>
      <c r="E332" s="166" t="s">
        <v>761</v>
      </c>
      <c r="F332" s="99" t="s">
        <v>444</v>
      </c>
      <c r="G332" s="267" t="s">
        <v>3205</v>
      </c>
      <c r="H332" s="166">
        <v>13</v>
      </c>
      <c r="I332" s="166"/>
      <c r="J332" s="166" t="s">
        <v>8</v>
      </c>
      <c r="K332" s="166" t="s">
        <v>1522</v>
      </c>
      <c r="L332" s="166" t="s">
        <v>1573</v>
      </c>
      <c r="M332" s="166" t="s">
        <v>1609</v>
      </c>
      <c r="N332" s="166"/>
      <c r="O332" s="166"/>
      <c r="P332" s="173" t="s">
        <v>3355</v>
      </c>
      <c r="Q332" s="173" t="s">
        <v>1003</v>
      </c>
      <c r="R332" s="173" t="s">
        <v>723</v>
      </c>
      <c r="S332" s="173" t="s">
        <v>3356</v>
      </c>
      <c r="T332" s="264"/>
    </row>
    <row r="333" spans="1:20" x14ac:dyDescent="0.25">
      <c r="A333" s="264" t="s">
        <v>5</v>
      </c>
      <c r="B333" s="264" t="s">
        <v>7</v>
      </c>
      <c r="C333" s="265">
        <v>2011</v>
      </c>
      <c r="D333" s="266" t="s">
        <v>3206</v>
      </c>
      <c r="E333" s="166" t="s">
        <v>3207</v>
      </c>
      <c r="F333" s="99" t="s">
        <v>3208</v>
      </c>
      <c r="G333" s="267" t="s">
        <v>3209</v>
      </c>
      <c r="H333" s="166">
        <v>8</v>
      </c>
      <c r="I333" s="166"/>
      <c r="J333" s="166" t="s">
        <v>8</v>
      </c>
      <c r="K333" s="166" t="s">
        <v>1522</v>
      </c>
      <c r="L333" s="166" t="s">
        <v>1573</v>
      </c>
      <c r="M333" s="166" t="s">
        <v>1609</v>
      </c>
      <c r="N333" s="166"/>
      <c r="O333" s="166"/>
      <c r="P333" s="264"/>
      <c r="Q333" s="264"/>
      <c r="R333" s="264"/>
      <c r="S333" s="264"/>
      <c r="T333" s="264"/>
    </row>
    <row r="334" spans="1:20" x14ac:dyDescent="0.25">
      <c r="A334" s="317" t="s">
        <v>5</v>
      </c>
      <c r="B334" s="317" t="s">
        <v>7</v>
      </c>
      <c r="C334" s="265">
        <v>2017</v>
      </c>
      <c r="D334" s="11" t="s">
        <v>3210</v>
      </c>
      <c r="E334" s="262" t="s">
        <v>3211</v>
      </c>
      <c r="F334" s="99" t="s">
        <v>3212</v>
      </c>
      <c r="G334" s="4" t="s">
        <v>3219</v>
      </c>
      <c r="H334" s="262">
        <v>2</v>
      </c>
      <c r="I334" s="262"/>
      <c r="J334" s="262" t="s">
        <v>8</v>
      </c>
      <c r="K334" s="262" t="s">
        <v>1522</v>
      </c>
      <c r="L334" s="166" t="s">
        <v>1574</v>
      </c>
      <c r="M334" s="166" t="s">
        <v>1609</v>
      </c>
      <c r="N334" s="166"/>
      <c r="O334" s="262"/>
      <c r="P334"/>
      <c r="Q334"/>
      <c r="R334"/>
    </row>
    <row r="335" spans="1:20" x14ac:dyDescent="0.25">
      <c r="A335" s="317" t="s">
        <v>427</v>
      </c>
      <c r="B335" s="317" t="s">
        <v>7</v>
      </c>
      <c r="C335" s="265">
        <v>2020</v>
      </c>
      <c r="D335" s="11" t="s">
        <v>3213</v>
      </c>
      <c r="E335" s="262" t="s">
        <v>3214</v>
      </c>
      <c r="F335" s="99" t="s">
        <v>3215</v>
      </c>
      <c r="G335" s="6" t="s">
        <v>3216</v>
      </c>
      <c r="H335" s="262">
        <v>0</v>
      </c>
      <c r="I335" s="262"/>
      <c r="J335" s="262" t="s">
        <v>8</v>
      </c>
      <c r="K335" s="262" t="s">
        <v>1522</v>
      </c>
      <c r="L335" s="166" t="s">
        <v>1573</v>
      </c>
      <c r="M335" s="166" t="s">
        <v>1610</v>
      </c>
      <c r="N335" s="166" t="s">
        <v>2080</v>
      </c>
      <c r="O335" s="262" t="s">
        <v>3360</v>
      </c>
      <c r="P335" t="s">
        <v>3217</v>
      </c>
      <c r="Q335" t="s">
        <v>3218</v>
      </c>
      <c r="R335"/>
    </row>
    <row r="336" spans="1:20" x14ac:dyDescent="0.25">
      <c r="A336" s="317" t="s">
        <v>323</v>
      </c>
      <c r="B336" s="317" t="s">
        <v>6</v>
      </c>
      <c r="C336" s="265">
        <v>2020</v>
      </c>
      <c r="D336" s="11" t="s">
        <v>341</v>
      </c>
      <c r="E336" s="3" t="s">
        <v>2876</v>
      </c>
      <c r="F336" s="99" t="s">
        <v>331</v>
      </c>
      <c r="G336" s="6" t="s">
        <v>342</v>
      </c>
      <c r="H336" s="3">
        <v>1</v>
      </c>
      <c r="J336" s="3" t="s">
        <v>8</v>
      </c>
      <c r="K336" s="3" t="s">
        <v>1522</v>
      </c>
      <c r="L336" s="166" t="s">
        <v>1574</v>
      </c>
      <c r="M336" s="166" t="s">
        <v>1609</v>
      </c>
      <c r="N336" s="166"/>
      <c r="P336" s="98" t="s">
        <v>1245</v>
      </c>
      <c r="Q336" s="98" t="s">
        <v>1246</v>
      </c>
    </row>
    <row r="337" spans="1:20" x14ac:dyDescent="0.25">
      <c r="A337" s="317" t="s">
        <v>427</v>
      </c>
      <c r="B337" s="317" t="s">
        <v>7</v>
      </c>
      <c r="C337" s="265">
        <v>2017</v>
      </c>
      <c r="D337" s="11" t="s">
        <v>3377</v>
      </c>
      <c r="E337" s="3" t="s">
        <v>1352</v>
      </c>
      <c r="F337" s="99" t="s">
        <v>438</v>
      </c>
      <c r="G337" s="6" t="s">
        <v>3378</v>
      </c>
      <c r="H337" s="3">
        <v>9</v>
      </c>
      <c r="J337" s="3" t="s">
        <v>8</v>
      </c>
      <c r="K337" s="3" t="s">
        <v>555</v>
      </c>
      <c r="L337" s="166" t="s">
        <v>1573</v>
      </c>
      <c r="M337" s="166" t="s">
        <v>1610</v>
      </c>
      <c r="N337" s="166" t="s">
        <v>2080</v>
      </c>
      <c r="O337" s="52" t="s">
        <v>3488</v>
      </c>
      <c r="P337" s="5" t="s">
        <v>1405</v>
      </c>
      <c r="Q337" s="5" t="s">
        <v>1003</v>
      </c>
    </row>
    <row r="338" spans="1:20" x14ac:dyDescent="0.25">
      <c r="A338" s="317" t="s">
        <v>217</v>
      </c>
      <c r="B338" s="317" t="s">
        <v>7</v>
      </c>
      <c r="C338" s="265">
        <v>2019</v>
      </c>
      <c r="D338" s="11" t="s">
        <v>3379</v>
      </c>
      <c r="E338" s="3" t="s">
        <v>3380</v>
      </c>
      <c r="F338" s="99" t="s">
        <v>3379</v>
      </c>
      <c r="G338" s="6" t="s">
        <v>3381</v>
      </c>
      <c r="H338" s="3">
        <v>6</v>
      </c>
      <c r="J338" s="3" t="s">
        <v>8</v>
      </c>
      <c r="K338" s="3" t="s">
        <v>555</v>
      </c>
      <c r="L338" s="166" t="s">
        <v>1573</v>
      </c>
      <c r="M338" s="166" t="s">
        <v>1610</v>
      </c>
      <c r="N338" s="166" t="s">
        <v>2080</v>
      </c>
      <c r="O338" s="52" t="s">
        <v>2028</v>
      </c>
      <c r="P338" s="5" t="s">
        <v>822</v>
      </c>
      <c r="Q338" s="5" t="s">
        <v>823</v>
      </c>
      <c r="R338" s="5" t="s">
        <v>806</v>
      </c>
    </row>
    <row r="339" spans="1:20" x14ac:dyDescent="0.25">
      <c r="A339" s="317" t="s">
        <v>5</v>
      </c>
      <c r="B339" s="317" t="s">
        <v>7</v>
      </c>
      <c r="C339" s="265">
        <v>2007</v>
      </c>
      <c r="D339" s="11" t="s">
        <v>3382</v>
      </c>
      <c r="E339" s="3" t="s">
        <v>699</v>
      </c>
      <c r="F339" s="99" t="s">
        <v>3383</v>
      </c>
      <c r="G339" s="6" t="s">
        <v>3384</v>
      </c>
      <c r="H339" s="3">
        <v>40</v>
      </c>
      <c r="J339" s="3" t="s">
        <v>8</v>
      </c>
      <c r="K339" s="3" t="s">
        <v>555</v>
      </c>
      <c r="L339" s="166" t="s">
        <v>1573</v>
      </c>
      <c r="M339" s="166" t="s">
        <v>1610</v>
      </c>
      <c r="N339" s="166" t="s">
        <v>2080</v>
      </c>
      <c r="O339" s="52" t="s">
        <v>2331</v>
      </c>
      <c r="P339" s="98" t="s">
        <v>782</v>
      </c>
      <c r="Q339" s="98" t="s">
        <v>783</v>
      </c>
      <c r="R339" s="98" t="s">
        <v>3535</v>
      </c>
      <c r="S339" s="98" t="s">
        <v>784</v>
      </c>
      <c r="T339" s="98" t="s">
        <v>785</v>
      </c>
    </row>
    <row r="340" spans="1:20" x14ac:dyDescent="0.25">
      <c r="A340" s="317" t="s">
        <v>427</v>
      </c>
      <c r="B340" s="317" t="s">
        <v>6</v>
      </c>
      <c r="C340" s="265">
        <v>2021</v>
      </c>
      <c r="D340" s="11" t="s">
        <v>3385</v>
      </c>
      <c r="E340" s="3" t="s">
        <v>3388</v>
      </c>
      <c r="F340" s="99" t="s">
        <v>3386</v>
      </c>
      <c r="G340" s="6" t="s">
        <v>3387</v>
      </c>
      <c r="H340" s="3">
        <v>0</v>
      </c>
      <c r="J340" s="3" t="s">
        <v>8</v>
      </c>
      <c r="K340" s="3" t="s">
        <v>555</v>
      </c>
      <c r="L340" s="166" t="s">
        <v>1573</v>
      </c>
      <c r="M340" s="166" t="s">
        <v>1610</v>
      </c>
      <c r="N340" s="166" t="s">
        <v>2080</v>
      </c>
      <c r="O340" s="52" t="s">
        <v>3295</v>
      </c>
      <c r="P340" s="5" t="s">
        <v>1404</v>
      </c>
      <c r="Q340" s="5" t="s">
        <v>1405</v>
      </c>
      <c r="R340" s="5" t="s">
        <v>1389</v>
      </c>
      <c r="S340" s="5" t="s">
        <v>1406</v>
      </c>
    </row>
    <row r="341" spans="1:20" x14ac:dyDescent="0.25">
      <c r="A341" s="317" t="s">
        <v>1647</v>
      </c>
      <c r="B341" s="317" t="s">
        <v>23</v>
      </c>
      <c r="C341" s="265">
        <v>2010</v>
      </c>
      <c r="D341" s="11" t="s">
        <v>3389</v>
      </c>
      <c r="E341" s="166" t="s">
        <v>3393</v>
      </c>
      <c r="F341" s="99" t="s">
        <v>3392</v>
      </c>
      <c r="G341" s="6" t="s">
        <v>3394</v>
      </c>
      <c r="H341" s="3">
        <v>19</v>
      </c>
      <c r="J341" s="3" t="s">
        <v>8</v>
      </c>
      <c r="K341" s="3" t="s">
        <v>555</v>
      </c>
      <c r="L341" s="166" t="s">
        <v>1573</v>
      </c>
      <c r="M341" s="166" t="s">
        <v>1610</v>
      </c>
      <c r="N341" s="166" t="s">
        <v>2079</v>
      </c>
      <c r="O341" s="52" t="s">
        <v>3542</v>
      </c>
      <c r="P341" s="5" t="s">
        <v>782</v>
      </c>
      <c r="Q341" s="5" t="s">
        <v>783</v>
      </c>
      <c r="R341" s="98" t="s">
        <v>785</v>
      </c>
      <c r="S341" s="5" t="s">
        <v>784</v>
      </c>
    </row>
    <row r="342" spans="1:20" x14ac:dyDescent="0.25">
      <c r="A342" s="317" t="s">
        <v>5</v>
      </c>
      <c r="B342" s="317" t="s">
        <v>7</v>
      </c>
      <c r="C342" s="265">
        <v>2017</v>
      </c>
      <c r="D342" s="11" t="s">
        <v>3390</v>
      </c>
      <c r="E342" s="3" t="s">
        <v>864</v>
      </c>
      <c r="F342" s="99" t="s">
        <v>3391</v>
      </c>
      <c r="G342" s="6" t="s">
        <v>3395</v>
      </c>
      <c r="H342" s="3">
        <v>3</v>
      </c>
      <c r="J342" s="3" t="s">
        <v>8</v>
      </c>
      <c r="K342" s="3" t="s">
        <v>555</v>
      </c>
      <c r="L342" s="166" t="s">
        <v>1573</v>
      </c>
      <c r="M342" s="166" t="s">
        <v>1609</v>
      </c>
      <c r="N342" s="166"/>
      <c r="O342" s="52" t="s">
        <v>3396</v>
      </c>
      <c r="P342" s="98" t="s">
        <v>3397</v>
      </c>
      <c r="Q342" s="98" t="s">
        <v>3398</v>
      </c>
      <c r="R342" s="98" t="s">
        <v>3399</v>
      </c>
    </row>
    <row r="343" spans="1:20" x14ac:dyDescent="0.25">
      <c r="A343" s="317" t="s">
        <v>217</v>
      </c>
      <c r="B343" s="317" t="s">
        <v>7</v>
      </c>
      <c r="C343" s="265">
        <v>2018</v>
      </c>
      <c r="D343" s="11" t="s">
        <v>3400</v>
      </c>
      <c r="E343" s="3" t="s">
        <v>761</v>
      </c>
      <c r="F343" s="99" t="s">
        <v>3401</v>
      </c>
      <c r="G343" s="6" t="s">
        <v>3402</v>
      </c>
      <c r="H343" s="3">
        <v>4</v>
      </c>
      <c r="J343" s="3" t="s">
        <v>8</v>
      </c>
      <c r="K343" s="3" t="s">
        <v>555</v>
      </c>
      <c r="L343" s="166" t="s">
        <v>1573</v>
      </c>
      <c r="M343" s="166" t="s">
        <v>1609</v>
      </c>
      <c r="N343" s="166"/>
      <c r="P343" s="100" t="s">
        <v>3547</v>
      </c>
      <c r="Q343" s="100" t="s">
        <v>3548</v>
      </c>
      <c r="R343" s="100" t="s">
        <v>681</v>
      </c>
    </row>
    <row r="344" spans="1:20" x14ac:dyDescent="0.25">
      <c r="A344" s="317" t="s">
        <v>5</v>
      </c>
      <c r="B344" s="317" t="s">
        <v>7</v>
      </c>
      <c r="C344" s="265">
        <v>2003</v>
      </c>
      <c r="D344" s="11" t="s">
        <v>3403</v>
      </c>
      <c r="E344" s="3" t="s">
        <v>623</v>
      </c>
      <c r="F344" s="99" t="s">
        <v>3404</v>
      </c>
      <c r="G344" s="6" t="s">
        <v>3405</v>
      </c>
      <c r="H344" s="3">
        <v>19</v>
      </c>
      <c r="J344" s="3" t="s">
        <v>8</v>
      </c>
      <c r="K344" s="3" t="s">
        <v>555</v>
      </c>
      <c r="L344" s="166" t="s">
        <v>1573</v>
      </c>
      <c r="M344" s="166" t="s">
        <v>1610</v>
      </c>
      <c r="N344" s="166" t="s">
        <v>2080</v>
      </c>
      <c r="O344" s="52" t="s">
        <v>3549</v>
      </c>
      <c r="P344" s="5" t="s">
        <v>1102</v>
      </c>
      <c r="Q344" s="5" t="s">
        <v>1103</v>
      </c>
    </row>
    <row r="345" spans="1:20" x14ac:dyDescent="0.25">
      <c r="A345" s="317" t="s">
        <v>1647</v>
      </c>
      <c r="B345" s="317" t="s">
        <v>23</v>
      </c>
      <c r="C345" s="265">
        <v>2004</v>
      </c>
      <c r="D345" s="11" t="s">
        <v>3406</v>
      </c>
      <c r="E345" s="3" t="s">
        <v>3408</v>
      </c>
      <c r="F345" s="99" t="s">
        <v>3407</v>
      </c>
      <c r="G345" s="6" t="s">
        <v>3409</v>
      </c>
      <c r="H345" s="3">
        <v>9</v>
      </c>
      <c r="J345" s="3" t="s">
        <v>8</v>
      </c>
      <c r="K345" s="3" t="s">
        <v>555</v>
      </c>
      <c r="L345" s="166" t="s">
        <v>1574</v>
      </c>
      <c r="M345" s="166" t="s">
        <v>1609</v>
      </c>
      <c r="N345" s="166"/>
      <c r="P345" s="98" t="s">
        <v>3410</v>
      </c>
      <c r="Q345" s="98" t="s">
        <v>3411</v>
      </c>
    </row>
    <row r="346" spans="1:20" x14ac:dyDescent="0.25">
      <c r="A346" s="317" t="s">
        <v>5</v>
      </c>
      <c r="B346" s="317" t="s">
        <v>7</v>
      </c>
      <c r="C346" s="265">
        <v>2001</v>
      </c>
      <c r="D346" s="11" t="s">
        <v>3412</v>
      </c>
      <c r="E346" s="3" t="s">
        <v>864</v>
      </c>
      <c r="F346" s="99" t="s">
        <v>33</v>
      </c>
      <c r="G346" s="6" t="s">
        <v>3413</v>
      </c>
      <c r="H346" s="3">
        <v>74</v>
      </c>
      <c r="I346" s="222">
        <v>212</v>
      </c>
      <c r="J346" s="3" t="s">
        <v>8</v>
      </c>
      <c r="K346" s="3" t="s">
        <v>555</v>
      </c>
      <c r="L346" s="166" t="s">
        <v>1573</v>
      </c>
      <c r="M346" s="166" t="s">
        <v>1610</v>
      </c>
      <c r="N346" s="166" t="s">
        <v>2080</v>
      </c>
      <c r="O346" s="52" t="s">
        <v>3557</v>
      </c>
      <c r="P346" s="98" t="s">
        <v>784</v>
      </c>
      <c r="Q346" s="98" t="s">
        <v>785</v>
      </c>
      <c r="R346" s="31"/>
      <c r="S346" s="31"/>
    </row>
    <row r="347" spans="1:20" x14ac:dyDescent="0.25">
      <c r="A347" s="317" t="s">
        <v>217</v>
      </c>
      <c r="B347" s="317" t="s">
        <v>7</v>
      </c>
      <c r="C347" s="265">
        <v>2007</v>
      </c>
      <c r="D347" s="11" t="s">
        <v>3414</v>
      </c>
      <c r="E347" s="3" t="s">
        <v>623</v>
      </c>
      <c r="F347" s="99" t="s">
        <v>3415</v>
      </c>
      <c r="G347" s="6" t="s">
        <v>3416</v>
      </c>
      <c r="H347" s="3">
        <v>54</v>
      </c>
      <c r="J347" s="3" t="s">
        <v>8</v>
      </c>
      <c r="K347" s="3" t="s">
        <v>555</v>
      </c>
      <c r="L347" s="166" t="s">
        <v>1574</v>
      </c>
      <c r="M347" s="166" t="s">
        <v>1609</v>
      </c>
      <c r="N347" s="166"/>
      <c r="P347" s="31" t="s">
        <v>3417</v>
      </c>
      <c r="Q347" s="31" t="s">
        <v>3418</v>
      </c>
      <c r="R347" s="31" t="s">
        <v>614</v>
      </c>
      <c r="S347" s="31"/>
    </row>
    <row r="348" spans="1:20" x14ac:dyDescent="0.25">
      <c r="A348" s="317" t="s">
        <v>427</v>
      </c>
      <c r="B348" s="317" t="s">
        <v>7</v>
      </c>
      <c r="C348" s="265">
        <v>1999</v>
      </c>
      <c r="D348" s="11" t="s">
        <v>3419</v>
      </c>
      <c r="E348" s="3" t="s">
        <v>589</v>
      </c>
      <c r="F348" s="99" t="s">
        <v>3420</v>
      </c>
      <c r="G348" s="6" t="s">
        <v>3421</v>
      </c>
      <c r="H348" s="3">
        <v>19</v>
      </c>
      <c r="J348" s="3" t="s">
        <v>8</v>
      </c>
      <c r="K348" s="3" t="s">
        <v>555</v>
      </c>
      <c r="L348" s="166" t="s">
        <v>1574</v>
      </c>
      <c r="M348" s="166" t="s">
        <v>1609</v>
      </c>
      <c r="N348" s="166"/>
      <c r="P348" s="31"/>
      <c r="Q348" s="31"/>
      <c r="R348" s="31"/>
      <c r="S348" s="31"/>
    </row>
    <row r="349" spans="1:20" x14ac:dyDescent="0.25">
      <c r="A349" s="317" t="s">
        <v>427</v>
      </c>
      <c r="B349" s="317" t="s">
        <v>7</v>
      </c>
      <c r="C349" s="265">
        <v>2016</v>
      </c>
      <c r="D349" s="11" t="s">
        <v>3422</v>
      </c>
      <c r="E349" s="3" t="s">
        <v>1352</v>
      </c>
      <c r="F349" s="99" t="s">
        <v>438</v>
      </c>
      <c r="G349" s="6" t="s">
        <v>3423</v>
      </c>
      <c r="H349" s="3">
        <v>12</v>
      </c>
      <c r="J349" s="3" t="s">
        <v>8</v>
      </c>
      <c r="K349" s="3" t="s">
        <v>555</v>
      </c>
      <c r="L349" s="166" t="s">
        <v>1573</v>
      </c>
      <c r="M349" s="166" t="s">
        <v>1610</v>
      </c>
      <c r="N349" s="166" t="s">
        <v>2080</v>
      </c>
      <c r="O349" s="52" t="s">
        <v>3488</v>
      </c>
      <c r="P349" s="31" t="s">
        <v>1405</v>
      </c>
      <c r="Q349" s="31" t="s">
        <v>1003</v>
      </c>
      <c r="R349" s="31"/>
      <c r="S349" s="31"/>
    </row>
    <row r="350" spans="1:20" x14ac:dyDescent="0.25">
      <c r="A350" s="317" t="s">
        <v>5</v>
      </c>
      <c r="B350" s="317" t="s">
        <v>6</v>
      </c>
      <c r="C350" s="265">
        <v>1996</v>
      </c>
      <c r="D350" s="11" t="s">
        <v>3424</v>
      </c>
      <c r="E350" s="3" t="s">
        <v>787</v>
      </c>
      <c r="F350" s="99" t="s">
        <v>3425</v>
      </c>
      <c r="G350" s="6" t="s">
        <v>3426</v>
      </c>
      <c r="H350" s="3">
        <v>89</v>
      </c>
      <c r="I350" s="222">
        <v>289</v>
      </c>
      <c r="J350" s="3" t="s">
        <v>8</v>
      </c>
      <c r="K350" s="3" t="s">
        <v>555</v>
      </c>
      <c r="L350" s="166" t="s">
        <v>1574</v>
      </c>
      <c r="M350" s="166" t="s">
        <v>1609</v>
      </c>
      <c r="N350" s="166"/>
      <c r="O350" s="52" t="s">
        <v>3427</v>
      </c>
      <c r="P350" s="31" t="s">
        <v>3428</v>
      </c>
      <c r="Q350" s="31" t="s">
        <v>3429</v>
      </c>
      <c r="R350" s="31"/>
      <c r="S350" s="31"/>
    </row>
    <row r="351" spans="1:20" x14ac:dyDescent="0.25">
      <c r="A351" s="317" t="s">
        <v>5</v>
      </c>
      <c r="B351" s="317" t="s">
        <v>6</v>
      </c>
      <c r="C351" s="265">
        <v>1998</v>
      </c>
      <c r="D351" s="11" t="s">
        <v>3430</v>
      </c>
      <c r="E351" s="3" t="s">
        <v>1048</v>
      </c>
      <c r="F351" s="99" t="s">
        <v>2326</v>
      </c>
      <c r="G351" s="6" t="s">
        <v>3431</v>
      </c>
      <c r="H351" s="3">
        <v>312</v>
      </c>
      <c r="J351" s="3" t="s">
        <v>8</v>
      </c>
      <c r="K351" s="3" t="s">
        <v>555</v>
      </c>
      <c r="L351" s="166" t="s">
        <v>1574</v>
      </c>
      <c r="M351" s="166" t="s">
        <v>1609</v>
      </c>
      <c r="N351" s="166"/>
      <c r="P351" s="31"/>
      <c r="Q351" s="31"/>
      <c r="R351" s="31"/>
      <c r="S351" s="31"/>
    </row>
    <row r="352" spans="1:20" x14ac:dyDescent="0.25">
      <c r="A352" s="317" t="s">
        <v>323</v>
      </c>
      <c r="B352" s="317" t="s">
        <v>6</v>
      </c>
      <c r="C352" s="265">
        <v>2019</v>
      </c>
      <c r="D352" s="11" t="s">
        <v>335</v>
      </c>
      <c r="E352" s="3" t="s">
        <v>763</v>
      </c>
      <c r="F352" s="99" t="s">
        <v>328</v>
      </c>
      <c r="G352" s="6" t="s">
        <v>336</v>
      </c>
      <c r="H352" s="3">
        <v>0</v>
      </c>
      <c r="J352" s="3" t="s">
        <v>8</v>
      </c>
      <c r="K352" s="3" t="s">
        <v>555</v>
      </c>
      <c r="L352" s="166" t="s">
        <v>1573</v>
      </c>
      <c r="M352" s="166" t="s">
        <v>1609</v>
      </c>
      <c r="N352" s="166"/>
      <c r="O352" s="52" t="s">
        <v>3575</v>
      </c>
      <c r="P352" s="31" t="s">
        <v>1235</v>
      </c>
      <c r="Q352" s="31" t="s">
        <v>1236</v>
      </c>
      <c r="R352" s="31" t="s">
        <v>560</v>
      </c>
      <c r="S352" s="31" t="s">
        <v>1237</v>
      </c>
    </row>
    <row r="353" spans="1:21" x14ac:dyDescent="0.25">
      <c r="A353" s="317" t="s">
        <v>5</v>
      </c>
      <c r="B353" s="317" t="s">
        <v>7</v>
      </c>
      <c r="C353" s="265">
        <v>2021</v>
      </c>
      <c r="D353" s="11" t="s">
        <v>3432</v>
      </c>
      <c r="E353" s="3" t="s">
        <v>3433</v>
      </c>
      <c r="F353" s="99" t="s">
        <v>3434</v>
      </c>
      <c r="G353" s="6" t="s">
        <v>3435</v>
      </c>
      <c r="H353" s="3">
        <v>0</v>
      </c>
      <c r="J353" s="3" t="s">
        <v>8</v>
      </c>
      <c r="K353" s="3" t="s">
        <v>1522</v>
      </c>
      <c r="L353" s="166" t="s">
        <v>1573</v>
      </c>
      <c r="M353" s="166" t="s">
        <v>1610</v>
      </c>
      <c r="N353" s="166" t="s">
        <v>2080</v>
      </c>
      <c r="O353" s="52" t="s">
        <v>2028</v>
      </c>
      <c r="P353" s="31" t="s">
        <v>822</v>
      </c>
      <c r="Q353" s="5" t="s">
        <v>823</v>
      </c>
      <c r="R353" s="5" t="s">
        <v>806</v>
      </c>
      <c r="S353" s="31"/>
    </row>
    <row r="354" spans="1:21" x14ac:dyDescent="0.25">
      <c r="A354" s="317" t="s">
        <v>5</v>
      </c>
      <c r="B354" s="317" t="s">
        <v>7</v>
      </c>
      <c r="C354" s="265">
        <v>2021</v>
      </c>
      <c r="D354" s="11" t="s">
        <v>3436</v>
      </c>
      <c r="E354" s="3" t="s">
        <v>864</v>
      </c>
      <c r="F354" s="99" t="s">
        <v>3437</v>
      </c>
      <c r="G354" s="6" t="s">
        <v>3438</v>
      </c>
      <c r="H354" s="3">
        <v>0</v>
      </c>
      <c r="J354" s="3" t="s">
        <v>8</v>
      </c>
      <c r="K354" s="3" t="s">
        <v>1522</v>
      </c>
      <c r="L354" s="166" t="s">
        <v>1574</v>
      </c>
      <c r="M354" s="166" t="s">
        <v>1609</v>
      </c>
      <c r="N354" s="166"/>
      <c r="O354" s="52" t="s">
        <v>2028</v>
      </c>
      <c r="P354" s="31" t="s">
        <v>822</v>
      </c>
      <c r="Q354" s="5" t="s">
        <v>823</v>
      </c>
      <c r="R354" s="5" t="s">
        <v>806</v>
      </c>
      <c r="S354" s="31"/>
    </row>
    <row r="355" spans="1:21" x14ac:dyDescent="0.25">
      <c r="A355" s="317" t="s">
        <v>5</v>
      </c>
      <c r="B355" s="317" t="s">
        <v>7</v>
      </c>
      <c r="C355" s="265">
        <v>2021</v>
      </c>
      <c r="D355" s="11" t="s">
        <v>3439</v>
      </c>
      <c r="E355" s="3" t="s">
        <v>3433</v>
      </c>
      <c r="F355" s="99" t="s">
        <v>3434</v>
      </c>
      <c r="G355" s="6" t="s">
        <v>3440</v>
      </c>
      <c r="H355" s="3">
        <v>0</v>
      </c>
      <c r="J355" s="3" t="s">
        <v>8</v>
      </c>
      <c r="K355" s="3" t="s">
        <v>1522</v>
      </c>
      <c r="L355" s="166" t="s">
        <v>1573</v>
      </c>
      <c r="M355" s="166" t="s">
        <v>1610</v>
      </c>
      <c r="N355" s="166" t="s">
        <v>2080</v>
      </c>
      <c r="O355" s="52" t="s">
        <v>2028</v>
      </c>
      <c r="P355" s="31" t="s">
        <v>822</v>
      </c>
      <c r="Q355" s="5" t="s">
        <v>823</v>
      </c>
      <c r="R355" s="5" t="s">
        <v>806</v>
      </c>
      <c r="S355" s="31"/>
    </row>
    <row r="356" spans="1:21" x14ac:dyDescent="0.25">
      <c r="A356" s="317" t="s">
        <v>5</v>
      </c>
      <c r="B356" s="317" t="s">
        <v>7</v>
      </c>
      <c r="C356" s="265">
        <v>2020</v>
      </c>
      <c r="D356" s="11" t="s">
        <v>3441</v>
      </c>
      <c r="E356" s="3" t="s">
        <v>3442</v>
      </c>
      <c r="F356" s="99" t="s">
        <v>3443</v>
      </c>
      <c r="G356" s="6" t="s">
        <v>3444</v>
      </c>
      <c r="H356" s="3">
        <v>0</v>
      </c>
      <c r="J356" s="3" t="s">
        <v>8</v>
      </c>
      <c r="K356" s="3" t="s">
        <v>1522</v>
      </c>
      <c r="L356" s="166" t="s">
        <v>1574</v>
      </c>
      <c r="M356" s="166" t="s">
        <v>1609</v>
      </c>
      <c r="N356" s="166"/>
      <c r="O356" s="52" t="s">
        <v>3445</v>
      </c>
      <c r="P356" s="31" t="s">
        <v>3587</v>
      </c>
      <c r="Q356" s="31" t="s">
        <v>3588</v>
      </c>
      <c r="R356" s="31" t="s">
        <v>3589</v>
      </c>
      <c r="S356" s="31" t="s">
        <v>3590</v>
      </c>
      <c r="T356" s="31" t="s">
        <v>3591</v>
      </c>
    </row>
    <row r="357" spans="1:21" x14ac:dyDescent="0.25">
      <c r="A357" s="317" t="s">
        <v>5</v>
      </c>
      <c r="B357" s="317" t="s">
        <v>23</v>
      </c>
      <c r="C357" s="265">
        <v>2020</v>
      </c>
      <c r="D357" s="11" t="s">
        <v>3447</v>
      </c>
      <c r="E357" s="3" t="s">
        <v>1041</v>
      </c>
      <c r="F357" s="99" t="s">
        <v>3446</v>
      </c>
      <c r="G357" s="6" t="s">
        <v>3448</v>
      </c>
      <c r="H357" s="3">
        <v>0</v>
      </c>
      <c r="J357" s="3" t="s">
        <v>8</v>
      </c>
      <c r="K357" s="3" t="s">
        <v>1522</v>
      </c>
      <c r="L357" s="166" t="s">
        <v>1573</v>
      </c>
      <c r="M357" s="166" t="s">
        <v>1609</v>
      </c>
      <c r="N357" s="166"/>
      <c r="P357" s="31" t="s">
        <v>3449</v>
      </c>
      <c r="Q357" s="31"/>
      <c r="R357" s="31"/>
      <c r="S357" s="31"/>
    </row>
    <row r="358" spans="1:21" x14ac:dyDescent="0.25">
      <c r="A358" s="317" t="s">
        <v>217</v>
      </c>
      <c r="B358" s="317" t="s">
        <v>7</v>
      </c>
      <c r="C358" s="265">
        <v>2021</v>
      </c>
      <c r="D358" s="11" t="s">
        <v>3450</v>
      </c>
      <c r="E358" s="3" t="s">
        <v>869</v>
      </c>
      <c r="F358" s="99" t="s">
        <v>3451</v>
      </c>
      <c r="G358" s="6" t="s">
        <v>3452</v>
      </c>
      <c r="H358" s="3">
        <v>1</v>
      </c>
      <c r="J358" s="3" t="s">
        <v>8</v>
      </c>
      <c r="K358" s="3" t="s">
        <v>1522</v>
      </c>
      <c r="L358" s="166" t="s">
        <v>1574</v>
      </c>
      <c r="M358" s="166" t="s">
        <v>1609</v>
      </c>
      <c r="N358" s="166"/>
      <c r="P358" s="31" t="s">
        <v>3453</v>
      </c>
      <c r="Q358" s="31" t="s">
        <v>689</v>
      </c>
      <c r="R358" s="31"/>
      <c r="S358" s="31"/>
    </row>
    <row r="359" spans="1:21" x14ac:dyDescent="0.25">
      <c r="A359" s="317" t="s">
        <v>217</v>
      </c>
      <c r="B359" s="317" t="s">
        <v>7</v>
      </c>
      <c r="C359" s="265">
        <v>2021</v>
      </c>
      <c r="D359" s="11" t="s">
        <v>3454</v>
      </c>
      <c r="E359" s="3" t="s">
        <v>575</v>
      </c>
      <c r="F359" s="99" t="s">
        <v>3455</v>
      </c>
      <c r="G359" s="6" t="s">
        <v>3456</v>
      </c>
      <c r="H359" s="3">
        <v>0</v>
      </c>
      <c r="J359" s="3" t="s">
        <v>8</v>
      </c>
      <c r="K359" s="3" t="s">
        <v>1522</v>
      </c>
      <c r="L359" s="166" t="s">
        <v>1574</v>
      </c>
      <c r="M359" s="166"/>
      <c r="N359" s="166"/>
      <c r="O359" s="52" t="s">
        <v>3598</v>
      </c>
      <c r="P359" s="31" t="s">
        <v>995</v>
      </c>
      <c r="Q359" s="31" t="s">
        <v>909</v>
      </c>
      <c r="R359" s="31"/>
      <c r="S359" s="31"/>
    </row>
    <row r="360" spans="1:21" x14ac:dyDescent="0.25">
      <c r="A360" s="317" t="s">
        <v>217</v>
      </c>
      <c r="B360" s="317" t="s">
        <v>7</v>
      </c>
      <c r="C360" s="265">
        <v>2018</v>
      </c>
      <c r="D360" s="11" t="s">
        <v>3457</v>
      </c>
      <c r="E360" s="3" t="s">
        <v>761</v>
      </c>
      <c r="F360" s="99" t="s">
        <v>3458</v>
      </c>
      <c r="G360" s="6" t="s">
        <v>3459</v>
      </c>
      <c r="H360" s="3">
        <v>6</v>
      </c>
      <c r="J360" s="3" t="s">
        <v>8</v>
      </c>
      <c r="K360" s="3" t="s">
        <v>555</v>
      </c>
      <c r="L360" s="166" t="s">
        <v>1574</v>
      </c>
      <c r="M360" s="166" t="s">
        <v>1609</v>
      </c>
      <c r="N360" s="166"/>
      <c r="P360" s="31" t="s">
        <v>1000</v>
      </c>
      <c r="Q360" s="31"/>
      <c r="R360" s="31"/>
      <c r="S360" s="31"/>
    </row>
    <row r="361" spans="1:21" x14ac:dyDescent="0.25">
      <c r="A361" s="317" t="s">
        <v>323</v>
      </c>
      <c r="B361" s="317" t="s">
        <v>6</v>
      </c>
      <c r="C361" s="265">
        <v>2021</v>
      </c>
      <c r="D361" s="11" t="s">
        <v>3460</v>
      </c>
      <c r="E361" s="3" t="s">
        <v>3461</v>
      </c>
      <c r="F361" s="99" t="s">
        <v>352</v>
      </c>
      <c r="G361" s="6" t="s">
        <v>3462</v>
      </c>
      <c r="H361" s="3">
        <v>0</v>
      </c>
      <c r="J361" s="3" t="s">
        <v>8</v>
      </c>
      <c r="K361" s="3" t="s">
        <v>555</v>
      </c>
      <c r="L361" s="166" t="s">
        <v>1574</v>
      </c>
      <c r="M361" s="166" t="s">
        <v>1609</v>
      </c>
      <c r="N361" s="166"/>
      <c r="P361" s="31"/>
      <c r="Q361" s="31"/>
      <c r="R361" s="31"/>
      <c r="S361" s="31"/>
    </row>
    <row r="362" spans="1:21" x14ac:dyDescent="0.25">
      <c r="A362" s="317" t="s">
        <v>323</v>
      </c>
      <c r="B362" s="317" t="s">
        <v>6</v>
      </c>
      <c r="C362" s="265">
        <v>2020</v>
      </c>
      <c r="D362" s="11" t="s">
        <v>3463</v>
      </c>
      <c r="E362" s="3" t="s">
        <v>763</v>
      </c>
      <c r="F362" s="99" t="s">
        <v>328</v>
      </c>
      <c r="G362" s="6" t="s">
        <v>3464</v>
      </c>
      <c r="H362" s="3">
        <v>0</v>
      </c>
      <c r="J362" s="3" t="s">
        <v>8</v>
      </c>
      <c r="K362" s="3" t="s">
        <v>555</v>
      </c>
      <c r="L362" s="166" t="s">
        <v>1573</v>
      </c>
      <c r="M362" s="166" t="s">
        <v>1609</v>
      </c>
      <c r="N362" s="166"/>
      <c r="P362" s="31" t="s">
        <v>1000</v>
      </c>
      <c r="Q362" s="31"/>
      <c r="R362" s="31"/>
      <c r="S362" s="31"/>
    </row>
    <row r="363" spans="1:21" x14ac:dyDescent="0.25">
      <c r="A363" s="317" t="s">
        <v>1647</v>
      </c>
      <c r="B363" s="317" t="s">
        <v>23</v>
      </c>
      <c r="C363" s="265">
        <v>2016</v>
      </c>
      <c r="D363" s="11" t="s">
        <v>3465</v>
      </c>
      <c r="E363" s="264" t="s">
        <v>3466</v>
      </c>
      <c r="F363" s="99" t="s">
        <v>3467</v>
      </c>
      <c r="G363" s="6" t="s">
        <v>3468</v>
      </c>
      <c r="H363" s="3">
        <v>12</v>
      </c>
      <c r="J363" s="3" t="s">
        <v>8</v>
      </c>
      <c r="K363" s="3" t="s">
        <v>555</v>
      </c>
      <c r="L363" s="166" t="s">
        <v>1573</v>
      </c>
      <c r="M363" s="166" t="s">
        <v>1609</v>
      </c>
      <c r="N363" s="166"/>
      <c r="P363" s="31" t="s">
        <v>3469</v>
      </c>
      <c r="Q363" s="31" t="s">
        <v>2440</v>
      </c>
      <c r="R363" s="31" t="s">
        <v>3470</v>
      </c>
      <c r="S363" s="31" t="s">
        <v>3471</v>
      </c>
      <c r="T363" s="31" t="s">
        <v>837</v>
      </c>
      <c r="U363" s="31" t="s">
        <v>3472</v>
      </c>
    </row>
    <row r="364" spans="1:21" x14ac:dyDescent="0.25">
      <c r="A364" s="317" t="s">
        <v>1647</v>
      </c>
      <c r="B364" s="317" t="s">
        <v>7</v>
      </c>
      <c r="C364" s="265">
        <v>2018</v>
      </c>
      <c r="D364" s="11" t="s">
        <v>3477</v>
      </c>
      <c r="E364" s="3" t="s">
        <v>3476</v>
      </c>
      <c r="F364" s="99" t="s">
        <v>3475</v>
      </c>
      <c r="H364" s="3">
        <v>5</v>
      </c>
      <c r="J364" s="3" t="s">
        <v>8</v>
      </c>
      <c r="K364" s="3" t="s">
        <v>555</v>
      </c>
      <c r="L364" s="166" t="s">
        <v>1573</v>
      </c>
      <c r="M364" s="166" t="s">
        <v>1609</v>
      </c>
      <c r="N364" s="166"/>
      <c r="P364" s="31" t="s">
        <v>3469</v>
      </c>
      <c r="Q364" s="31" t="s">
        <v>3473</v>
      </c>
      <c r="R364" s="31" t="s">
        <v>3474</v>
      </c>
      <c r="S364" s="31"/>
    </row>
    <row r="365" spans="1:21" x14ac:dyDescent="0.25">
      <c r="A365" s="317" t="s">
        <v>427</v>
      </c>
      <c r="B365" s="317" t="s">
        <v>6</v>
      </c>
      <c r="C365" s="265">
        <v>2020</v>
      </c>
      <c r="D365" s="11" t="s">
        <v>3478</v>
      </c>
      <c r="E365" s="3" t="s">
        <v>709</v>
      </c>
      <c r="F365" s="99" t="s">
        <v>711</v>
      </c>
      <c r="G365" s="6" t="s">
        <v>3479</v>
      </c>
      <c r="H365" s="3">
        <v>0</v>
      </c>
      <c r="J365" s="3" t="s">
        <v>8</v>
      </c>
      <c r="K365" s="3" t="s">
        <v>1522</v>
      </c>
      <c r="L365" s="166" t="s">
        <v>1573</v>
      </c>
      <c r="M365" s="166" t="s">
        <v>1610</v>
      </c>
      <c r="N365" s="166" t="s">
        <v>2080</v>
      </c>
      <c r="O365" s="52" t="s">
        <v>3592</v>
      </c>
      <c r="P365" s="31" t="s">
        <v>977</v>
      </c>
      <c r="Q365" s="31" t="s">
        <v>978</v>
      </c>
      <c r="R365" s="31" t="s">
        <v>979</v>
      </c>
      <c r="S365" s="31" t="s">
        <v>981</v>
      </c>
      <c r="T365" s="31" t="s">
        <v>980</v>
      </c>
    </row>
    <row r="366" spans="1:21" x14ac:dyDescent="0.25">
      <c r="A366" s="317" t="s">
        <v>427</v>
      </c>
      <c r="B366" s="317" t="s">
        <v>6</v>
      </c>
      <c r="C366" s="265">
        <v>2020</v>
      </c>
      <c r="D366" s="11" t="s">
        <v>3480</v>
      </c>
      <c r="E366" s="3" t="s">
        <v>3483</v>
      </c>
      <c r="F366" s="99" t="s">
        <v>3481</v>
      </c>
      <c r="G366" s="6" t="s">
        <v>3482</v>
      </c>
      <c r="H366" s="3">
        <v>2</v>
      </c>
      <c r="J366" s="3" t="s">
        <v>8</v>
      </c>
      <c r="K366" s="3" t="s">
        <v>1522</v>
      </c>
      <c r="L366" s="166" t="s">
        <v>1573</v>
      </c>
      <c r="M366" s="166" t="s">
        <v>1609</v>
      </c>
      <c r="N366" s="166"/>
      <c r="P366" s="31" t="s">
        <v>3484</v>
      </c>
      <c r="Q366" s="31" t="s">
        <v>3485</v>
      </c>
      <c r="R366" s="31" t="s">
        <v>3486</v>
      </c>
      <c r="S366" s="31" t="s">
        <v>3487</v>
      </c>
    </row>
    <row r="367" spans="1:21" x14ac:dyDescent="0.25">
      <c r="A367" s="317" t="s">
        <v>427</v>
      </c>
      <c r="B367" s="317" t="s">
        <v>7</v>
      </c>
      <c r="C367" s="265">
        <v>2018</v>
      </c>
      <c r="D367" s="11" t="s">
        <v>3503</v>
      </c>
      <c r="E367" s="3" t="s">
        <v>3504</v>
      </c>
      <c r="F367" s="99" t="s">
        <v>461</v>
      </c>
      <c r="G367" s="6" t="s">
        <v>3505</v>
      </c>
      <c r="H367" s="3">
        <v>9</v>
      </c>
      <c r="J367" s="3" t="s">
        <v>8</v>
      </c>
      <c r="K367" s="3" t="s">
        <v>555</v>
      </c>
      <c r="L367" s="166" t="s">
        <v>1573</v>
      </c>
      <c r="M367" s="166" t="s">
        <v>1609</v>
      </c>
      <c r="N367" s="166"/>
      <c r="P367" s="31" t="s">
        <v>1003</v>
      </c>
      <c r="Q367" s="31" t="s">
        <v>1405</v>
      </c>
      <c r="R367" s="31" t="s">
        <v>3506</v>
      </c>
      <c r="S367" s="31"/>
    </row>
    <row r="368" spans="1:21" x14ac:dyDescent="0.25">
      <c r="A368" s="317" t="s">
        <v>217</v>
      </c>
      <c r="B368" s="317" t="s">
        <v>7</v>
      </c>
      <c r="C368" s="265">
        <v>2020</v>
      </c>
      <c r="D368" s="11" t="s">
        <v>3593</v>
      </c>
      <c r="E368" s="3" t="s">
        <v>1407</v>
      </c>
      <c r="F368" s="99" t="s">
        <v>3594</v>
      </c>
      <c r="G368" s="6" t="s">
        <v>3595</v>
      </c>
      <c r="H368" s="3">
        <v>3</v>
      </c>
      <c r="J368" s="3" t="s">
        <v>8</v>
      </c>
      <c r="K368" s="3" t="s">
        <v>555</v>
      </c>
      <c r="L368" s="166" t="s">
        <v>1573</v>
      </c>
      <c r="M368" s="166" t="s">
        <v>1610</v>
      </c>
      <c r="N368" s="166" t="s">
        <v>2080</v>
      </c>
      <c r="O368" s="52" t="s">
        <v>3606</v>
      </c>
      <c r="P368" s="31" t="s">
        <v>2773</v>
      </c>
      <c r="Q368" s="31" t="s">
        <v>1252</v>
      </c>
      <c r="R368" s="31" t="s">
        <v>3596</v>
      </c>
      <c r="S368" s="31" t="s">
        <v>3597</v>
      </c>
      <c r="T368" s="31" t="s">
        <v>1093</v>
      </c>
    </row>
    <row r="369" spans="1:20" x14ac:dyDescent="0.25">
      <c r="A369" s="317" t="s">
        <v>217</v>
      </c>
      <c r="B369" s="317" t="s">
        <v>7</v>
      </c>
      <c r="C369" s="265">
        <v>2018</v>
      </c>
      <c r="D369" s="11" t="s">
        <v>3614</v>
      </c>
      <c r="E369" s="3" t="s">
        <v>3615</v>
      </c>
      <c r="F369" s="99" t="s">
        <v>3617</v>
      </c>
      <c r="G369" s="6" t="s">
        <v>3616</v>
      </c>
      <c r="H369" s="3">
        <v>7</v>
      </c>
      <c r="J369" s="3" t="s">
        <v>8</v>
      </c>
      <c r="K369" s="3" t="s">
        <v>555</v>
      </c>
      <c r="L369" s="166" t="s">
        <v>1573</v>
      </c>
      <c r="M369" s="166" t="s">
        <v>1609</v>
      </c>
      <c r="N369" s="166"/>
      <c r="O369" s="52" t="s">
        <v>3295</v>
      </c>
      <c r="P369" s="31" t="s">
        <v>1404</v>
      </c>
      <c r="Q369" s="31" t="s">
        <v>1405</v>
      </c>
      <c r="R369" s="31" t="s">
        <v>1389</v>
      </c>
      <c r="S369" s="31" t="s">
        <v>1406</v>
      </c>
    </row>
    <row r="370" spans="1:20" x14ac:dyDescent="0.25">
      <c r="A370" s="317" t="s">
        <v>217</v>
      </c>
      <c r="B370" s="317" t="s">
        <v>7</v>
      </c>
      <c r="C370" s="265">
        <v>2021</v>
      </c>
      <c r="D370" s="11" t="s">
        <v>3618</v>
      </c>
      <c r="E370" s="3" t="s">
        <v>616</v>
      </c>
      <c r="F370" s="99" t="s">
        <v>3620</v>
      </c>
      <c r="G370" s="6" t="s">
        <v>3621</v>
      </c>
      <c r="H370" s="3">
        <v>0</v>
      </c>
      <c r="J370" s="3" t="s">
        <v>8</v>
      </c>
      <c r="K370" s="3" t="s">
        <v>555</v>
      </c>
      <c r="L370" s="166" t="s">
        <v>1573</v>
      </c>
      <c r="M370" s="166" t="s">
        <v>1610</v>
      </c>
      <c r="N370" s="166" t="s">
        <v>2080</v>
      </c>
      <c r="O370" s="52" t="s">
        <v>2028</v>
      </c>
      <c r="P370" s="31" t="s">
        <v>822</v>
      </c>
      <c r="Q370" s="5" t="s">
        <v>823</v>
      </c>
      <c r="R370" s="5" t="s">
        <v>806</v>
      </c>
      <c r="S370" s="31"/>
    </row>
    <row r="371" spans="1:20" x14ac:dyDescent="0.25">
      <c r="A371" s="317" t="s">
        <v>217</v>
      </c>
      <c r="B371" s="317" t="s">
        <v>7</v>
      </c>
      <c r="C371" s="265">
        <v>2016</v>
      </c>
      <c r="D371" s="11" t="s">
        <v>3619</v>
      </c>
      <c r="E371" s="3" t="s">
        <v>623</v>
      </c>
      <c r="F371" s="99" t="s">
        <v>3622</v>
      </c>
      <c r="G371" s="6" t="s">
        <v>3623</v>
      </c>
      <c r="H371" s="3">
        <v>0</v>
      </c>
      <c r="J371" s="3" t="s">
        <v>8</v>
      </c>
      <c r="K371" s="3" t="s">
        <v>555</v>
      </c>
      <c r="L371" s="166" t="s">
        <v>1573</v>
      </c>
      <c r="M371" s="166" t="s">
        <v>1609</v>
      </c>
      <c r="N371" s="166"/>
      <c r="P371" s="31" t="s">
        <v>3624</v>
      </c>
      <c r="Q371" s="31" t="s">
        <v>3625</v>
      </c>
      <c r="R371" s="31" t="s">
        <v>3626</v>
      </c>
      <c r="S371" s="31" t="s">
        <v>3627</v>
      </c>
      <c r="T371" s="31" t="s">
        <v>3628</v>
      </c>
    </row>
    <row r="372" spans="1:20" x14ac:dyDescent="0.25">
      <c r="A372" s="317" t="s">
        <v>217</v>
      </c>
      <c r="B372" s="317" t="s">
        <v>7</v>
      </c>
      <c r="C372" s="265">
        <v>2011</v>
      </c>
      <c r="D372" s="11" t="s">
        <v>3629</v>
      </c>
      <c r="E372" s="3" t="s">
        <v>3380</v>
      </c>
      <c r="F372" s="99" t="s">
        <v>3630</v>
      </c>
      <c r="G372" s="6" t="s">
        <v>3631</v>
      </c>
      <c r="H372" s="3">
        <v>1</v>
      </c>
      <c r="J372" s="3" t="s">
        <v>8</v>
      </c>
      <c r="K372" s="3" t="s">
        <v>555</v>
      </c>
      <c r="L372" s="166" t="s">
        <v>1573</v>
      </c>
      <c r="M372" s="166" t="s">
        <v>1609</v>
      </c>
      <c r="N372" s="166"/>
      <c r="P372" s="31" t="s">
        <v>3633</v>
      </c>
      <c r="Q372" s="31" t="s">
        <v>3634</v>
      </c>
      <c r="R372" s="31" t="s">
        <v>3632</v>
      </c>
      <c r="S372" s="31" t="s">
        <v>3635</v>
      </c>
    </row>
    <row r="373" spans="1:20" x14ac:dyDescent="0.25">
      <c r="A373" s="317" t="s">
        <v>5</v>
      </c>
      <c r="B373" s="317" t="s">
        <v>7</v>
      </c>
      <c r="C373" s="265">
        <v>2019</v>
      </c>
      <c r="D373" s="11" t="s">
        <v>3636</v>
      </c>
      <c r="E373" s="3" t="s">
        <v>2804</v>
      </c>
      <c r="F373" s="99" t="s">
        <v>3637</v>
      </c>
      <c r="G373" s="6" t="s">
        <v>3638</v>
      </c>
      <c r="H373" s="3">
        <v>0</v>
      </c>
      <c r="J373" s="3" t="s">
        <v>8</v>
      </c>
      <c r="K373" s="3" t="s">
        <v>555</v>
      </c>
      <c r="L373" s="166" t="s">
        <v>1574</v>
      </c>
      <c r="M373" s="166" t="s">
        <v>1609</v>
      </c>
      <c r="N373" s="166"/>
      <c r="P373" s="31" t="s">
        <v>3639</v>
      </c>
      <c r="Q373" s="31"/>
      <c r="R373" s="31"/>
      <c r="S373" s="31"/>
    </row>
    <row r="374" spans="1:20" x14ac:dyDescent="0.25">
      <c r="A374" s="317" t="s">
        <v>1647</v>
      </c>
      <c r="B374" s="317" t="s">
        <v>23</v>
      </c>
      <c r="C374" s="265">
        <v>2002</v>
      </c>
      <c r="D374" s="11" t="s">
        <v>3725</v>
      </c>
      <c r="E374" s="3" t="s">
        <v>3730</v>
      </c>
      <c r="F374" s="99" t="s">
        <v>3729</v>
      </c>
      <c r="G374" s="6" t="s">
        <v>3728</v>
      </c>
      <c r="H374" s="3">
        <v>11</v>
      </c>
      <c r="J374" s="3" t="s">
        <v>8</v>
      </c>
      <c r="K374" s="3" t="s">
        <v>555</v>
      </c>
      <c r="L374" s="166" t="s">
        <v>1574</v>
      </c>
      <c r="M374" s="166" t="s">
        <v>1609</v>
      </c>
      <c r="N374" s="166"/>
      <c r="P374" s="31" t="s">
        <v>3726</v>
      </c>
      <c r="Q374" s="31" t="s">
        <v>3727</v>
      </c>
      <c r="R374" s="31"/>
      <c r="S374" s="31"/>
    </row>
    <row r="375" spans="1:20" x14ac:dyDescent="0.25">
      <c r="A375" s="317"/>
      <c r="B375" s="317"/>
      <c r="C375" s="265"/>
      <c r="L375" s="166"/>
      <c r="M375" s="166"/>
      <c r="N375" s="166"/>
      <c r="P375" s="31"/>
      <c r="Q375" s="31"/>
      <c r="R375" s="31"/>
      <c r="S375" s="31"/>
    </row>
    <row r="376" spans="1:20" x14ac:dyDescent="0.25">
      <c r="A376" s="317"/>
      <c r="B376" s="317"/>
      <c r="C376" s="265"/>
      <c r="L376" s="166"/>
      <c r="M376" s="166"/>
      <c r="N376" s="166"/>
    </row>
    <row r="377" spans="1:20" x14ac:dyDescent="0.25">
      <c r="A377" s="317"/>
      <c r="B377" s="317"/>
      <c r="C377" s="265"/>
      <c r="L377" s="166"/>
      <c r="M377" s="166"/>
      <c r="N377" s="166"/>
    </row>
    <row r="378" spans="1:20" x14ac:dyDescent="0.25">
      <c r="A378" s="317"/>
      <c r="B378" s="317"/>
      <c r="C378" s="265"/>
      <c r="L378" s="166"/>
      <c r="M378" s="166"/>
      <c r="N378" s="166"/>
    </row>
    <row r="379" spans="1:20" x14ac:dyDescent="0.25">
      <c r="A379" s="317"/>
      <c r="B379" s="317"/>
      <c r="C379" s="265"/>
      <c r="L379" s="166"/>
      <c r="M379" s="166"/>
      <c r="N379" s="166"/>
    </row>
    <row r="380" spans="1:20" x14ac:dyDescent="0.25">
      <c r="A380" s="317"/>
      <c r="B380" s="317"/>
      <c r="C380" s="265"/>
      <c r="L380" s="166"/>
      <c r="M380" s="166"/>
      <c r="N380" s="166"/>
    </row>
    <row r="381" spans="1:20" x14ac:dyDescent="0.25">
      <c r="A381" s="317"/>
      <c r="B381" s="317"/>
      <c r="C381" s="265"/>
      <c r="L381" s="166"/>
      <c r="M381" s="166"/>
      <c r="N381" s="166"/>
    </row>
    <row r="382" spans="1:20" x14ac:dyDescent="0.25">
      <c r="A382" s="317"/>
      <c r="B382" s="317"/>
      <c r="C382" s="265"/>
      <c r="L382" s="166"/>
      <c r="M382" s="166"/>
      <c r="N382" s="166"/>
    </row>
    <row r="383" spans="1:20" x14ac:dyDescent="0.25">
      <c r="A383" s="317"/>
      <c r="B383" s="317"/>
      <c r="C383" s="265"/>
      <c r="L383" s="166"/>
      <c r="M383" s="166"/>
      <c r="N383" s="166"/>
    </row>
    <row r="384" spans="1:20" x14ac:dyDescent="0.25">
      <c r="A384" s="317"/>
      <c r="B384" s="317"/>
      <c r="C384" s="265"/>
      <c r="L384" s="166"/>
      <c r="M384" s="166"/>
      <c r="N384" s="166"/>
    </row>
    <row r="385" spans="1:14" x14ac:dyDescent="0.25">
      <c r="A385" s="317"/>
      <c r="B385" s="317"/>
      <c r="C385" s="265"/>
      <c r="L385" s="166"/>
      <c r="M385" s="166"/>
      <c r="N385" s="166"/>
    </row>
    <row r="386" spans="1:14" x14ac:dyDescent="0.25">
      <c r="A386" s="317"/>
      <c r="B386" s="317"/>
      <c r="C386" s="265"/>
      <c r="L386" s="166"/>
      <c r="M386" s="166"/>
      <c r="N386" s="166"/>
    </row>
    <row r="387" spans="1:14" x14ac:dyDescent="0.25">
      <c r="A387" s="317"/>
      <c r="B387" s="317"/>
      <c r="C387" s="265"/>
      <c r="L387" s="166"/>
      <c r="M387" s="166"/>
      <c r="N387" s="166"/>
    </row>
    <row r="388" spans="1:14" x14ac:dyDescent="0.25">
      <c r="A388" s="317"/>
      <c r="B388" s="317"/>
      <c r="C388" s="265"/>
      <c r="L388" s="166"/>
      <c r="M388" s="166"/>
      <c r="N388" s="166"/>
    </row>
    <row r="389" spans="1:14" x14ac:dyDescent="0.25">
      <c r="A389" s="317"/>
      <c r="B389" s="317"/>
      <c r="C389" s="265"/>
      <c r="L389" s="166"/>
      <c r="M389" s="166"/>
      <c r="N389" s="166"/>
    </row>
    <row r="390" spans="1:14" x14ac:dyDescent="0.25">
      <c r="A390" s="317"/>
      <c r="B390" s="317"/>
      <c r="C390" s="265"/>
      <c r="L390" s="166"/>
      <c r="M390" s="166"/>
      <c r="N390" s="166"/>
    </row>
    <row r="391" spans="1:14" x14ac:dyDescent="0.25">
      <c r="A391" s="317"/>
      <c r="B391" s="317"/>
      <c r="C391" s="265"/>
      <c r="L391" s="166"/>
      <c r="M391" s="166"/>
      <c r="N391" s="166"/>
    </row>
    <row r="392" spans="1:14" x14ac:dyDescent="0.25">
      <c r="A392" s="317"/>
      <c r="B392" s="317"/>
      <c r="C392" s="265"/>
      <c r="L392" s="166"/>
      <c r="M392" s="166"/>
      <c r="N392" s="166"/>
    </row>
    <row r="393" spans="1:14" x14ac:dyDescent="0.25">
      <c r="A393" s="317"/>
      <c r="B393" s="317"/>
      <c r="C393" s="265"/>
      <c r="L393" s="166"/>
      <c r="M393" s="166"/>
      <c r="N393" s="166"/>
    </row>
    <row r="394" spans="1:14" x14ac:dyDescent="0.25">
      <c r="A394" s="317"/>
      <c r="B394" s="317"/>
      <c r="C394" s="265"/>
    </row>
  </sheetData>
  <autoFilter ref="A1:Z374" xr:uid="{00000000-0009-0000-0000-000001000000}"/>
  <hyperlinks>
    <hyperlink ref="F2" r:id="rId1" display="https://ieeexplore.ieee.org/xpl/conhome/6151888/proceeding" xr:uid="{00000000-0004-0000-0100-000000000000}"/>
    <hyperlink ref="G2" r:id="rId2" xr:uid="{00000000-0004-0000-0100-000001000000}"/>
    <hyperlink ref="F3" r:id="rId3" display="https://ieeexplore.ieee.org/xpl/conhome/7008823/proceeding" xr:uid="{00000000-0004-0000-0100-000002000000}"/>
    <hyperlink ref="G3" r:id="rId4" xr:uid="{00000000-0004-0000-0100-000003000000}"/>
    <hyperlink ref="G4" r:id="rId5" display="https://doi.org/10.1109/SNPD.2016.7515890" xr:uid="{00000000-0004-0000-0100-000004000000}"/>
    <hyperlink ref="F4" r:id="rId6" display="https://ieeexplore.ieee.org/xpl/conhome/7510515/proceeding" xr:uid="{00000000-0004-0000-0100-000005000000}"/>
    <hyperlink ref="F5" r:id="rId7" display="https://ieeexplore.ieee.org/xpl/conhome/6982004/proceeding" xr:uid="{00000000-0004-0000-0100-000006000000}"/>
    <hyperlink ref="G5" r:id="rId8" display="https://doi.org/10.1109/ISSREW.2014.33" xr:uid="{00000000-0004-0000-0100-000007000000}"/>
    <hyperlink ref="F6" r:id="rId9" display="https://ieeexplore.ieee.org/xpl/conhome/5062322/proceeding" xr:uid="{00000000-0004-0000-0100-000008000000}"/>
    <hyperlink ref="G6" r:id="rId10" xr:uid="{00000000-0004-0000-0100-000009000000}"/>
    <hyperlink ref="F7" r:id="rId11" display="https://ieeexplore.ieee.org/xpl/conhome/4708920/proceeding" xr:uid="{00000000-0004-0000-0100-00000A000000}"/>
    <hyperlink ref="G7" r:id="rId12" display="https://doi.org/10.1109/ICYCS.2008.280" xr:uid="{00000000-0004-0000-0100-00000B000000}"/>
    <hyperlink ref="G8" r:id="rId13" xr:uid="{00000000-0004-0000-0100-00000C000000}"/>
    <hyperlink ref="F8" r:id="rId14" display="https://ieeexplore.ieee.org/xpl/RecentIssue.jsp?punumber=52" xr:uid="{00000000-0004-0000-0100-00000D000000}"/>
    <hyperlink ref="F9" r:id="rId15" display="https://ieeexplore.ieee.org/xpl/conhome/6062053/proceeding" xr:uid="{00000000-0004-0000-0100-00000E000000}"/>
    <hyperlink ref="G9" r:id="rId16" display="https://doi.org/10.1145/1810295.1810364" xr:uid="{00000000-0004-0000-0100-00000F000000}"/>
    <hyperlink ref="F10" r:id="rId17" display="https://ieeexplore.ieee.org/xpl/conhome/6824916/proceeding" xr:uid="{00000000-0004-0000-0100-000010000000}"/>
    <hyperlink ref="G10" r:id="rId18" xr:uid="{00000000-0004-0000-0100-000011000000}"/>
    <hyperlink ref="F11" r:id="rId19" display="https://ieeexplore.ieee.org/xpl/conhome/6689801/proceeding" xr:uid="{00000000-0004-0000-0100-000012000000}"/>
    <hyperlink ref="G11" r:id="rId20" xr:uid="{00000000-0004-0000-0100-000013000000}"/>
    <hyperlink ref="F12" r:id="rId21" display="https://ieeexplore.ieee.org/xpl/conhome/8488603/proceeding" xr:uid="{00000000-0004-0000-0100-000014000000}"/>
    <hyperlink ref="G12" r:id="rId22" display="https://doi.org/10.1109/VLHCC.2018.8506512" xr:uid="{00000000-0004-0000-0100-000015000000}"/>
    <hyperlink ref="G13" r:id="rId23" display="https://doi.org/10.1109/ICSE-COMPANION.2009.5071020" xr:uid="{00000000-0004-0000-0100-000016000000}"/>
    <hyperlink ref="F13" r:id="rId24" display="https://ieeexplore.ieee.org/xpl/conhome/5062311/proceeding" xr:uid="{00000000-0004-0000-0100-000017000000}"/>
    <hyperlink ref="F14" r:id="rId25" display="https://ieeexplore.ieee.org/xpl/conhome/7158223/proceeding" xr:uid="{00000000-0004-0000-0100-000018000000}"/>
    <hyperlink ref="G14" r:id="rId26" xr:uid="{00000000-0004-0000-0100-000019000000}"/>
    <hyperlink ref="F15" r:id="rId27" display="https://ieeexplore.ieee.org/xpl/conhome/5556873/proceeding" xr:uid="{00000000-0004-0000-0100-00001A000000}"/>
    <hyperlink ref="G15" r:id="rId28" xr:uid="{00000000-0004-0000-0100-00001B000000}"/>
    <hyperlink ref="F16" r:id="rId29" display="https://ieeexplore.ieee.org/xpl/conhome/5628338/proceeding" xr:uid="{00000000-0004-0000-0100-00001C000000}"/>
    <hyperlink ref="G16" r:id="rId30" xr:uid="{00000000-0004-0000-0100-00001D000000}"/>
    <hyperlink ref="F17" r:id="rId31" display="https://ieeexplore.ieee.org/xpl/conhome/5716643/proceeding" xr:uid="{00000000-0004-0000-0100-00001E000000}"/>
    <hyperlink ref="G17" r:id="rId32" display="https://doi.org/10.1109/HICSS.2011.126" xr:uid="{00000000-0004-0000-0100-00001F000000}"/>
    <hyperlink ref="F18" r:id="rId33" display="https://ieeexplore.ieee.org/xpl/conhome/6684409/proceeding" xr:uid="{00000000-0004-0000-0100-000020000000}"/>
    <hyperlink ref="G18" r:id="rId34" display="https://doi.org/10.1109/ASE.2013.6693079" xr:uid="{00000000-0004-0000-0100-000021000000}"/>
    <hyperlink ref="F19" r:id="rId35" display="https://ieeexplore.ieee.org/xpl/conhome/4021304/proceeding" xr:uid="{00000000-0004-0000-0100-000022000000}"/>
    <hyperlink ref="G19" r:id="rId36" display="https://doi.org/10.1109/ICSM.2006.64" xr:uid="{00000000-0004-0000-0100-000023000000}"/>
    <hyperlink ref="F20" r:id="rId37" display="https://ieeexplore.ieee.org/xpl/conhome/8316804/proceeding" xr:uid="{00000000-0004-0000-0100-000024000000}"/>
    <hyperlink ref="G20" r:id="rId38" display="https://doi.org/10.1109/KBEI.2017.8324972" xr:uid="{00000000-0004-0000-0100-000025000000}"/>
    <hyperlink ref="F21" r:id="rId39" display="https://ieeexplore.ieee.org/xpl/conhome/5198469/proceeding" xr:uid="{00000000-0004-0000-0100-000026000000}"/>
    <hyperlink ref="G21" r:id="rId40" display="https://doi.org/10.1109/TASE.2009.34" xr:uid="{00000000-0004-0000-0100-000027000000}"/>
    <hyperlink ref="F22" r:id="rId41" display="https://ieeexplore.ieee.org/xpl/conhome/9629/proceeding" xr:uid="{00000000-0004-0000-0100-000028000000}"/>
    <hyperlink ref="G22" r:id="rId42" display="https://doi.org/10.1109/ASWEC.2005.29" xr:uid="{00000000-0004-0000-0100-000029000000}"/>
    <hyperlink ref="F23" r:id="rId43" display="https://ieeexplore.ieee.org/xpl/conhome/10247/proceeding" xr:uid="{00000000-0004-0000-0100-00002A000000}"/>
    <hyperlink ref="G23" r:id="rId44" display="https://doi.org/10.1109/RE.2005.35" xr:uid="{00000000-0004-0000-0100-00002B000000}"/>
    <hyperlink ref="F24" r:id="rId45" display="https://ieeexplore.ieee.org/xpl/RecentIssue.jsp?punumber=32" xr:uid="{00000000-0004-0000-0100-00002C000000}"/>
    <hyperlink ref="G24" r:id="rId46" display="https://doi.org/10.1109/TSE.2016.2623623" xr:uid="{00000000-0004-0000-0100-00002D000000}"/>
    <hyperlink ref="F25" r:id="rId47" display="https://ieeexplore.ieee.org/xpl/conhome/7371449/proceeding" xr:uid="{00000000-0004-0000-0100-00002E000000}"/>
    <hyperlink ref="G25" r:id="rId48" display="https://doi.org/10.1109/ASE.2015.106" xr:uid="{00000000-0004-0000-0100-00002F000000}"/>
    <hyperlink ref="F26" r:id="rId49" display="https://ieeexplore.ieee.org/xpl/conhome/7307714/proceeding" xr:uid="{00000000-0004-0000-0100-000030000000}"/>
    <hyperlink ref="G26" r:id="rId50" xr:uid="{00000000-0004-0000-0100-000031000000}"/>
    <hyperlink ref="F27" r:id="rId51" display="https://ieeexplore.ieee.org/xpl/RecentIssue.jsp?punumber=3468" xr:uid="{00000000-0004-0000-0100-000032000000}"/>
    <hyperlink ref="G27" r:id="rId52" display="https://doi.org/10.1109/TSMCA.2010.2052599" xr:uid="{00000000-0004-0000-0100-000033000000}"/>
    <hyperlink ref="F28" r:id="rId53" display="https://ieeexplore.ieee.org/xpl/conhome/5062322/proceeding" xr:uid="{00000000-0004-0000-0100-000034000000}"/>
    <hyperlink ref="G28" r:id="rId54" display="https://doi.org/10.1109/CVSM.2009.5071716" xr:uid="{00000000-0004-0000-0100-000035000000}"/>
    <hyperlink ref="G29" r:id="rId55" display="https://doi.org/10.1109/CIST.2018.8596468" xr:uid="{00000000-0004-0000-0100-000036000000}"/>
    <hyperlink ref="F29" r:id="rId56" display="https://ieeexplore.ieee.org/xpl/conhome/8575702/proceeding" xr:uid="{00000000-0004-0000-0100-000037000000}"/>
    <hyperlink ref="F30" r:id="rId57" display="https://ieeexplore.ieee.org/xpl/conhome/5428222/proceeding" xr:uid="{00000000-0004-0000-0100-000038000000}"/>
    <hyperlink ref="G30" r:id="rId58" xr:uid="{00000000-0004-0000-0100-000039000000}"/>
    <hyperlink ref="F31" r:id="rId59" display="https://ieeexplore.ieee.org/xpl/conhome/6129717/proceeding" xr:uid="{00000000-0004-0000-0100-00003A000000}"/>
    <hyperlink ref="G31" r:id="rId60" display="https://doi.org/10.1109/APSEC.2011.24" xr:uid="{00000000-0004-0000-0100-00003B000000}"/>
    <hyperlink ref="F32" r:id="rId61" display="https://ieeexplore.ieee.org/xpl/conhome/6032121/proceeding" xr:uid="{00000000-0004-0000-0100-00003C000000}"/>
    <hyperlink ref="G32" r:id="rId62" display="https://doi.org/10.1145/1985793.1986005" xr:uid="{00000000-0004-0000-0100-00003D000000}"/>
    <hyperlink ref="F33" r:id="rId63" display="https://ieeexplore.ieee.org/xpl/conhome/6494367/proceeding" xr:uid="{00000000-0004-0000-0100-00003E000000}"/>
    <hyperlink ref="G33" r:id="rId64" display="https://doi.org/10.1145/2351676.2351707" xr:uid="{00000000-0004-0000-0100-00003F000000}"/>
    <hyperlink ref="G34" r:id="rId65" display="https://doi.org/10.1109/CIST.2016.7805060" xr:uid="{00000000-0004-0000-0100-000040000000}"/>
    <hyperlink ref="F34" r:id="rId66" display="https://ieeexplore.ieee.org/xpl/conhome/7786012/proceeding" xr:uid="{00000000-0004-0000-0100-000041000000}"/>
    <hyperlink ref="F35" r:id="rId67" display="https://ieeexplore.ieee.org/xpl/conhome/6823821/proceeding" xr:uid="{00000000-0004-0000-0100-000042000000}"/>
    <hyperlink ref="G35" r:id="rId68" display="https://doi.org/10.1109/ASWEC.2014.33" xr:uid="{00000000-0004-0000-0100-000043000000}"/>
    <hyperlink ref="F36" r:id="rId69" display="https://ieeexplore.ieee.org/xpl/conhome/8826628/proceeding" xr:uid="{00000000-0004-0000-0100-000044000000}"/>
    <hyperlink ref="G36" r:id="rId70" display="https://doi.org/10.1109/SYSCON.2019.8836869" xr:uid="{00000000-0004-0000-0100-000045000000}"/>
    <hyperlink ref="F37" r:id="rId71" display="https://ieeexplore.ieee.org/xpl/conhome/4539516/proceeding" xr:uid="{00000000-0004-0000-0100-000046000000}"/>
    <hyperlink ref="G37" r:id="rId72" display="https://doi.org/10.1109/ICST.2008.23" xr:uid="{00000000-0004-0000-0100-000047000000}"/>
    <hyperlink ref="F38" r:id="rId73" display="https://ieeexplore.ieee.org/xpl/conhome/7112393/proceeding" xr:uid="{00000000-0004-0000-0100-000048000000}"/>
    <hyperlink ref="G38" r:id="rId74" display="https://doi.org/10.1109/SYSCON.2015.7116733" xr:uid="{00000000-0004-0000-0100-000049000000}"/>
    <hyperlink ref="F39" r:id="rId75" display="https://ieeexplore.ieee.org/xpl/conhome/8575702/proceeding" xr:uid="{00000000-0004-0000-0100-00004A000000}"/>
    <hyperlink ref="G39" r:id="rId76" display="https://doi.org/10.1109/CIST.2018.8596542" xr:uid="{00000000-0004-0000-0100-00004B000000}"/>
    <hyperlink ref="F40" r:id="rId77" display="https://ieeexplore.ieee.org/xpl/conhome/7932335/proceeding" xr:uid="{00000000-0004-0000-0100-00004C000000}"/>
    <hyperlink ref="G40" r:id="rId78" display="https://doi.org/10.1109/WITS.2017.7934626" xr:uid="{00000000-0004-0000-0100-00004D000000}"/>
    <hyperlink ref="F41" r:id="rId79" display="https://ieeexplore.ieee.org/xpl/conhome/7784662/proceeding" xr:uid="{00000000-0004-0000-0100-00004E000000}"/>
    <hyperlink ref="G41" r:id="rId80" display="https://doi.org/10.1109/ISSREW.2016.32" xr:uid="{00000000-0004-0000-0100-00004F000000}"/>
    <hyperlink ref="F42" r:id="rId81" display="https://ieeexplore.ieee.org/xpl/conhome/6340121/proceeding" xr:uid="{00000000-0004-0000-0100-000050000000}"/>
    <hyperlink ref="G42" r:id="rId82" display="https://doi.org/10.1109/COMPSAC.2012.36" xr:uid="{00000000-0004-0000-0100-000051000000}"/>
    <hyperlink ref="F43" r:id="rId83" display="https://ieeexplore.ieee.org/xpl/conhome/8961317/proceeding" xr:uid="{00000000-0004-0000-0100-000052000000}"/>
    <hyperlink ref="G43" r:id="rId84" display="https://doi.org/10.1109/IEEM44572.2019.8978930" xr:uid="{00000000-0004-0000-0100-000053000000}"/>
    <hyperlink ref="F44" r:id="rId85" display="https://ieeexplore.ieee.org/xpl/conhome/5431684/proceeding" xr:uid="{00000000-0004-0000-0100-000054000000}"/>
    <hyperlink ref="G44" r:id="rId86" display="https://doi.org/10.1109/ASE.2009.57" xr:uid="{00000000-0004-0000-0100-000055000000}"/>
    <hyperlink ref="G45" r:id="rId87" display="https://doi.org/10.1109/TSE.2016.2620145" xr:uid="{00000000-0004-0000-0100-000056000000}"/>
    <hyperlink ref="F45" r:id="rId88" display="https://ieeexplore.ieee.org/xpl/RecentIssue.jsp?punumber=32" xr:uid="{00000000-0004-0000-0100-000057000000}"/>
    <hyperlink ref="F46" r:id="rId89" display="https://ieeexplore.ieee.org/xpl/conhome/7286699/proceeding" xr:uid="{00000000-0004-0000-0100-000058000000}"/>
    <hyperlink ref="G46" r:id="rId90" display="https://doi.org/10.1109/UMEDIA.2015.7297436" xr:uid="{00000000-0004-0000-0100-000059000000}"/>
    <hyperlink ref="F47" r:id="rId91" display="https://ieeexplore.ieee.org/xpl/conhome/4534677/proceeding" xr:uid="{00000000-0004-0000-0100-00005A000000}"/>
    <hyperlink ref="G47" r:id="rId92" display="https://doi.org/10.1109/INMIC.2007.4557693" xr:uid="{00000000-0004-0000-0100-00005B000000}"/>
    <hyperlink ref="F48" r:id="rId93" display="https://ieeexplore.ieee.org/xpl/conhome/6683943/proceeding" xr:uid="{00000000-0004-0000-0100-00005C000000}"/>
    <hyperlink ref="G48" r:id="rId94" display="https://doi.org/10.1109/IECON.2013.6700279" xr:uid="{00000000-0004-0000-0100-00005D000000}"/>
    <hyperlink ref="F49" r:id="rId95" display="https://ieeexplore.ieee.org/xpl/conhome/4019543/proceeding" xr:uid="{00000000-0004-0000-0100-00005E000000}"/>
    <hyperlink ref="G49" r:id="rId96" display="https://doi.org/10.1109/ASE.2006.48" xr:uid="{00000000-0004-0000-0100-00005F000000}"/>
    <hyperlink ref="F50" r:id="rId97" display="https://ieeexplore.ieee.org/xpl/conhome/8054528/proceeding" xr:uid="{00000000-0004-0000-0100-000060000000}"/>
    <hyperlink ref="G50" r:id="rId98" display="https://doi.org/10.1109/COMTECH.2017.8065769" xr:uid="{00000000-0004-0000-0100-000061000000}"/>
    <hyperlink ref="F51" r:id="rId99" display="https://ieeexplore.ieee.org/xpl/RecentIssue.jsp?punumber=3468" xr:uid="{00000000-0004-0000-0100-000062000000}"/>
    <hyperlink ref="G51" r:id="rId100" display="https://doi.org/10.1109/TSMCA.2006.883181" xr:uid="{00000000-0004-0000-0100-000063000000}"/>
    <hyperlink ref="F52" r:id="rId101" display="https://ieeexplore.ieee.org/xpl/RecentIssue.jsp?punumber=32" xr:uid="{00000000-0004-0000-0100-000064000000}"/>
    <hyperlink ref="G52" r:id="rId102" display="https://doi.org/10.1109/TSE.2013.30" xr:uid="{00000000-0004-0000-0100-000065000000}"/>
    <hyperlink ref="F53" r:id="rId103" display="https://ieeexplore.ieee.org/xpl/RecentIssue.jsp?punumber=6221021" xr:uid="{00000000-0004-0000-0100-000066000000}"/>
    <hyperlink ref="G53" r:id="rId104" display="https://doi.org/10.1109/TSMC.2013.2296275" xr:uid="{00000000-0004-0000-0100-000067000000}"/>
    <hyperlink ref="F54" r:id="rId105" display="https://ieeexplore.ieee.org/xpl/RecentIssue.jsp?punumber=2" xr:uid="{00000000-0004-0000-0100-000068000000}"/>
    <hyperlink ref="G54" r:id="rId106" display="https://doi.org/10.1109/2.839317" xr:uid="{00000000-0004-0000-0100-000069000000}"/>
    <hyperlink ref="F55" r:id="rId107" display="https://ieeexplore.ieee.org/xpl/conhome/8932374/proceeding" xr:uid="{00000000-0004-0000-0100-00006A000000}"/>
    <hyperlink ref="G55" r:id="rId108" display="https://doi.org/10.1109/REW.2019.00016" xr:uid="{00000000-0004-0000-0100-00006B000000}"/>
    <hyperlink ref="F56" r:id="rId109" display="https://ieeexplore.ieee.org/xpl/conhome/5373586/proceeding" xr:uid="{00000000-0004-0000-0100-00006C000000}"/>
    <hyperlink ref="G56" r:id="rId110" display="https://doi.org/10.1109/ICCES.2009.5383227" xr:uid="{00000000-0004-0000-0100-00006D000000}"/>
    <hyperlink ref="F57" r:id="rId111" display="https://ieeexplore.ieee.org/xpl/conhome/8643125/proceeding" xr:uid="{00000000-0004-0000-0100-00006E000000}"/>
    <hyperlink ref="G57" r:id="rId112" display="https://doi.org/10.1109/TENCON.2018.8650378" xr:uid="{00000000-0004-0000-0100-00006F000000}"/>
    <hyperlink ref="F58" r:id="rId113" display="https://ieeexplore.ieee.org/xpl/conhome/8536777/proceeding" xr:uid="{00000000-0004-0000-0100-000070000000}"/>
    <hyperlink ref="G58" r:id="rId114" display="https://doi.org/10.1109/COASE.2018.8560537" xr:uid="{00000000-0004-0000-0100-000071000000}"/>
    <hyperlink ref="F59" r:id="rId115" display="https://ieeexplore.ieee.org/xpl/conhome/7430175/proceeding" xr:uid="{00000000-0004-0000-0100-000072000000}"/>
    <hyperlink ref="G59" r:id="rId116" display="https://doi.org/10.1109/KBEI.2015.7436156" xr:uid="{00000000-0004-0000-0100-000073000000}"/>
    <hyperlink ref="F60" r:id="rId117" display="https://ieeexplore.ieee.org/xpl/conhome/8742/proceeding" xr:uid="{00000000-0004-0000-0100-000074000000}"/>
    <hyperlink ref="G60" r:id="rId118" display="https://doi.org/10.1109/ICSM.2003.1235428" xr:uid="{00000000-0004-0000-0100-000075000000}"/>
    <hyperlink ref="F61" r:id="rId119" display="https://ieeexplore.ieee.org/xpl/conhome/8752095/proceeding" xr:uid="{00000000-0004-0000-0100-000076000000}"/>
    <hyperlink ref="G61" r:id="rId120" display="https://doi.org/10.1109/ISMVL.2019.00019" xr:uid="{00000000-0004-0000-0100-000077000000}"/>
    <hyperlink ref="F62" r:id="rId121" display="https://ieeexplore.ieee.org/xpl/conhome/4539516/proceeding" xr:uid="{00000000-0004-0000-0100-000078000000}"/>
    <hyperlink ref="G62" r:id="rId122" display="https://doi.org/10.1109/ICST.2008.66" xr:uid="{00000000-0004-0000-0100-000079000000}"/>
    <hyperlink ref="F63" r:id="rId123" display="https://ieeexplore.ieee.org/xpl/conhome/4812720/proceeding" xr:uid="{00000000-0004-0000-0100-00007A000000}"/>
    <hyperlink ref="G63" r:id="rId124" display="https://doi.org/10.1109/CSMR.2009.35" xr:uid="{00000000-0004-0000-0100-00007B000000}"/>
    <hyperlink ref="F64" r:id="rId125" display="https://ieeexplore.ieee.org/xpl/conhome/4019031/proceeding" xr:uid="{00000000-0004-0000-0100-00007C000000}"/>
    <hyperlink ref="G64" r:id="rId126" display="https://doi.org/10.1109/CSCWD.2006.253033" xr:uid="{00000000-0004-0000-0100-00007D000000}"/>
    <hyperlink ref="F65" r:id="rId127" display="https://ieeexplore.ieee.org/xpl/conhome/4653773/proceeding" xr:uid="{00000000-0004-0000-0100-00007E000000}"/>
    <hyperlink ref="G65" r:id="rId128" display="https://doi.org/10.1109/ICSM.2008.4658105" xr:uid="{00000000-0004-0000-0100-00007F000000}"/>
    <hyperlink ref="F66" r:id="rId129" display="https://ieeexplore.ieee.org/xpl/conhome/4243704/proceeding" xr:uid="{00000000-0004-0000-0100-000080000000}"/>
    <hyperlink ref="G66" r:id="rId130" display="https://doi.org/10.1109/ICSEM.2007.373341" xr:uid="{00000000-0004-0000-0100-000081000000}"/>
    <hyperlink ref="F67" r:id="rId131" display="https://ieeexplore.ieee.org/xpl/conhome/5639116/proceeding" xr:uid="{00000000-0004-0000-0100-000082000000}"/>
    <hyperlink ref="G67" r:id="rId132" display="https://doi.org/10.1109/FITME.2010.5654698" xr:uid="{00000000-0004-0000-0100-000083000000}"/>
    <hyperlink ref="F68" r:id="rId133" display="https://ieeexplore.ieee.org/xpl/conhome/4019031/proceeding" xr:uid="{00000000-0004-0000-0100-000084000000}"/>
    <hyperlink ref="G68" r:id="rId134" display="https://doi.org/10.1109/CSCWD.2006.253005" xr:uid="{00000000-0004-0000-0100-000085000000}"/>
    <hyperlink ref="F71" r:id="rId135" display="https://ieeexplore.ieee.org/xpl/conhome/5379692/proceeding" xr:uid="{00000000-0004-0000-0100-000086000000}"/>
    <hyperlink ref="G71" r:id="rId136" display="https://doi.org/10.1109/ICM2CS.2009.5397941" xr:uid="{00000000-0004-0000-0100-000087000000}"/>
    <hyperlink ref="F72" r:id="rId137" display="https://ieeexplore.ieee.org/xpl/conhome/4272875/proceeding" xr:uid="{00000000-0004-0000-0100-000088000000}"/>
    <hyperlink ref="G72" r:id="rId138" display="https://doi.org/10.1109/DEPCOS-RELCOMEX.2007.11" xr:uid="{00000000-0004-0000-0100-000089000000}"/>
    <hyperlink ref="F73" r:id="rId139" display="https://ieeexplore.ieee.org/xpl/RecentIssue.jsp?punumber=32" xr:uid="{00000000-0004-0000-0100-00008A000000}"/>
    <hyperlink ref="G73" r:id="rId140" display="https://doi.org/10.1109/TSE.2006.48" xr:uid="{00000000-0004-0000-0100-00008B000000}"/>
    <hyperlink ref="F74" r:id="rId141" display="https://ieeexplore.ieee.org/xpl/conhome/7763/proceeding" xr:uid="{00000000-0004-0000-0100-00008C000000}"/>
    <hyperlink ref="G74" r:id="rId142" display="https://doi.org/10.1109/ASE.2001.989797" xr:uid="{00000000-0004-0000-0100-00008D000000}"/>
    <hyperlink ref="F102" r:id="rId143" tooltip="GECCO '13: Proceedings of the 15th annual conference on Genetic and evolutionary computation" display="https://dl.acm.org/doi/proceedings/10.1145/2463372" xr:uid="{00000000-0004-0000-0100-00008E000000}"/>
    <hyperlink ref="G102" r:id="rId144" xr:uid="{00000000-0004-0000-0100-00008F000000}"/>
    <hyperlink ref="F103" r:id="rId145" tooltip="SAC '12: Proceedings of the 27th Annual ACM Symposium on Applied Computing" display="https://dl.acm.org/doi/proceedings/10.1145/2245276" xr:uid="{00000000-0004-0000-0100-000090000000}"/>
    <hyperlink ref="G103" r:id="rId146" xr:uid="{00000000-0004-0000-0100-000091000000}"/>
    <hyperlink ref="F104" r:id="rId147" tooltip="MODELS '17: Proceedings of the ACM/IEEE 20th International Conference on Model Driven Engineering Languages and Systems" display="https://dl.acm.org/doi/proceedings/10.5555/3344096" xr:uid="{00000000-0004-0000-0100-000092000000}"/>
    <hyperlink ref="G104" r:id="rId148" xr:uid="{00000000-0004-0000-0100-000093000000}"/>
    <hyperlink ref="F105" r:id="rId149" tooltip="SBSI'19: Proceedings of the XV Brazilian Symposium on Information Systems" display="https://dl.acm.org/doi/proceedings/10.1145/3330204" xr:uid="{00000000-0004-0000-0100-000094000000}"/>
    <hyperlink ref="G105" r:id="rId150" xr:uid="{00000000-0004-0000-0100-000095000000}"/>
    <hyperlink ref="F106" r:id="rId151" tooltip="IWMCP '10: Proceedings of the 1st International Workshop on Model Comparison in Practice" display="https://dl.acm.org/doi/proceedings/10.1145/1826147" xr:uid="{00000000-0004-0000-0100-000096000000}"/>
    <hyperlink ref="G106" r:id="rId152" xr:uid="{00000000-0004-0000-0100-000097000000}"/>
    <hyperlink ref="F107" r:id="rId153" tooltip="CVSM '08: Proceedings of the 2008 international workshop on Comparison and versioning of software models" display="https://dl.acm.org/doi/proceedings/10.1145/1370152" xr:uid="{00000000-0004-0000-0100-000098000000}"/>
    <hyperlink ref="G107" r:id="rId154" xr:uid="{00000000-0004-0000-0100-000099000000}"/>
    <hyperlink ref="F108" r:id="rId155" tooltip="IWMCP '10: Proceedings of the 1st International Workshop on Model Comparison in Practice" display="https://dl.acm.org/doi/proceedings/10.1145/1826147" xr:uid="{00000000-0004-0000-0100-00009A000000}"/>
    <hyperlink ref="G108" r:id="rId156" xr:uid="{00000000-0004-0000-0100-00009B000000}"/>
    <hyperlink ref="F109" r:id="rId157" tooltip="IWMCP '10: Proceedings of the 1st International Workshop on Model Comparison in Practice" display="https://dl.acm.org/doi/proceedings/10.1145/1826147" xr:uid="{00000000-0004-0000-0100-00009C000000}"/>
    <hyperlink ref="G109" r:id="rId158" xr:uid="{00000000-0004-0000-0100-00009D000000}"/>
    <hyperlink ref="F110" r:id="rId159" tooltip="ICSE '08: Proceedings of the 30th international conference on Software engineering" display="https://dl.acm.org/doi/proceedings/10.1145/1368088" xr:uid="{00000000-0004-0000-0100-00009E000000}"/>
    <hyperlink ref="G110" r:id="rId160" xr:uid="{00000000-0004-0000-0100-00009F000000}"/>
    <hyperlink ref="F111" r:id="rId161" tooltip="SPLC '19: Proceedings of the 23rd International Systems and Software Product Line Conference - Volume A" display="https://dl.acm.org/doi/proceedings/10.1145/3336294" xr:uid="{00000000-0004-0000-0100-0000A0000000}"/>
    <hyperlink ref="G111" r:id="rId162" xr:uid="{00000000-0004-0000-0100-0000A1000000}"/>
    <hyperlink ref="F112" r:id="rId163" tooltip="APCCM '09: Proceedings of the Sixth Asia-Pacific Conference on Conceptual Modeling - Volume 96" display="https://dl.acm.org/doi/proceedings/10.5555/1862739" xr:uid="{00000000-0004-0000-0100-0000A2000000}"/>
    <hyperlink ref="G112" r:id="rId164" xr:uid="{00000000-0004-0000-0100-0000A3000000}"/>
    <hyperlink ref="F113" r:id="rId165" tooltip="IWMCP '10: Proceedings of the 1st International Workshop on Model Comparison in Practice" display="https://dl.acm.org/doi/proceedings/10.1145/1826147" xr:uid="{00000000-0004-0000-0100-0000A4000000}"/>
    <hyperlink ref="G113" r:id="rId166" xr:uid="{00000000-0004-0000-0100-0000A5000000}"/>
    <hyperlink ref="F114" r:id="rId167" tooltip="DATE '12: Proceedings of the Conference on Design, Automation and Test in Europe" display="https://dl.acm.org/doi/proceedings/10.5555/2492708" xr:uid="{00000000-0004-0000-0100-0000A6000000}"/>
    <hyperlink ref="G114" r:id="rId168" xr:uid="{00000000-0004-0000-0100-0000A7000000}"/>
    <hyperlink ref="F115" r:id="rId169" tooltip="ACME '13: Proceedings of the workshop on ACadeMics Tooling with Eclipse" display="https://dl.acm.org/doi/proceedings/10.1145/2491279" xr:uid="{00000000-0004-0000-0100-0000A8000000}"/>
    <hyperlink ref="G115" r:id="rId170" xr:uid="{00000000-0004-0000-0100-0000A9000000}"/>
    <hyperlink ref="F116" r:id="rId171" tooltip="ESEC/FSE '09: Proceedings of the 7th joint meeting of the European software engineering conference and the ACM SIGSOFT symposium on The foundations of software engineering" display="https://dl.acm.org/doi/proceedings/10.1145/1595696" xr:uid="{00000000-0004-0000-0100-0000AA000000}"/>
    <hyperlink ref="G116" r:id="rId172" xr:uid="{00000000-0004-0000-0100-0000AB000000}"/>
    <hyperlink ref="F117" r:id="rId173" tooltip="VAMOS '20: Proceedings of the 14th International Working Conference on Variability Modelling of Software-Intensive Systems" display="https://dl.acm.org/doi/proceedings/10.1145/3377024" xr:uid="{00000000-0004-0000-0100-0000AC000000}"/>
    <hyperlink ref="G117" r:id="rId174" xr:uid="{00000000-0004-0000-0100-0000AD000000}"/>
    <hyperlink ref="F118" r:id="rId175" tooltip="ICSE '11: Proceedings of the 33rd International Conference on Software Engineering" display="https://dl.acm.org/doi/proceedings/10.1145/1985793" xr:uid="{00000000-0004-0000-0100-0000AE000000}"/>
    <hyperlink ref="G118" r:id="rId176" xr:uid="{00000000-0004-0000-0100-0000AF000000}"/>
    <hyperlink ref="F119" r:id="rId177" tooltip="ME '12: Proceedings of the 6th International Workshop on Models and Evolution" display="https://dl.acm.org/doi/proceedings/10.1145/2523599" xr:uid="{00000000-0004-0000-0100-0000B0000000}"/>
    <hyperlink ref="G119" r:id="rId178" xr:uid="{00000000-0004-0000-0100-0000B1000000}"/>
    <hyperlink ref="F120" r:id="rId179" tooltip="VaMoS '12: Proceedings of the Sixth International Workshop on Variability Modeling of Software-Intensive Systems" display="https://dl.acm.org/doi/proceedings/10.1145/2110147" xr:uid="{00000000-0004-0000-0100-0000B2000000}"/>
    <hyperlink ref="G120" r:id="rId180" xr:uid="{00000000-0004-0000-0100-0000B3000000}"/>
    <hyperlink ref="F121" r:id="rId181" tooltip="VaMoS '12: Proceedings of the Sixth International Workshop on Variability Modeling of Software-Intensive Systems" display="https://dl.acm.org/doi/proceedings/10.1145/2110147" xr:uid="{00000000-0004-0000-0100-0000B4000000}"/>
    <hyperlink ref="G121" r:id="rId182" xr:uid="{00000000-0004-0000-0100-0000B5000000}"/>
    <hyperlink ref="F122" r:id="rId183" tooltip="MODELS '18: Proceedings of the 21st ACM/IEEE International Conference on Model Driven Engineering Languages and Systems: Companion Proceedings" display="https://dl.acm.org/doi/proceedings/10.1145/3270112" xr:uid="{00000000-0004-0000-0100-0000B6000000}"/>
    <hyperlink ref="G122" r:id="rId184" xr:uid="{00000000-0004-0000-0100-0000B7000000}"/>
    <hyperlink ref="F123" r:id="rId185" tooltip="MoDeVVa '09: Proceedings of the 6th International Workshop on Model-Driven Engineering, Verification and Validation" display="https://dl.acm.org/doi/proceedings/10.1145/1656485" xr:uid="{00000000-0004-0000-0100-0000B8000000}"/>
    <hyperlink ref="G123" r:id="rId186" xr:uid="{00000000-0004-0000-0100-0000B9000000}"/>
    <hyperlink ref="F124" r:id="rId187" tooltip="VAMOS 2018: Proceedings of the 12th International Workshop on Variability Modelling of Software-Intensive Systems" display="https://dl.acm.org/doi/proceedings/10.1145/3168365" xr:uid="{00000000-0004-0000-0100-0000BA000000}"/>
    <hyperlink ref="G124" r:id="rId188" xr:uid="{00000000-0004-0000-0100-0000BB000000}"/>
    <hyperlink ref="F125" r:id="rId189" tooltip="MDI '10: Proceedings of the First International Workshop on Model-Driven Interoperability" display="https://dl.acm.org/doi/proceedings/10.1145/1866272" xr:uid="{00000000-0004-0000-0100-0000BC000000}"/>
    <hyperlink ref="G125" r:id="rId190" xr:uid="{00000000-0004-0000-0100-0000BD000000}"/>
    <hyperlink ref="F126" r:id="rId191" tooltip="ECSA '19: Proceedings of the 13th European Conference on Software Architecture - Volume 2" display="https://dl.acm.org/doi/proceedings/10.1145/3344948" xr:uid="{00000000-0004-0000-0100-0000BE000000}"/>
    <hyperlink ref="G126" r:id="rId192" xr:uid="{00000000-0004-0000-0100-0000BF000000}"/>
    <hyperlink ref="F127" r:id="rId193" tooltip="ICSE '10: Proceedings of the 32nd ACM/IEEE International Conference on Software Engineering - Volume 2" display="https://dl.acm.org/doi/proceedings/10.1145/1810295" xr:uid="{00000000-0004-0000-0100-0000C0000000}"/>
    <hyperlink ref="G127" r:id="rId194" xr:uid="{00000000-0004-0000-0100-0000C1000000}"/>
    <hyperlink ref="F128" r:id="rId195" tooltip="EASE '14: Proceedings of the 18th International Conference on Evaluation and Assessment in Software Engineering" display="https://dl.acm.org/doi/proceedings/10.1145/2601248" xr:uid="{00000000-0004-0000-0100-0000C2000000}"/>
    <hyperlink ref="G128" r:id="rId196" xr:uid="{00000000-0004-0000-0100-0000C3000000}"/>
    <hyperlink ref="F129" r:id="rId197" tooltip="SAC '18: Proceedings of the 33rd Annual ACM Symposium on Applied Computing" display="https://dl.acm.org/doi/proceedings/10.1145/3167132" xr:uid="{00000000-0004-0000-0100-0000C4000000}"/>
    <hyperlink ref="G129" r:id="rId198" xr:uid="{00000000-0004-0000-0100-0000C5000000}"/>
    <hyperlink ref="F130" r:id="rId199" tooltip="SAC '11: Proceedings of the 2011 ACM Symposium on Applied Computing" display="https://dl.acm.org/doi/proceedings/10.1145/1982185" xr:uid="{00000000-0004-0000-0100-0000C6000000}"/>
    <hyperlink ref="G130" r:id="rId200" xr:uid="{00000000-0004-0000-0100-0000C7000000}"/>
    <hyperlink ref="F131" r:id="rId201" tooltip="iiWAS '14: Proceedings of the 16th International Conference on Information Integration and Web-based Applications &amp;amp; Services" display="https://dl.acm.org/doi/proceedings/10.1145/2684200" xr:uid="{00000000-0004-0000-0100-0000C8000000}"/>
    <hyperlink ref="G131" r:id="rId202" xr:uid="{00000000-0004-0000-0100-0000C9000000}"/>
    <hyperlink ref="F132" r:id="rId203" tooltip="ICSE '10: Proceedings of the 32nd ACM/IEEE International Conference on Software Engineering - Volume 2" display="https://dl.acm.org/doi/proceedings/10.1145/1810295" xr:uid="{00000000-0004-0000-0100-0000CA000000}"/>
    <hyperlink ref="G132" r:id="rId204" xr:uid="{00000000-0004-0000-0100-0000CB000000}"/>
    <hyperlink ref="F133" r:id="rId205" tooltip="SPLC '11: Proceedings of the 15th International Software Product Line Conference, Volume 2" display="https://dl.acm.org/doi/proceedings/10.1145/2019136" xr:uid="{00000000-0004-0000-0100-0000CC000000}"/>
    <hyperlink ref="G133" r:id="rId206" xr:uid="{00000000-0004-0000-0100-0000CD000000}"/>
    <hyperlink ref="F134" r:id="rId207" tooltip="MiSE '13: Proceedings of the 5th International Workshop on Modeling in Software Engineering" display="https://dl.acm.org/doi/proceedings/10.5555/2662737" xr:uid="{00000000-0004-0000-0100-0000CE000000}"/>
    <hyperlink ref="G134" r:id="rId208" xr:uid="{00000000-0004-0000-0100-0000CF000000}"/>
    <hyperlink ref="F135" r:id="rId209" tooltip="SAC '19: Proceedings of the 34th ACM/SIGAPP Symposium on Applied Computing" display="https://dl.acm.org/doi/proceedings/10.1145/3297280" xr:uid="{00000000-0004-0000-0100-0000D0000000}"/>
    <hyperlink ref="G135" r:id="rId210" xr:uid="{00000000-0004-0000-0100-0000D1000000}"/>
    <hyperlink ref="F136" r:id="rId211" tooltip="ChineseCSCW '17: Proceedings of the 12th Chinese Conference on Computer Supported Cooperative Work and Social Computing" display="https://dl.acm.org/doi/proceedings/10.1145/3127404" xr:uid="{00000000-0004-0000-0100-0000D2000000}"/>
    <hyperlink ref="G136" r:id="rId212" xr:uid="{00000000-0004-0000-0100-0000D3000000}"/>
    <hyperlink ref="F137" r:id="rId213" tooltip="OOPSLA '10: Proceedings of the ACM international conference companion on Object oriented programming systems languages and applications companion" display="https://dl.acm.org/doi/proceedings/10.1145/1869542" xr:uid="{00000000-0004-0000-0100-0000D4000000}"/>
    <hyperlink ref="G137" r:id="rId214" xr:uid="{00000000-0004-0000-0100-0000D5000000}"/>
    <hyperlink ref="F138" r:id="rId215" tooltip="OOPSLA '09: Proceedings of the 24th ACM SIGPLAN conference companion on Object oriented programming systems languages and applications" display="https://dl.acm.org/doi/proceedings/10.1145/1639950" xr:uid="{00000000-0004-0000-0100-0000D6000000}"/>
    <hyperlink ref="G138" r:id="rId216" xr:uid="{00000000-0004-0000-0100-0000D7000000}"/>
    <hyperlink ref="F169" r:id="rId217" tooltip="Go to American Journal of Preventive Medicine on ScienceDirect" display="https://www.sciencedirect.com/science/journal/07493797" xr:uid="{00000000-0004-0000-0100-0000D8000000}"/>
    <hyperlink ref="G169" r:id="rId218" tooltip="Persistent link using digital object identifier" xr:uid="{00000000-0004-0000-0100-0000D9000000}"/>
    <hyperlink ref="F170" r:id="rId219" tooltip="Go to Journal of Systems and Software on ScienceDirect" display="https://www.sciencedirect.com/science/journal/01641212" xr:uid="{00000000-0004-0000-0100-0000DA000000}"/>
    <hyperlink ref="F171" r:id="rId220" tooltip="Go to Science of Computer Programming on ScienceDirect" display="https://www.sciencedirect.com/science/journal/01676423" xr:uid="{00000000-0004-0000-0100-0000DB000000}"/>
    <hyperlink ref="G171" r:id="rId221" xr:uid="{00000000-0004-0000-0100-0000DC000000}"/>
    <hyperlink ref="F172" r:id="rId222" tooltip="Go to Journal of Systems and Software on ScienceDirect" display="https://www.sciencedirect.com/science/journal/01641212" xr:uid="{00000000-0004-0000-0100-0000DD000000}"/>
    <hyperlink ref="G172" r:id="rId223" tooltip="Persistent link using digital object identifier" xr:uid="{00000000-0004-0000-0100-0000DE000000}"/>
    <hyperlink ref="F173" r:id="rId224" tooltip="Go to Journal of Systems and Software on ScienceDirect" display="https://www.sciencedirect.com/science/journal/01641212" xr:uid="{00000000-0004-0000-0100-0000DF000000}"/>
    <hyperlink ref="G173" r:id="rId225" tooltip="Persistent link using digital object identifier" xr:uid="{00000000-0004-0000-0100-0000E0000000}"/>
    <hyperlink ref="F174" r:id="rId226" tooltip="Go to Knowledge-Based Systems on ScienceDirect" display="https://www.sciencedirect.com/science/journal/09507051" xr:uid="{00000000-0004-0000-0100-0000E1000000}"/>
    <hyperlink ref="G174" r:id="rId227" tooltip="Persistent link using digital object identifier" xr:uid="{00000000-0004-0000-0100-0000E2000000}"/>
    <hyperlink ref="F175" r:id="rId228" tooltip="Go to Science of Computer Programming on ScienceDirect" display="https://www.sciencedirect.com/science/journal/01676423" xr:uid="{00000000-0004-0000-0100-0000E3000000}"/>
    <hyperlink ref="G175" r:id="rId229" tooltip="Persistent link using digital object identifier" xr:uid="{00000000-0004-0000-0100-0000E4000000}"/>
    <hyperlink ref="F176" r:id="rId230" tooltip="Go to Journal of Systems and Software on ScienceDirect" display="https://www.sciencedirect.com/science/journal/01641212" xr:uid="{00000000-0004-0000-0100-0000E5000000}"/>
    <hyperlink ref="G176" r:id="rId231" tooltip="Persistent link using digital object identifier" xr:uid="{00000000-0004-0000-0100-0000E6000000}"/>
    <hyperlink ref="F177" r:id="rId232" tooltip="Go to Journal of Visual Languages &amp; Computing on ScienceDirect" display="https://www.sciencedirect.com/science/journal/1045926X" xr:uid="{00000000-0004-0000-0100-0000E7000000}"/>
    <hyperlink ref="G177" r:id="rId233" tooltip="Persistent link using digital object identifier" xr:uid="{00000000-0004-0000-0100-0000E8000000}"/>
    <hyperlink ref="F178" r:id="rId234" tooltip="Go to Journal of Logical and Algebraic Methods in Programming on ScienceDirect" display="https://www.sciencedirect.com/science/journal/23522208" xr:uid="{00000000-0004-0000-0100-0000E9000000}"/>
    <hyperlink ref="G178" r:id="rId235" tooltip="Persistent link using digital object identifier" xr:uid="{00000000-0004-0000-0100-0000EA000000}"/>
    <hyperlink ref="F179" r:id="rId236" tooltip="Go to Journal of Systems Architecture on ScienceDirect" display="https://www.sciencedirect.com/science/journal/13837621" xr:uid="{00000000-0004-0000-0100-0000EB000000}"/>
    <hyperlink ref="G179" r:id="rId237" tooltip="Persistent link using digital object identifier" xr:uid="{00000000-0004-0000-0100-0000EC000000}"/>
    <hyperlink ref="F180" r:id="rId238" tooltip="Go to Journal of Systems and Software on ScienceDirect" display="https://www.sciencedirect.com/science/journal/01641212" xr:uid="{00000000-0004-0000-0100-0000ED000000}"/>
    <hyperlink ref="G180" r:id="rId239" tooltip="Persistent link using digital object identifier" xr:uid="{00000000-0004-0000-0100-0000EE000000}"/>
    <hyperlink ref="F181" r:id="rId240" tooltip="Go to Robotics and Computer-Integrated Manufacturing on ScienceDirect" display="https://www.sciencedirect.com/science/journal/07365845" xr:uid="{00000000-0004-0000-0100-0000EF000000}"/>
    <hyperlink ref="G181" r:id="rId241" tooltip="Persistent link using digital object identifier" xr:uid="{00000000-0004-0000-0100-0000F0000000}"/>
    <hyperlink ref="F182" r:id="rId242" tooltip="Go to Science of Computer Programming on ScienceDirect" display="https://www.sciencedirect.com/science/journal/01676423" xr:uid="{00000000-0004-0000-0100-0000F1000000}"/>
    <hyperlink ref="G182" r:id="rId243" tooltip="Persistent link using digital object identifier" xr:uid="{00000000-0004-0000-0100-0000F2000000}"/>
    <hyperlink ref="F183" r:id="rId244" tooltip="Go to Electronic Notes in Theoretical Computer Science on ScienceDirect" display="https://www.sciencedirect.com/science/journal/15710661" xr:uid="{00000000-0004-0000-0100-0000F3000000}"/>
    <hyperlink ref="G183" r:id="rId245" tooltip="Persistent link using digital object identifier" xr:uid="{00000000-0004-0000-0100-0000F4000000}"/>
    <hyperlink ref="F184" r:id="rId246" tooltip="Go to Information Systems on ScienceDirect" display="https://www.sciencedirect.com/science/journal/03064379" xr:uid="{00000000-0004-0000-0100-0000F5000000}"/>
    <hyperlink ref="G184" r:id="rId247" tooltip="Persistent link using digital object identifier" xr:uid="{00000000-0004-0000-0100-0000F6000000}"/>
    <hyperlink ref="F185" r:id="rId248" tooltip="Go to Advanced Engineering Informatics on ScienceDirect" display="https://www.sciencedirect.com/science/journal/14740346" xr:uid="{00000000-0004-0000-0100-0000F7000000}"/>
    <hyperlink ref="G185" r:id="rId249" tooltip="Persistent link using digital object identifier" xr:uid="{00000000-0004-0000-0100-0000F8000000}"/>
    <hyperlink ref="F186" r:id="rId250" tooltip="Go to Computers &amp; Electrical Engineering on ScienceDirect" display="https://www.sciencedirect.com/science/journal/00457906" xr:uid="{00000000-0004-0000-0100-0000F9000000}"/>
    <hyperlink ref="G186" r:id="rId251" tooltip="Persistent link using digital object identifier" xr:uid="{00000000-0004-0000-0100-0000FA000000}"/>
    <hyperlink ref="F187" r:id="rId252" tooltip="Go to Procedia Computer Science on ScienceDirect" display="https://www.sciencedirect.com/science/journal/18770509" xr:uid="{00000000-0004-0000-0100-0000FB000000}"/>
    <hyperlink ref="G187" r:id="rId253" tooltip="Persistent link using digital object identifier" xr:uid="{00000000-0004-0000-0100-0000FC000000}"/>
    <hyperlink ref="F188" r:id="rId254" tooltip="Go to Advanced Engineering Informatics on ScienceDirect" display="https://www.sciencedirect.com/science/journal/14740346" xr:uid="{00000000-0004-0000-0100-0000FD000000}"/>
    <hyperlink ref="G188" r:id="rId255" tooltip="Persistent link using digital object identifier" xr:uid="{00000000-0004-0000-0100-0000FE000000}"/>
    <hyperlink ref="F189" r:id="rId256" tooltip="Go to Annual Reviews in Control on ScienceDirect" display="https://www-sciencedirect-com.ins2i.bib.cnrs.fr/science/journal/13675788" xr:uid="{00000000-0004-0000-0100-0000FF000000}"/>
    <hyperlink ref="G189" r:id="rId257" tooltip="Persistent link using digital object identifier" display="https://doi-org.ins2i.bib.cnrs.fr/10.1016/j.arcontrol.2012.09.016" xr:uid="{00000000-0004-0000-0100-000000010000}"/>
    <hyperlink ref="F190" r:id="rId258" tooltip="Go to Robotics and Computer-Integrated Manufacturing on ScienceDirect" display="https://www.sciencedirect.com/science/journal/07365845" xr:uid="{00000000-0004-0000-0100-000001010000}"/>
    <hyperlink ref="G190" r:id="rId259" tooltip="Persistent link using digital object identifier" xr:uid="{00000000-0004-0000-0100-000002010000}"/>
    <hyperlink ref="F191" r:id="rId260" tooltip="Go to Journal of Visual Languages &amp; Computing on ScienceDirect" display="https://www.sciencedirect.com/science/journal/1045926X" xr:uid="{00000000-0004-0000-0100-000003010000}"/>
    <hyperlink ref="G191" r:id="rId261" tooltip="Persistent link using digital object identifier" xr:uid="{00000000-0004-0000-0100-000004010000}"/>
    <hyperlink ref="F192" r:id="rId262" tooltip="Go to Environmental Modelling &amp; Software on ScienceDirect" display="https://www.sciencedirect.com/science/journal/13648152" xr:uid="{00000000-0004-0000-0100-000005010000}"/>
    <hyperlink ref="G192" r:id="rId263" tooltip="Persistent link using digital object identifier" xr:uid="{00000000-0004-0000-0100-000006010000}"/>
    <hyperlink ref="F193" r:id="rId264" tooltip="Go to Theoretical Computer Science on ScienceDirect" display="https://www.sciencedirect.com/science/journal/03043975" xr:uid="{00000000-0004-0000-0100-000007010000}"/>
    <hyperlink ref="G193" r:id="rId265" tooltip="Persistent link using digital object identifier" xr:uid="{00000000-0004-0000-0100-000008010000}"/>
    <hyperlink ref="F194" r:id="rId266" tooltip="Go to Expert Systems with Applications on ScienceDirect" display="https://www.sciencedirect.com/science/journal/09574174" xr:uid="{00000000-0004-0000-0100-000009010000}"/>
    <hyperlink ref="G194" r:id="rId267" tooltip="Persistent link using digital object identifier" xr:uid="{00000000-0004-0000-0100-00000A010000}"/>
    <hyperlink ref="F206" r:id="rId268" tooltip="Software Process: Improvement and Practice homepage" display="https://onlinelibrary.wiley.com/journal/10991670" xr:uid="{00000000-0004-0000-0100-00000B010000}"/>
    <hyperlink ref="G206" r:id="rId269" xr:uid="{00000000-0004-0000-0100-00000C010000}"/>
    <hyperlink ref="G205" r:id="rId270" xr:uid="{00000000-0004-0000-0100-00000D010000}"/>
    <hyperlink ref="G207" r:id="rId271" xr:uid="{00000000-0004-0000-0100-00000E010000}"/>
    <hyperlink ref="G208" r:id="rId272" xr:uid="{00000000-0004-0000-0100-00000F010000}"/>
    <hyperlink ref="G209" r:id="rId273" xr:uid="{00000000-0004-0000-0100-000010010000}"/>
    <hyperlink ref="G210" r:id="rId274" xr:uid="{00000000-0004-0000-0100-000011010000}"/>
    <hyperlink ref="G211" r:id="rId275" xr:uid="{00000000-0004-0000-0100-000012010000}"/>
    <hyperlink ref="G212" r:id="rId276" xr:uid="{00000000-0004-0000-0100-000013010000}"/>
    <hyperlink ref="F212" r:id="rId277" tooltip="Systems and Computers in Japan homepage" display="https://onlinelibrary.wiley.com/journal/1520684x" xr:uid="{00000000-0004-0000-0100-000014010000}"/>
    <hyperlink ref="G213" r:id="rId278" xr:uid="{00000000-0004-0000-0100-000015010000}"/>
    <hyperlink ref="G214" r:id="rId279" xr:uid="{00000000-0004-0000-0100-000016010000}"/>
    <hyperlink ref="G215" r:id="rId280" xr:uid="{00000000-0004-0000-0100-000017010000}"/>
    <hyperlink ref="G216" r:id="rId281" xr:uid="{00000000-0004-0000-0100-000018010000}"/>
    <hyperlink ref="F217" r:id="rId282" display="https://link.springer.com/conference/ecmdafa" xr:uid="{00000000-0004-0000-0100-000019010000}"/>
    <hyperlink ref="G217" r:id="rId283" xr:uid="{00000000-0004-0000-0100-00001A010000}"/>
    <hyperlink ref="F218" r:id="rId284" display="https://www.springer.com/journal/10606/" xr:uid="{00000000-0004-0000-0100-00001B010000}"/>
    <hyperlink ref="G218" r:id="rId285" xr:uid="{00000000-0004-0000-0100-00001C010000}"/>
    <hyperlink ref="F219" r:id="rId286" display="https://link.springer.com/conference/sfm" xr:uid="{00000000-0004-0000-0100-00001D010000}"/>
    <hyperlink ref="G219" r:id="rId287" xr:uid="{00000000-0004-0000-0100-00001E010000}"/>
    <hyperlink ref="F220" r:id="rId288" display="https://link.springer.com/conference/ecmdafa" xr:uid="{00000000-0004-0000-0100-00001F010000}"/>
    <hyperlink ref="G220" r:id="rId289" xr:uid="{00000000-0004-0000-0100-000020010000}"/>
    <hyperlink ref="F221" r:id="rId290" display="https://link.springer.com/journal/10270" xr:uid="{00000000-0004-0000-0100-000021010000}"/>
    <hyperlink ref="F222" r:id="rId291" display="https://link.springer.com/conference/gttse" xr:uid="{00000000-0004-0000-0100-000022010000}"/>
    <hyperlink ref="F223" r:id="rId292" display="https://link.springer.com/conference/models" xr:uid="{00000000-0004-0000-0100-000023010000}"/>
    <hyperlink ref="G223" r:id="rId293" xr:uid="{00000000-0004-0000-0100-000024010000}"/>
    <hyperlink ref="F224" r:id="rId294" display="https://link.springer.com/journal/10270" xr:uid="{00000000-0004-0000-0100-000025010000}"/>
    <hyperlink ref="G224" r:id="rId295" xr:uid="{00000000-0004-0000-0100-000026010000}"/>
    <hyperlink ref="F225" r:id="rId296" display="https://link.springer.com/journal/10270" xr:uid="{00000000-0004-0000-0100-000027010000}"/>
    <hyperlink ref="G225" r:id="rId297" xr:uid="{00000000-0004-0000-0100-000028010000}"/>
    <hyperlink ref="F226" r:id="rId298" display="https://link.springer.com/conference/models" xr:uid="{00000000-0004-0000-0100-000029010000}"/>
    <hyperlink ref="G226" r:id="rId299" xr:uid="{00000000-0004-0000-0100-00002A010000}"/>
    <hyperlink ref="F227" r:id="rId300" display="https://link.springer.com/conference/mompes" xr:uid="{00000000-0004-0000-0100-00002B010000}"/>
    <hyperlink ref="G227" r:id="rId301" xr:uid="{00000000-0004-0000-0100-00002C010000}"/>
    <hyperlink ref="F228" r:id="rId302" display="https://link.springer.com/journal/10270" xr:uid="{00000000-0004-0000-0100-00002D010000}"/>
    <hyperlink ref="G228" r:id="rId303" xr:uid="{00000000-0004-0000-0100-00002E010000}"/>
    <hyperlink ref="F229" r:id="rId304" display="https://link.springer.com/conference/models" xr:uid="{00000000-0004-0000-0100-00002F010000}"/>
    <hyperlink ref="G229" r:id="rId305" xr:uid="{00000000-0004-0000-0100-000030010000}"/>
    <hyperlink ref="F230" r:id="rId306" display="https://link.springer.com/conference/fase" xr:uid="{00000000-0004-0000-0100-000031010000}"/>
    <hyperlink ref="G230" r:id="rId307" xr:uid="{00000000-0004-0000-0100-000032010000}"/>
    <hyperlink ref="G231" r:id="rId308" xr:uid="{00000000-0004-0000-0100-000033010000}"/>
    <hyperlink ref="F231" r:id="rId309" display="https://link.springer.com/journal/10270" xr:uid="{00000000-0004-0000-0100-000034010000}"/>
    <hyperlink ref="F232" r:id="rId310" display="https://link.springer.com/conference/models" xr:uid="{00000000-0004-0000-0100-000035010000}"/>
    <hyperlink ref="G232" r:id="rId311" xr:uid="{00000000-0004-0000-0100-000036010000}"/>
    <hyperlink ref="F233" r:id="rId312" display="https://link.springer.com/journal/10257" xr:uid="{00000000-0004-0000-0100-000037010000}"/>
    <hyperlink ref="G233" r:id="rId313" xr:uid="{00000000-0004-0000-0100-000038010000}"/>
    <hyperlink ref="F234" r:id="rId314" display="https://link.springer.com/conference/himi" xr:uid="{00000000-0004-0000-0100-000039010000}"/>
    <hyperlink ref="G234" r:id="rId315" xr:uid="{00000000-0004-0000-0100-00003A010000}"/>
    <hyperlink ref="F235" r:id="rId316" display="https://link.springer.com/conference/fase" xr:uid="{00000000-0004-0000-0100-00003B010000}"/>
    <hyperlink ref="G235" r:id="rId317" xr:uid="{00000000-0004-0000-0100-00003C010000}"/>
    <hyperlink ref="F236" r:id="rId318" display="https://link.springer.com/conference/ecmdafa" xr:uid="{00000000-0004-0000-0100-00003D010000}"/>
    <hyperlink ref="F237" r:id="rId319" display="https://link.springer.com/journal/10270" xr:uid="{00000000-0004-0000-0100-00003E010000}"/>
    <hyperlink ref="G237" r:id="rId320" xr:uid="{00000000-0004-0000-0100-00003F010000}"/>
    <hyperlink ref="F238" r:id="rId321" display="https://link.springer.com/conference/models" xr:uid="{00000000-0004-0000-0100-000040010000}"/>
    <hyperlink ref="F239" r:id="rId322" display="https://link.springer.com/conference/models" xr:uid="{00000000-0004-0000-0100-000041010000}"/>
    <hyperlink ref="F240" r:id="rId323" display="https://link.springer.com/conference/modelsward" xr:uid="{00000000-0004-0000-0100-000042010000}"/>
    <hyperlink ref="F241" r:id="rId324" display="https://link.springer.com/conference/icgt" xr:uid="{00000000-0004-0000-0100-000043010000}"/>
    <hyperlink ref="F242" r:id="rId325" display="https://link.springer.com/conference/sam" xr:uid="{00000000-0004-0000-0100-000044010000}"/>
    <hyperlink ref="F243" r:id="rId326" display="https://link.springer.com/conference/pro-ve" xr:uid="{00000000-0004-0000-0100-000045010000}"/>
    <hyperlink ref="F244" r:id="rId327" display="https://link.springer.com/journal/10270" xr:uid="{00000000-0004-0000-0100-000046010000}"/>
    <hyperlink ref="G244" r:id="rId328" xr:uid="{00000000-0004-0000-0100-000047010000}"/>
    <hyperlink ref="F245" r:id="rId329" display="https://link.springer.com/conference/ecmdafa" xr:uid="{00000000-0004-0000-0100-000048010000}"/>
    <hyperlink ref="F246" r:id="rId330" display="https://link.springer.com/conference/fase" xr:uid="{00000000-0004-0000-0100-000049010000}"/>
    <hyperlink ref="F247" r:id="rId331" display="https://link.springer.com/conference/egice" xr:uid="{00000000-0004-0000-0100-00004A010000}"/>
    <hyperlink ref="F248" r:id="rId332" display="https://link.springer.com/conference/fase" xr:uid="{00000000-0004-0000-0100-00004B010000}"/>
    <hyperlink ref="F249" r:id="rId333" display="https://link.springer.com/book/10.1007/978-1-84882-854-4" xr:uid="{00000000-0004-0000-0100-00004C010000}"/>
    <hyperlink ref="F250" r:id="rId334" display="https://link.springer.com/conference/sle" xr:uid="{00000000-0004-0000-0100-00004D010000}"/>
    <hyperlink ref="F251" r:id="rId335" display="https://link.springer.com/conference/ecmdafa" xr:uid="{00000000-0004-0000-0100-00004E010000}"/>
    <hyperlink ref="F252" r:id="rId336" display="https://link.springer.com/conference/fase" xr:uid="{00000000-0004-0000-0100-00004F010000}"/>
    <hyperlink ref="F253" r:id="rId337" display="https://link.springer.com/conference/models" xr:uid="{00000000-0004-0000-0100-000050010000}"/>
    <hyperlink ref="F254" r:id="rId338" display="https://link.springer.com/conference/otm" xr:uid="{00000000-0004-0000-0100-000051010000}"/>
    <hyperlink ref="F255" r:id="rId339" display="https://link.springer.com/conference/fase" xr:uid="{00000000-0004-0000-0100-000052010000}"/>
    <hyperlink ref="F256" r:id="rId340" display="https://link.springer.com/conference/ecmdafa" xr:uid="{00000000-0004-0000-0100-000053010000}"/>
    <hyperlink ref="F257" r:id="rId341" display="https://link.springer.com/conference/models" xr:uid="{00000000-0004-0000-0100-000054010000}"/>
    <hyperlink ref="F258" r:id="rId342" display="https://link.springer.com/conference/otm" xr:uid="{00000000-0004-0000-0100-000055010000}"/>
    <hyperlink ref="F259" r:id="rId343" display="https://link.springer.com/conference/fmoods" xr:uid="{00000000-0004-0000-0100-000056010000}"/>
    <hyperlink ref="F260" r:id="rId344" display="https://link.springer.com/conference/sam" xr:uid="{00000000-0004-0000-0100-000057010000}"/>
    <hyperlink ref="F261" r:id="rId345" display="https://link.springer.com/conference/dais" xr:uid="{00000000-0004-0000-0100-000058010000}"/>
    <hyperlink ref="F262" r:id="rId346" display="https://link.springer.com/conference/criwg" xr:uid="{00000000-0004-0000-0100-000059010000}"/>
    <hyperlink ref="F263" r:id="rId347" display="https://link.springer.com/book/10.1007/978-3-642-36654-3" xr:uid="{00000000-0004-0000-0100-00005A010000}"/>
    <hyperlink ref="F264" r:id="rId348" display="https://link.springer.com/conference/models" xr:uid="{00000000-0004-0000-0100-00005B010000}"/>
    <hyperlink ref="F265" r:id="rId349" display="https://link.springer.com/conference/icwe" xr:uid="{00000000-0004-0000-0100-00005C010000}"/>
    <hyperlink ref="F75" r:id="rId350" display="https://ieeexplore.ieee.org/xpl/conhome/5196904/proceeding" xr:uid="{00000000-0004-0000-0100-00005D010000}"/>
    <hyperlink ref="G75" r:id="rId351" display="https://doi.org/10.1109/ICGSE.2009.16" xr:uid="{00000000-0004-0000-0100-00005E010000}"/>
    <hyperlink ref="F69" r:id="rId352" display="https://ieeexplore.ieee.org/xpl/conhome/7763/proceeding" xr:uid="{00000000-0004-0000-0100-00005F010000}"/>
    <hyperlink ref="G69" r:id="rId353" display="https://doi.org/10.1109/ASE.2001.989829" xr:uid="{00000000-0004-0000-0100-000060010000}"/>
    <hyperlink ref="F76" r:id="rId354" display="https://ieeexplore.ieee.org/xpl/conhome/7939108/proceeding" xr:uid="{00000000-0004-0000-0100-000061010000}"/>
    <hyperlink ref="G76" r:id="rId355" display="https://doi.org/10.1109/PIC.2016.7949539" xr:uid="{00000000-0004-0000-0100-000062010000}"/>
    <hyperlink ref="F77" r:id="rId356" display="https://ieeexplore.ieee.org/xpl/conhome/6601074/proceeding" xr:uid="{00000000-0004-0000-0100-000063010000}"/>
    <hyperlink ref="G77" r:id="rId357" display="https://doi.org/10.1109/ASWEC.2013.32" xr:uid="{00000000-0004-0000-0100-000064010000}"/>
    <hyperlink ref="F139" r:id="rId358" tooltip="ESEC/FSE '11: Proceedings of the 19th ACM SIGSOFT symposium and the 13th European conference on Foundations of software engineering" display="https://dl.acm.org/doi/proceedings/10.1145/2025113" xr:uid="{00000000-0004-0000-0100-000065010000}"/>
    <hyperlink ref="G139" r:id="rId359" xr:uid="{00000000-0004-0000-0100-000066010000}"/>
    <hyperlink ref="F140" r:id="rId360" tooltip="BotSE '19: Proceedings of the 1st International Workshop on Bots in Software Engineering" display="https://dl.acm.org/doi/proceedings/10.5555/3338675" xr:uid="{00000000-0004-0000-0100-000067010000}"/>
    <hyperlink ref="G140" r:id="rId361" xr:uid="{00000000-0004-0000-0100-000068010000}"/>
    <hyperlink ref="F141" r:id="rId362" tooltip="SAC '09: Proceedings of the 2009 ACM symposium on Applied Computing" display="https://dl.acm.org/doi/proceedings/10.1145/1529282" xr:uid="{00000000-0004-0000-0100-000069010000}"/>
    <hyperlink ref="G141" r:id="rId363" xr:uid="{00000000-0004-0000-0100-00006A010000}"/>
    <hyperlink ref="F142" r:id="rId364" tooltip="ASE '19: Proceedings of the 34th IEEE/ACM International Conference on Automated Software Engineering" display="https://dl.acm.org/doi/proceedings/10.5555/3382508" xr:uid="{00000000-0004-0000-0100-00006B010000}"/>
    <hyperlink ref="G142" r:id="rId365" xr:uid="{00000000-0004-0000-0100-00006C010000}"/>
    <hyperlink ref="F143" r:id="rId366" tooltip="CSCW '16: Proceedings of the 19th ACM Conference on Computer-Supported Cooperative Work &amp;amp; Social Computing" display="https://dl.acm.org/doi/proceedings/10.1145/2818048" xr:uid="{00000000-0004-0000-0100-00006D010000}"/>
    <hyperlink ref="G143" r:id="rId367" xr:uid="{00000000-0004-0000-0100-00006E010000}"/>
    <hyperlink ref="F144" r:id="rId368" tooltip="DChanges '14: Proceedings of the 2nd International Workshop on (Document) Changes: modeling, detection, storage and visualization" display="https://dl.acm.org/doi/proceedings/10.1145/2723147" xr:uid="{00000000-0004-0000-0100-00006F010000}"/>
    <hyperlink ref="G144" r:id="rId369" xr:uid="{00000000-0004-0000-0100-000070010000}"/>
    <hyperlink ref="F145" r:id="rId370" tooltip="ICSE-C '17: Proceedings of the 39th International Conference on Software Engineering Companion" display="https://dl.acm.org/doi/proceedings/10.5555/3098344" xr:uid="{00000000-0004-0000-0100-000071010000}"/>
    <hyperlink ref="G145" r:id="rId371" xr:uid="{00000000-0004-0000-0100-000072010000}"/>
    <hyperlink ref="F195" r:id="rId372" tooltip="Go to Journal of Network and Computer Applications on ScienceDirect" display="https://www.sciencedirect.com/science/journal/10848045" xr:uid="{00000000-0004-0000-0100-000073010000}"/>
    <hyperlink ref="G195" r:id="rId373" tooltip="Persistent link using digital object identifier" xr:uid="{00000000-0004-0000-0100-000074010000}"/>
    <hyperlink ref="F196" r:id="rId374" tooltip="Go to Information and Software Technology on ScienceDirect" display="https://www.sciencedirect.com/science/journal/09505849" xr:uid="{00000000-0004-0000-0100-000075010000}"/>
    <hyperlink ref="G196" r:id="rId375" tooltip="Persistent link using digital object identifier" xr:uid="{00000000-0004-0000-0100-000076010000}"/>
    <hyperlink ref="F197" r:id="rId376" tooltip="Go to Procedia Computer Science on ScienceDirect" display="https://www.sciencedirect.com/science/journal/18770509" xr:uid="{00000000-0004-0000-0100-000077010000}"/>
    <hyperlink ref="G197" r:id="rId377" tooltip="Persistent link using digital object identifier" xr:uid="{00000000-0004-0000-0100-000078010000}"/>
    <hyperlink ref="F146" r:id="rId378" tooltip="ESEC/FSE 2017: Proceedings of the 2017 11th Joint Meeting on Foundations of Software Engineering" display="https://dl.acm.org/doi/proceedings/10.1145/3106237" xr:uid="{00000000-0004-0000-0100-000079010000}"/>
    <hyperlink ref="G146" r:id="rId379" xr:uid="{00000000-0004-0000-0100-00007A010000}"/>
    <hyperlink ref="F266" r:id="rId380" display="https://link.springer.com/journal/10270" xr:uid="{00000000-0004-0000-0100-00007B010000}"/>
    <hyperlink ref="G266" r:id="rId381" xr:uid="{00000000-0004-0000-0100-00007C010000}"/>
    <hyperlink ref="F267" r:id="rId382" display="https://link.springer.com/conference/modelsward" xr:uid="{00000000-0004-0000-0100-00007D010000}"/>
    <hyperlink ref="F268" r:id="rId383" display="https://link.springer.com/conference/icsr" xr:uid="{00000000-0004-0000-0100-00007E010000}"/>
    <hyperlink ref="F269" r:id="rId384" display="https://link.springer.com/journal/766" xr:uid="{00000000-0004-0000-0100-00007F010000}"/>
    <hyperlink ref="G269" r:id="rId385" xr:uid="{00000000-0004-0000-0100-000080010000}"/>
    <hyperlink ref="G270" r:id="rId386" xr:uid="{00000000-0004-0000-0100-000081010000}"/>
    <hyperlink ref="F270" r:id="rId387" display="https://link.springer.com/journal/10664" xr:uid="{00000000-0004-0000-0100-000082010000}"/>
    <hyperlink ref="F78" r:id="rId388" display="https://ieeexplore.ieee.org/xpl/conhome/6384336/proceeding" xr:uid="{00000000-0004-0000-0100-000083010000}"/>
    <hyperlink ref="G78" r:id="rId389" display="https://doi.org/10.1109/ICSM.2012.6405274" xr:uid="{00000000-0004-0000-0100-000084010000}"/>
    <hyperlink ref="G271" r:id="rId390" xr:uid="{00000000-0004-0000-0100-000085010000}"/>
    <hyperlink ref="F272" r:id="rId391" display="https://link.springer.com/conference/fase" xr:uid="{00000000-0004-0000-0100-000086010000}"/>
    <hyperlink ref="F273" r:id="rId392" display="https://link.springer.com/conference/models" xr:uid="{00000000-0004-0000-0100-000087010000}"/>
    <hyperlink ref="F79" r:id="rId393" display="https://ieeexplore.ieee.org/xpl/conhome/7307714/proceeding" xr:uid="{00000000-0004-0000-0100-000088010000}"/>
    <hyperlink ref="G79" r:id="rId394" xr:uid="{00000000-0004-0000-0100-000089010000}"/>
    <hyperlink ref="F147" r:id="rId395" tooltip="ICMSS 2020: Proceedings of the 2020 4th International Conference on Management Engineering, Software Engineering and Service Sciences" display="https://dl.acm.org/doi/proceedings/10.1145/3380625" xr:uid="{00000000-0004-0000-0100-00008A010000}"/>
    <hyperlink ref="G147" r:id="rId396" xr:uid="{00000000-0004-0000-0100-00008B010000}"/>
    <hyperlink ref="F274" r:id="rId397" display="https://link.springer.com/book/10.1007/978-1-84800-972-1" xr:uid="{00000000-0004-0000-0100-00008C010000}"/>
    <hyperlink ref="F80" r:id="rId398" display="https://ieeexplore.ieee.org/xpl/conhome/5339384/proceeding" xr:uid="{00000000-0004-0000-0100-00008D010000}"/>
    <hyperlink ref="G80" r:id="rId399" display="https://doi.org/10.1109/ICIEEM.2009.5344328" xr:uid="{00000000-0004-0000-0100-00008E010000}"/>
    <hyperlink ref="F81" r:id="rId400" display="https://ieeexplore.ieee.org/xpl/conhome/6599337/proceeding" xr:uid="{00000000-0004-0000-0100-00008F010000}"/>
    <hyperlink ref="G81" r:id="rId401" display="https://doi.org/10.1109/ICECCS.2013.32" xr:uid="{00000000-0004-0000-0100-000090010000}"/>
    <hyperlink ref="F82" r:id="rId402" display="https://ieeexplore.ieee.org/xpl/conhome/4273237/proceeding" xr:uid="{00000000-0004-0000-0100-000091010000}"/>
    <hyperlink ref="G82" r:id="rId403" display="https://doi.org/10.1109/MISE.2007.4" xr:uid="{00000000-0004-0000-0100-000092010000}"/>
    <hyperlink ref="F83" r:id="rId404" display="https://ieeexplore.ieee.org/xpl/RecentIssue.jsp?punumber=4124007" xr:uid="{00000000-0004-0000-0100-000093010000}"/>
    <hyperlink ref="G83" r:id="rId405" display="https://doi.org/10.1049/iet-sen.2018.5104" xr:uid="{00000000-0004-0000-0100-000094010000}"/>
    <hyperlink ref="F84" r:id="rId406" display="https://ieeexplore.ieee.org/xpl/conhome/6573246/proceeding" xr:uid="{00000000-0004-0000-0100-000095010000}"/>
    <hyperlink ref="G84" r:id="rId407" display="https://doi.org/10.1109/CSCWD.2013.6580932" xr:uid="{00000000-0004-0000-0100-000096010000}"/>
    <hyperlink ref="F85" r:id="rId408" display="https://ieeexplore.ieee.org/xpl/conhome/7008823/proceeding" xr:uid="{00000000-0004-0000-0100-000097010000}"/>
    <hyperlink ref="G85" r:id="rId409" xr:uid="{00000000-0004-0000-0100-000098010000}"/>
    <hyperlink ref="F86" r:id="rId410" display="https://ieeexplore.ieee.org/xpl/conhome/7929837/proceeding" xr:uid="{00000000-0004-0000-0100-000099010000}"/>
    <hyperlink ref="G86" r:id="rId411" display="https://doi.org/10.1109/ICSA.2017.45" xr:uid="{00000000-0004-0000-0100-00009A010000}"/>
    <hyperlink ref="F87" r:id="rId412" display="https://ieeexplore.ieee.org/xpl/conhome/8892449/proceeding" xr:uid="{00000000-0004-0000-0100-00009B010000}"/>
    <hyperlink ref="G87" r:id="rId413" display="https://doi.org/10.1109/MODELS-C.2019.00044" xr:uid="{00000000-0004-0000-0100-00009C010000}"/>
    <hyperlink ref="F88" r:id="rId414" display="https://ieeexplore.ieee.org/xpl/conhome/4207500/proceeding" xr:uid="{00000000-0004-0000-0100-00009D010000}"/>
    <hyperlink ref="G88" r:id="rId415" display="https://doi.org/10.1109/COLCOM.2006.361897" xr:uid="{00000000-0004-0000-0100-00009E010000}"/>
    <hyperlink ref="G89" r:id="rId416" display="https://doi.org/10.1109/WETICE.2009.48" xr:uid="{00000000-0004-0000-0100-00009F010000}"/>
    <hyperlink ref="F89" r:id="rId417" display="https://ieeexplore.ieee.org/xpl/conhome/5159182/proceeding" xr:uid="{00000000-0004-0000-0100-0000A0010000}"/>
    <hyperlink ref="F90" r:id="rId418" display="https://ieeexplore.ieee.org/xpl/conhome/6062563/proceeding" xr:uid="{00000000-0004-0000-0100-0000A1010000}"/>
    <hyperlink ref="G90" r:id="rId419" display="https://doi.org/10.1109/ICGSE.2011.18" xr:uid="{00000000-0004-0000-0100-0000A2010000}"/>
    <hyperlink ref="F91" r:id="rId420" display="https://ieeexplore.ieee.org/xpl/RecentIssue.jsp?punumber=52" xr:uid="{00000000-0004-0000-0100-0000A3010000}"/>
    <hyperlink ref="G91" r:id="rId421" display="https://doi.org/10.1109/MS.2018.290101728" xr:uid="{00000000-0004-0000-0100-0000A4010000}"/>
    <hyperlink ref="F148" r:id="rId422" tooltip="OOPSLA '10: Proceedings of the ACM international conference companion on Object oriented programming systems languages and applications companion" display="https://dl.acm.org/doi/proceedings/10.1145/1869542" xr:uid="{00000000-0004-0000-0100-0000A5010000}"/>
    <hyperlink ref="G148" r:id="rId423" xr:uid="{00000000-0004-0000-0100-0000A6010000}"/>
    <hyperlink ref="F149" r:id="rId424" tooltip="DChanges 2015: Proceedings of the 3rd International Workshop on (Document) Changes: modeling, detection, storage and visualization" display="https://dl.acm.org/doi/proceedings/10.1145/2881631" xr:uid="{00000000-0004-0000-0100-0000A7010000}"/>
    <hyperlink ref="G149" r:id="rId425" xr:uid="{00000000-0004-0000-0100-0000A8010000}"/>
    <hyperlink ref="F150" r:id="rId426" tooltip="MODELS'10: Proceedings of the 2010 international conference on Models in software engineering" display="https://dl.acm.org/doi/proceedings/10.5555/2008503" xr:uid="{00000000-0004-0000-0100-0000A9010000}"/>
    <hyperlink ref="G150" r:id="rId427" xr:uid="{00000000-0004-0000-0100-0000AA010000}"/>
    <hyperlink ref="F151" r:id="rId428" tooltip="VLDB '03: Proceedings of the 29th international conference on Very large data bases - Volume 29" display="https://dl.acm.org/doi/proceedings/10.5555/1315451" xr:uid="{00000000-0004-0000-0100-0000AB010000}"/>
    <hyperlink ref="G151" r:id="rId429" xr:uid="{00000000-0004-0000-0100-0000AC010000}"/>
    <hyperlink ref="F152" r:id="rId430" tooltip="SAC '08: Proceedings of the 2008 ACM symposium on Applied computing" display="https://dl.acm.org/doi/proceedings/10.1145/1363686" xr:uid="{00000000-0004-0000-0100-0000AD010000}"/>
    <hyperlink ref="G152" r:id="rId431" xr:uid="{00000000-0004-0000-0100-0000AE010000}"/>
    <hyperlink ref="F153" r:id="rId432" tooltip="SCSC '07: Proceedings of the 2007 Summer Computer Simulation Conference" display="https://dl.acm.org/doi/proceedings/10.5555/1357910" xr:uid="{00000000-0004-0000-0100-0000AF010000}"/>
    <hyperlink ref="G153" r:id="rId433" xr:uid="{00000000-0004-0000-0100-0000B0010000}"/>
    <hyperlink ref="F154" r:id="rId434" tooltip="APCCM '14: Proceedings of the Tenth Asia-Pacific Conference on Conceptual Modelling - Volume 154" display="https://dl.acm.org/doi/proceedings/10.5555/2667691" xr:uid="{00000000-0004-0000-0100-0000B1010000}"/>
    <hyperlink ref="G154" r:id="rId435" xr:uid="{00000000-0004-0000-0100-0000B2010000}"/>
    <hyperlink ref="F155" r:id="rId436" tooltip="HYPERTEXT '04: Proceedings of the fifteenth ACM conference on Hypertext and hypermedia" display="https://dl.acm.org/doi/proceedings/10.1145/1012807" xr:uid="{00000000-0004-0000-0100-0000B3010000}"/>
    <hyperlink ref="G155" r:id="rId437" xr:uid="{00000000-0004-0000-0100-0000B4010000}"/>
    <hyperlink ref="F156" r:id="rId438" tooltip="MODELS'10: Proceedings of the 13th international conference on Model driven engineering languages and systems: Part I" display="https://dl.acm.org/doi/proceedings/10.5555/1926458" xr:uid="{00000000-0004-0000-0100-0000B5010000}"/>
    <hyperlink ref="G156" r:id="rId439" xr:uid="{00000000-0004-0000-0100-0000B6010000}"/>
    <hyperlink ref="F157" r:id="rId440" tooltip="ACM Transactions on Graphics" display="https://dl.acm.org/journal/tog" xr:uid="{00000000-0004-0000-0100-0000B7010000}"/>
    <hyperlink ref="G157" r:id="rId441" xr:uid="{00000000-0004-0000-0100-0000B8010000}"/>
    <hyperlink ref="F158" r:id="rId442" tooltip="SAC '07: Proceedings of the 2007 ACM symposium on Applied computing" display="https://dl.acm.org/doi/proceedings/10.1145/1244002" xr:uid="{00000000-0004-0000-0100-0000B9010000}"/>
    <hyperlink ref="G158" r:id="rId443" xr:uid="{00000000-0004-0000-0100-0000BA010000}"/>
    <hyperlink ref="F159" r:id="rId444" tooltip="SAC '06: Proceedings of the 2006 ACM symposium on Applied computing" display="https://dl.acm.org/doi/proceedings/10.1145/1141277" xr:uid="{00000000-0004-0000-0100-0000BB010000}"/>
    <hyperlink ref="G159" r:id="rId445" xr:uid="{00000000-0004-0000-0100-0000BC010000}"/>
    <hyperlink ref="F160" r:id="rId446" tooltip="OOPSLA '10: Proceedings of the ACM international conference companion on Object oriented programming systems languages and applications companion" display="https://dl.acm.org/doi/proceedings/10.1145/1869542" xr:uid="{00000000-0004-0000-0100-0000BD010000}"/>
    <hyperlink ref="G160" r:id="rId447" xr:uid="{00000000-0004-0000-0100-0000BE010000}"/>
    <hyperlink ref="F161" r:id="rId448" tooltip="Proceedings of the ACM on Programming Languages" display="https://dl.acm.org/journal/pacmpl" xr:uid="{00000000-0004-0000-0100-0000BF010000}"/>
    <hyperlink ref="G161" r:id="rId449" xr:uid="{00000000-0004-0000-0100-0000C0010000}"/>
    <hyperlink ref="F162" r:id="rId450" tooltip="CSCW '12: Proceedings of the ACM 2012 conference on Computer Supported Cooperative Work" display="https://dl.acm.org/doi/proceedings/10.1145/2145204" xr:uid="{00000000-0004-0000-0100-0000C1010000}"/>
    <hyperlink ref="G162" r:id="rId451" xr:uid="{00000000-0004-0000-0100-0000C2010000}"/>
    <hyperlink ref="F92" r:id="rId452" display="https://ieeexplore.ieee.org/xpl/conhome/4755313/proceeding" xr:uid="{00000000-0004-0000-0100-0000C3010000}"/>
    <hyperlink ref="G92" r:id="rId453" display="https://doi.org/10.1109/HICSS.2009.23" xr:uid="{00000000-0004-0000-0100-0000C4010000}"/>
    <hyperlink ref="F93" r:id="rId454" display="https://ieeexplore.ieee.org/xpl/conhome/7174815/proceeding" xr:uid="{00000000-0004-0000-0100-0000C5010000}"/>
    <hyperlink ref="G93" r:id="rId455" display="https://doi.org/10.1109/ICSE.2015.223" xr:uid="{00000000-0004-0000-0100-0000C6010000}"/>
    <hyperlink ref="F94" r:id="rId456" display="https://ieeexplore.ieee.org/xpl/conhome/6642227/proceeding" xr:uid="{00000000-0004-0000-0100-0000C7010000}"/>
    <hyperlink ref="G94" r:id="rId457" display="https://doi.org/10.1109/CBI.2013.62" xr:uid="{00000000-0004-0000-0100-0000C8010000}"/>
    <hyperlink ref="F275" r:id="rId458" display="https://link.springer.com/conference/ecmdafa" xr:uid="{00000000-0004-0000-0100-0000C9010000}"/>
    <hyperlink ref="F276" r:id="rId459" display="https://link.springer.com/book/10.1007/978-3-642-36926-1" xr:uid="{00000000-0004-0000-0100-0000CA010000}"/>
    <hyperlink ref="F163" r:id="rId460" tooltip="SIGDOC '13: Proceedings of the 31st ACM international conference on Design of communication" display="https://dl.acm.org/doi/proceedings/10.1145/2507065" xr:uid="{00000000-0004-0000-0100-0000CB010000}"/>
    <hyperlink ref="G163" r:id="rId461" xr:uid="{00000000-0004-0000-0100-0000CC010000}"/>
    <hyperlink ref="F95" r:id="rId462" display="https://ieeexplore.ieee.org/xpl/conhome/4031725/proceeding" xr:uid="{00000000-0004-0000-0100-0000CD010000}"/>
    <hyperlink ref="G95" r:id="rId463" display="https://doi.org/10.1109/ICGSE.2006.261227" xr:uid="{00000000-0004-0000-0100-0000CE010000}"/>
    <hyperlink ref="G277" r:id="rId464" xr:uid="{00000000-0004-0000-0100-0000CF010000}"/>
    <hyperlink ref="F277" r:id="rId465" display="https://link.springer.com/journal/12204" xr:uid="{00000000-0004-0000-0100-0000D0010000}"/>
    <hyperlink ref="F96" r:id="rId466" display="https://ieeexplore.ieee.org/xpl/conhome/4755313/proceeding" xr:uid="{00000000-0004-0000-0100-0000D1010000}"/>
    <hyperlink ref="G96" r:id="rId467" display="https://doi.org/10.1109/HICSS.2009.112" xr:uid="{00000000-0004-0000-0100-0000D2010000}"/>
    <hyperlink ref="G278" r:id="rId468" xr:uid="{00000000-0004-0000-0100-0000D3010000}"/>
    <hyperlink ref="F278" r:id="rId469" display="https://link.springer.com/journal/11412" xr:uid="{00000000-0004-0000-0100-0000D4010000}"/>
    <hyperlink ref="F198" r:id="rId470" tooltip="Go to Journal of Network and Computer Applications on ScienceDirect" display="https://www.sciencedirect.com/science/journal/10848045" xr:uid="{00000000-0004-0000-0100-0000D5010000}"/>
    <hyperlink ref="G198" r:id="rId471" tooltip="Persistent link using digital object identifier" xr:uid="{00000000-0004-0000-0100-0000D6010000}"/>
    <hyperlink ref="F199" r:id="rId472" tooltip="Go to Science of Computer Programming on ScienceDirect" display="https://www.sciencedirect.com/science/journal/01676423" xr:uid="{00000000-0004-0000-0100-0000D7010000}"/>
    <hyperlink ref="F200" r:id="rId473" tooltip="Go to Advanced Engineering Informatics on ScienceDirect" display="https://www.sciencedirect.com/science/journal/14740346" xr:uid="{00000000-0004-0000-0100-0000D8010000}"/>
    <hyperlink ref="G200" r:id="rId474" tooltip="Persistent link using digital object identifier" xr:uid="{00000000-0004-0000-0100-0000D9010000}"/>
    <hyperlink ref="G199" r:id="rId475" tooltip="Persistent link using digital object identifier" xr:uid="{00000000-0004-0000-0100-0000DA010000}"/>
    <hyperlink ref="F201" r:id="rId476" tooltip="Go to Computers in Industry on ScienceDirect" display="https://www.sciencedirect.com/science/journal/01663615" xr:uid="{00000000-0004-0000-0100-0000DB010000}"/>
    <hyperlink ref="G201" r:id="rId477" tooltip="Persistent link using digital object identifier" xr:uid="{00000000-0004-0000-0100-0000DC010000}"/>
    <hyperlink ref="F203" r:id="rId478" tooltip="Go to Journal of Systems and Software on ScienceDirect" display="https://www.sciencedirect.com/science/journal/01641212" xr:uid="{00000000-0004-0000-0100-0000DD010000}"/>
    <hyperlink ref="G203" r:id="rId479" tooltip="Persistent link using digital object identifier" xr:uid="{00000000-0004-0000-0100-0000DE010000}"/>
    <hyperlink ref="F279" r:id="rId480" display="https://link.springer.com/conference/criwg" xr:uid="{00000000-0004-0000-0100-0000DF010000}"/>
    <hyperlink ref="F280" r:id="rId481" display="https://link.springer.com/conference/fase" xr:uid="{00000000-0004-0000-0100-0000E0010000}"/>
    <hyperlink ref="F281" r:id="rId482" display="https://link.springer.com/book/10.1007/978-1-84882-206-1" xr:uid="{00000000-0004-0000-0100-0000E1010000}"/>
    <hyperlink ref="F282" r:id="rId483" display="https://link.springer.com/conference/bpm" xr:uid="{00000000-0004-0000-0100-0000E2010000}"/>
    <hyperlink ref="F283" r:id="rId484" display="https://link.springer.com/conference/er" xr:uid="{00000000-0004-0000-0100-0000E3010000}"/>
    <hyperlink ref="G284" r:id="rId485" xr:uid="{00000000-0004-0000-0100-0000E4010000}"/>
    <hyperlink ref="F284" r:id="rId486" display="https://link.springer.com/conference/staf" xr:uid="{00000000-0004-0000-0100-0000E5010000}"/>
    <hyperlink ref="G164" r:id="rId487" xr:uid="{30B17094-F753-41D3-9E92-E180EB263903}"/>
    <hyperlink ref="G165" r:id="rId488" xr:uid="{8B9767C8-1F12-4E38-8AC2-C09FFA5FF7BD}"/>
    <hyperlink ref="G285" r:id="rId489" xr:uid="{8C090E1F-5485-4FBB-8757-173F57275ABB}"/>
    <hyperlink ref="G290" r:id="rId490" xr:uid="{AC6FACE6-733D-4BED-9456-E7385E58982E}"/>
    <hyperlink ref="G291" r:id="rId491" xr:uid="{8DE6A2A2-732A-457D-A97E-FDF42467AC34}"/>
    <hyperlink ref="G292" r:id="rId492" xr:uid="{1AD025F8-BDA7-48DC-9B31-81FA40AB22F1}"/>
    <hyperlink ref="G204" r:id="rId493" xr:uid="{CB50AED7-98A5-487D-8F92-88FBBFAF7504}"/>
    <hyperlink ref="G293" r:id="rId494" xr:uid="{F97C79F4-C8D6-4C37-96FE-08DB1F058540}"/>
    <hyperlink ref="G294" r:id="rId495" xr:uid="{EECB1541-D364-4D84-ABBD-6B4CE9B7CD89}"/>
    <hyperlink ref="G166" r:id="rId496" xr:uid="{07E9CDC8-E4AE-43D3-B4D5-59B4C37E799C}"/>
    <hyperlink ref="F296" r:id="rId497" xr:uid="{2805DF23-EA2F-4CA3-A438-42AAC917C24C}"/>
    <hyperlink ref="G296" r:id="rId498" xr:uid="{202FCCDC-CBF3-4549-9323-B038296A1E57}"/>
    <hyperlink ref="G297" r:id="rId499" xr:uid="{3C42BE20-B614-4834-886D-D30306891B8D}"/>
    <hyperlink ref="G299" r:id="rId500" xr:uid="{5280564E-34DD-47AE-B5BA-179102826C36}"/>
    <hyperlink ref="G168" r:id="rId501" xr:uid="{90999C64-848C-410A-BD9A-FB7DC3BE685B}"/>
    <hyperlink ref="G300" r:id="rId502" xr:uid="{8F41276A-2103-4E8A-94A1-2E35C62E7CE7}"/>
    <hyperlink ref="G301" r:id="rId503" xr:uid="{ACC4B654-98BA-4805-949D-951BA46211B9}"/>
    <hyperlink ref="G289" r:id="rId504" xr:uid="{4119E4CE-2BDE-4499-AB1A-A1124706A8BB}"/>
    <hyperlink ref="G167" r:id="rId505" xr:uid="{1FD0F7BC-ABB1-4C65-AA08-18A06D6583C4}"/>
    <hyperlink ref="G303" r:id="rId506" xr:uid="{0DBCF22B-E900-4A96-BCF8-B9BD556BBF41}"/>
    <hyperlink ref="G286" r:id="rId507" xr:uid="{6F63B6FC-65E1-4782-8BA3-64711169EA06}"/>
    <hyperlink ref="G305" r:id="rId508" xr:uid="{81A6740C-DEA6-496F-95DE-1E4CE28EAA4E}"/>
    <hyperlink ref="G202" r:id="rId509" xr:uid="{10AF7450-6709-49AB-AB98-6F5DD221C2FF}"/>
    <hyperlink ref="G287" r:id="rId510" xr:uid="{E128352A-550A-4525-9889-D3C390B3BF37}"/>
    <hyperlink ref="G288" r:id="rId511" xr:uid="{929FE443-53CE-4828-9068-919B69941455}"/>
    <hyperlink ref="G306" r:id="rId512" xr:uid="{06205B02-4E51-41B4-A68D-F25EA89F6F43}"/>
    <hyperlink ref="G312" r:id="rId513" xr:uid="{19EE2B4D-07EC-4B07-B67C-5151741F44BE}"/>
    <hyperlink ref="G307" r:id="rId514" xr:uid="{ABC3FD46-2610-40F3-9903-10EEA7567405}"/>
    <hyperlink ref="G311" r:id="rId515" xr:uid="{6316547B-594A-4D4A-82CE-632288C7555D}"/>
    <hyperlink ref="G308" r:id="rId516" xr:uid="{D5FE26DC-8E76-4347-B2E9-834C88A60CAC}"/>
    <hyperlink ref="G309" r:id="rId517" xr:uid="{73E76356-CC05-4BCD-8E35-488C3DF98333}"/>
    <hyperlink ref="G310" r:id="rId518" xr:uid="{CE528F07-AC95-4228-B897-6A0E0184097F}"/>
    <hyperlink ref="G313" r:id="rId519" xr:uid="{6659DEDE-D4D7-4A95-8B69-629F03BC11F6}"/>
    <hyperlink ref="G280" r:id="rId520" xr:uid="{9120481C-0C7B-40B5-B897-177E07332616}"/>
    <hyperlink ref="G251" r:id="rId521" xr:uid="{9DE4AB1B-7C7B-4BD2-B095-B41982FC33BA}"/>
    <hyperlink ref="G170" r:id="rId522" xr:uid="{2F6E2475-4E80-46A4-9093-08B14C038836}"/>
    <hyperlink ref="G283" r:id="rId523" xr:uid="{C81B548C-7822-414E-8AC4-F414A47AB05E}"/>
    <hyperlink ref="G221" r:id="rId524" xr:uid="{8505EF31-E73F-4732-8016-74A098C1DF5F}"/>
    <hyperlink ref="G241" r:id="rId525" xr:uid="{79AEE9CB-D7A1-4F91-A822-0AF37DAA81AE}"/>
    <hyperlink ref="G256" r:id="rId526" xr:uid="{403A5D3C-D09C-4C66-A382-9C1A82B562C5}"/>
    <hyperlink ref="G314" r:id="rId527" xr:uid="{EF6142F7-DAF2-47B4-9B48-3E2FE6F19590}"/>
    <hyperlink ref="G315" r:id="rId528" xr:uid="{9B845C15-8902-4089-8995-47314A288D6E}"/>
    <hyperlink ref="F318" r:id="rId529" tooltip="SLE 2015: Proceedings of the 2015 ACM SIGPLAN International Conference on Software Language Engineering" display="https://dl.acm.org/doi/proceedings/10.1145/2814251" xr:uid="{592EB9F8-01B9-45CE-8799-2E963A344B9D}"/>
    <hyperlink ref="G318" r:id="rId530" xr:uid="{087EF218-C2CA-4513-8977-6A597303AAF7}"/>
    <hyperlink ref="G319" r:id="rId531" xr:uid="{F9B012FE-04E8-4AEC-8E42-1D73AAAA49A5}"/>
    <hyperlink ref="G320" r:id="rId532" xr:uid="{925AA12C-B6DE-41F3-97C1-498E335EB719}"/>
    <hyperlink ref="G321" r:id="rId533" xr:uid="{26C39CEB-385E-4C48-A34A-4CB1834B44AD}"/>
    <hyperlink ref="G322" r:id="rId534" xr:uid="{D7CF2690-3459-4BE5-B18F-640D8F938043}"/>
    <hyperlink ref="F323" r:id="rId535" tooltip="Go to Science of Computer Programming on ScienceDirect" display="https://www.sciencedirect.com/science/journal/01676423" xr:uid="{887A831A-986F-4981-BC80-B5380AFE538B}"/>
    <hyperlink ref="G323" r:id="rId536" xr:uid="{52A36560-F63E-45D5-9B86-C29D246D29C6}"/>
    <hyperlink ref="G324" r:id="rId537" xr:uid="{6B89A5D5-CFE4-453E-A174-0C10DEE99046}"/>
    <hyperlink ref="G325" r:id="rId538" xr:uid="{896FC646-4809-4367-B5F3-ECE2BB92436B}"/>
    <hyperlink ref="G326" r:id="rId539" xr:uid="{09368E36-ECBA-4145-8DF1-3673D94D9FBA}"/>
    <hyperlink ref="G327" r:id="rId540" xr:uid="{C39444A7-227B-4D0E-9E58-0867BD49328C}"/>
    <hyperlink ref="G328" r:id="rId541" xr:uid="{1959CF18-FD2F-4540-A6BE-C9DDD92CE893}"/>
    <hyperlink ref="G329" r:id="rId542" xr:uid="{17FCFEFF-64DB-4A72-95E1-F7D32559E625}"/>
    <hyperlink ref="G331" r:id="rId543" xr:uid="{AD0DA3DA-52F4-439E-A276-846FB031B717}"/>
    <hyperlink ref="G332" r:id="rId544" xr:uid="{0C596698-3343-4959-A627-038E27B9958F}"/>
    <hyperlink ref="G333" r:id="rId545" xr:uid="{0A54564E-3AEE-4411-8EB4-50CDD33153FC}"/>
    <hyperlink ref="G316" r:id="rId546" xr:uid="{F9E59326-1306-4D75-B15A-CE25A43C60AC}"/>
    <hyperlink ref="G335" r:id="rId547" xr:uid="{700078D7-1CD2-453C-98FC-B68DA17CB217}"/>
    <hyperlink ref="G334" r:id="rId548" xr:uid="{3C9F450A-C2EF-4C00-B97D-2A221D6EF3E0}"/>
    <hyperlink ref="G336" r:id="rId549" xr:uid="{B3F4E0A9-C94D-47F8-AB11-347249FEE462}"/>
    <hyperlink ref="G337" r:id="rId550" xr:uid="{CBE5E2B8-5ED3-4A56-939D-77F65C160708}"/>
    <hyperlink ref="G338" r:id="rId551" xr:uid="{C574EDC7-41CD-454F-8ED1-86F40A5A2FDF}"/>
    <hyperlink ref="G339" r:id="rId552" xr:uid="{3E5163B1-DD8F-457D-80DD-AB9D296278DB}"/>
    <hyperlink ref="G340" r:id="rId553" xr:uid="{4B876ACF-9AC1-4F42-BBD6-624F9598E121}"/>
    <hyperlink ref="G341" r:id="rId554" xr:uid="{CB6958C1-4E3B-4588-96C2-D2970B4F214B}"/>
    <hyperlink ref="G342" r:id="rId555" xr:uid="{C5F4AA19-17C0-4B36-ADA8-49E7A982BE93}"/>
    <hyperlink ref="G343" r:id="rId556" xr:uid="{49D5E8D7-38B5-465F-B405-EF54461AE5EB}"/>
    <hyperlink ref="G344" r:id="rId557" xr:uid="{6C3A6C20-8539-4750-92D6-FE9DED0C9912}"/>
    <hyperlink ref="G345" r:id="rId558" xr:uid="{380B0242-69F0-4385-B9D5-F03772CB6631}"/>
    <hyperlink ref="G346" r:id="rId559" xr:uid="{DEDD81E1-ACCA-403D-AE0C-02F0B4DA210F}"/>
    <hyperlink ref="G347" r:id="rId560" xr:uid="{46B14BC8-4064-49EF-8727-A31876049B20}"/>
    <hyperlink ref="G348" r:id="rId561" xr:uid="{C88D06CE-4447-4ECC-A70B-C090F459A125}"/>
    <hyperlink ref="G349" r:id="rId562" xr:uid="{A31B2F5C-0B39-4780-8D95-2250B03ECAEE}"/>
    <hyperlink ref="G350" r:id="rId563" xr:uid="{E3CCBA1A-6CD7-4FAE-82EB-FA76D2D406F5}"/>
    <hyperlink ref="G351" r:id="rId564" xr:uid="{91A354BA-A13B-4D6E-A92B-BDFF94BB3717}"/>
    <hyperlink ref="G352" r:id="rId565" xr:uid="{E9F2649E-AF3E-42DE-A9A3-23C219A31035}"/>
    <hyperlink ref="G353" r:id="rId566" xr:uid="{EB17A1C2-894B-4864-BAD1-24526899BE11}"/>
    <hyperlink ref="G354" r:id="rId567" xr:uid="{7555DF14-9BED-41DC-98A2-2B95FDF6EFE7}"/>
    <hyperlink ref="G355" r:id="rId568" xr:uid="{E240A2AE-F1F4-48B1-BFFF-5E4E3E544433}"/>
    <hyperlink ref="G356" r:id="rId569" xr:uid="{8B2D80EF-69FE-4775-A76D-0FBBE3913231}"/>
    <hyperlink ref="G357" r:id="rId570" xr:uid="{2E1CC431-C8BA-4E44-A49E-30B366890980}"/>
    <hyperlink ref="G358" r:id="rId571" xr:uid="{AB7DC3A1-2A14-4266-8CB8-5B69426E45A4}"/>
    <hyperlink ref="G359" r:id="rId572" xr:uid="{692D1F58-ED33-4F28-A9D0-E320DF336A17}"/>
    <hyperlink ref="G360" r:id="rId573" xr:uid="{B93DC32E-C17E-4932-A049-02BA40A34DC5}"/>
    <hyperlink ref="G361" r:id="rId574" xr:uid="{7C8835AE-CBA6-4945-AEE1-147034EC07F4}"/>
    <hyperlink ref="G362" r:id="rId575" xr:uid="{5F311F56-3D3C-4BED-86BF-2E36BBB31E42}"/>
    <hyperlink ref="G363" r:id="rId576" xr:uid="{F25495D5-E0DD-4DE4-AC96-77FD587E0F6A}"/>
    <hyperlink ref="G365" r:id="rId577" xr:uid="{877B4739-1ABD-4632-8158-A5CE1E2FC603}"/>
    <hyperlink ref="G366" r:id="rId578" xr:uid="{95CD6E7B-A924-4018-9DB2-AB5576916B31}"/>
    <hyperlink ref="G367" r:id="rId579" xr:uid="{606DF330-845A-48E6-8A01-A6F192359B68}"/>
    <hyperlink ref="G368" r:id="rId580" xr:uid="{DCB2DB57-5E73-4467-86F2-17DD79C9512A}"/>
    <hyperlink ref="G369" r:id="rId581" xr:uid="{4910DA4B-4087-427D-8AAD-A0D9FACE09F1}"/>
    <hyperlink ref="G370" r:id="rId582" xr:uid="{D6F6ED74-68A4-45AD-9043-B4550461D0D4}"/>
    <hyperlink ref="G371" r:id="rId583" xr:uid="{18D4C174-9AD2-4278-9ED3-E6F21A873777}"/>
    <hyperlink ref="G372" r:id="rId584" xr:uid="{12898BEC-570C-40AF-9C77-B6C7CCA6382B}"/>
    <hyperlink ref="G373" r:id="rId585" xr:uid="{1E569E99-814F-49F8-BF99-6DA4DAE4385E}"/>
  </hyperlinks>
  <pageMargins left="0.7" right="0.7" top="0.75" bottom="0.75" header="0.3" footer="0.3"/>
  <pageSetup orientation="portrait" r:id="rId58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8A1CB-6CBF-44DB-BED4-0C5E4DB365F4}">
  <dimension ref="A1:E5"/>
  <sheetViews>
    <sheetView zoomScale="130" zoomScaleNormal="130" workbookViewId="0">
      <selection activeCell="K17" sqref="K17"/>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2542</v>
      </c>
      <c r="B2" s="167" t="s">
        <v>2670</v>
      </c>
      <c r="C2" s="176" t="s">
        <v>2666</v>
      </c>
    </row>
    <row r="3" spans="1:5" x14ac:dyDescent="0.25">
      <c r="A3" s="173" t="s">
        <v>3677</v>
      </c>
      <c r="B3" s="199">
        <f>COUNTIF('Approach Classification'!K3:K72,"Yes")-B5</f>
        <v>38</v>
      </c>
      <c r="C3" s="212">
        <f>B3/$E$1</f>
        <v>0.55072463768115942</v>
      </c>
    </row>
    <row r="4" spans="1:5" s="312" customFormat="1" x14ac:dyDescent="0.25">
      <c r="A4" s="173" t="s">
        <v>2623</v>
      </c>
      <c r="B4" s="312">
        <f>COUNTIF('Approach Classification'!M3:M72,"Yes")-B5</f>
        <v>5</v>
      </c>
      <c r="C4" s="212">
        <f>B4/$E$1</f>
        <v>7.2463768115942032E-2</v>
      </c>
    </row>
    <row r="5" spans="1:5" x14ac:dyDescent="0.25">
      <c r="A5" s="173" t="s">
        <v>1687</v>
      </c>
      <c r="B5" s="199">
        <f>COUNTIFS('Approach Classification'!K3:K72,"Yes",'Approach Classification'!M3:M72,"Yes")</f>
        <v>26</v>
      </c>
      <c r="C5" s="212">
        <f>B5/$E$1</f>
        <v>0.37681159420289856</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F15A-3FEB-46EA-8033-920A29815305}">
  <dimension ref="A1:E5"/>
  <sheetViews>
    <sheetView zoomScale="120" zoomScaleNormal="120" workbookViewId="0">
      <selection activeCell="M17" sqref="M17"/>
    </sheetView>
  </sheetViews>
  <sheetFormatPr defaultRowHeight="15" x14ac:dyDescent="0.25"/>
  <cols>
    <col min="1" max="1" width="33" style="166" customWidth="1"/>
    <col min="2" max="2" width="9.28515625" style="314" customWidth="1"/>
    <col min="3" max="3" width="7.7109375" style="174" customWidth="1"/>
    <col min="4" max="4" width="10.42578125" style="314" customWidth="1"/>
    <col min="5" max="13" width="9.140625" style="314"/>
    <col min="14" max="14" width="8.7109375" style="314" customWidth="1"/>
    <col min="15" max="16384" width="9.140625" style="314"/>
  </cols>
  <sheetData>
    <row r="1" spans="1:5" x14ac:dyDescent="0.25">
      <c r="D1" s="314" t="s">
        <v>2822</v>
      </c>
      <c r="E1" s="314">
        <v>69</v>
      </c>
    </row>
    <row r="2" spans="1:5" x14ac:dyDescent="0.25">
      <c r="A2" s="167" t="s">
        <v>2542</v>
      </c>
      <c r="B2" s="167" t="s">
        <v>2670</v>
      </c>
      <c r="C2" s="176" t="s">
        <v>2666</v>
      </c>
    </row>
    <row r="3" spans="1:5" x14ac:dyDescent="0.25">
      <c r="A3" s="173" t="s">
        <v>3796</v>
      </c>
      <c r="B3" s="314">
        <f>COUNTIF('Approach Classification'!N3:N72,"Yes")</f>
        <v>25</v>
      </c>
      <c r="C3" s="212">
        <f>B3/$E$1</f>
        <v>0.36231884057971014</v>
      </c>
    </row>
    <row r="4" spans="1:5" x14ac:dyDescent="0.25">
      <c r="A4" s="173" t="s">
        <v>3797</v>
      </c>
      <c r="B4" s="314">
        <f>COUNTIF('Approach Classification'!O3:O72,"Yes")</f>
        <v>4</v>
      </c>
      <c r="C4" s="212">
        <f>B4/$E$1</f>
        <v>5.7971014492753624E-2</v>
      </c>
    </row>
    <row r="5" spans="1:5" x14ac:dyDescent="0.25">
      <c r="A5" s="173" t="s">
        <v>2545</v>
      </c>
      <c r="B5" s="314">
        <f>COUNTIF('Approach Classification'!P3:P72,"Yes")</f>
        <v>10</v>
      </c>
      <c r="C5" s="212">
        <f>B5/$E$1</f>
        <v>0.14492753623188406</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9D0E8-CE1D-4705-A27B-379FB9DA090B}">
  <dimension ref="A1:E36"/>
  <sheetViews>
    <sheetView topLeftCell="B1" zoomScale="120" zoomScaleNormal="120" workbookViewId="0">
      <selection activeCell="R17" sqref="R17"/>
    </sheetView>
  </sheetViews>
  <sheetFormatPr defaultRowHeight="15" x14ac:dyDescent="0.25"/>
  <cols>
    <col min="1" max="1" width="33" style="166" customWidth="1"/>
    <col min="2" max="2" width="9.28515625" style="244" customWidth="1"/>
    <col min="3" max="3" width="7.7109375" style="174" customWidth="1"/>
    <col min="4" max="4" width="10.42578125" style="244" customWidth="1"/>
    <col min="5" max="13" width="9.140625" style="244"/>
    <col min="14" max="14" width="8.7109375" style="244" customWidth="1"/>
    <col min="15" max="16384" width="9.140625" style="244"/>
  </cols>
  <sheetData>
    <row r="1" spans="1:5" x14ac:dyDescent="0.25">
      <c r="D1" s="244" t="s">
        <v>2822</v>
      </c>
      <c r="E1" s="244">
        <v>69</v>
      </c>
    </row>
    <row r="2" spans="1:5" x14ac:dyDescent="0.25">
      <c r="A2" s="167" t="s">
        <v>2537</v>
      </c>
      <c r="B2" s="167" t="s">
        <v>2670</v>
      </c>
      <c r="C2" s="256" t="s">
        <v>2666</v>
      </c>
    </row>
    <row r="3" spans="1:5" x14ac:dyDescent="0.25">
      <c r="A3" s="168" t="s">
        <v>1644</v>
      </c>
      <c r="B3" s="244">
        <f>COUNTIF('Approach Classification'!D3:D72,"Yes")</f>
        <v>15</v>
      </c>
      <c r="C3" s="212">
        <f>B3/E1</f>
        <v>0.21739130434782608</v>
      </c>
    </row>
    <row r="4" spans="1:5" x14ac:dyDescent="0.25">
      <c r="A4" s="169" t="s">
        <v>3101</v>
      </c>
      <c r="B4" s="244">
        <f>COUNTIF('Approach Classification'!E3:E72,"Yes")</f>
        <v>28</v>
      </c>
      <c r="C4" s="212">
        <f>B4/E1</f>
        <v>0.40579710144927539</v>
      </c>
    </row>
    <row r="5" spans="1:5" x14ac:dyDescent="0.25">
      <c r="A5" s="170" t="s">
        <v>1883</v>
      </c>
      <c r="B5" s="244">
        <f>COUNTIF('Approach Classification'!F3:F72,"Yes")</f>
        <v>20</v>
      </c>
      <c r="C5" s="212">
        <f>B5/E1</f>
        <v>0.28985507246376813</v>
      </c>
    </row>
    <row r="6" spans="1:5" x14ac:dyDescent="0.25">
      <c r="A6" s="171" t="s">
        <v>2625</v>
      </c>
      <c r="B6" s="244">
        <f>COUNTIF('Approach Classification'!G3:G72,"Yes")</f>
        <v>5</v>
      </c>
      <c r="C6" s="212">
        <f>B6/E1</f>
        <v>7.2463768115942032E-2</v>
      </c>
    </row>
    <row r="7" spans="1:5" x14ac:dyDescent="0.25">
      <c r="A7" s="172" t="s">
        <v>1647</v>
      </c>
      <c r="B7" s="244">
        <f>COUNTIF('Approach Classification'!H3:H72,"Yes")</f>
        <v>13</v>
      </c>
      <c r="C7" s="212">
        <f>B7/E1</f>
        <v>0.18840579710144928</v>
      </c>
    </row>
    <row r="8" spans="1:5" x14ac:dyDescent="0.25">
      <c r="A8" s="173"/>
      <c r="C8" s="212"/>
    </row>
    <row r="9" spans="1:5" x14ac:dyDescent="0.25">
      <c r="A9" s="167" t="s">
        <v>1999</v>
      </c>
      <c r="B9" s="167" t="s">
        <v>2670</v>
      </c>
      <c r="C9" s="256" t="s">
        <v>2666</v>
      </c>
    </row>
    <row r="10" spans="1:5" x14ac:dyDescent="0.25">
      <c r="A10" s="170" t="s">
        <v>1915</v>
      </c>
      <c r="B10" s="244">
        <f>COUNTIF('Approach Classification'!X3:X72,"Yes")</f>
        <v>60</v>
      </c>
      <c r="C10" s="212">
        <f>B10/E1</f>
        <v>0.86956521739130432</v>
      </c>
    </row>
    <row r="11" spans="1:5" x14ac:dyDescent="0.25">
      <c r="A11" s="168" t="s">
        <v>1710</v>
      </c>
      <c r="B11" s="244">
        <f>COUNTIF('Approach Classification'!Y3:Y72,"Yes")</f>
        <v>9</v>
      </c>
      <c r="C11" s="212">
        <f>B11/E1</f>
        <v>0.13043478260869565</v>
      </c>
    </row>
    <row r="12" spans="1:5" x14ac:dyDescent="0.25">
      <c r="A12" s="173"/>
      <c r="C12" s="212"/>
    </row>
    <row r="13" spans="1:5" x14ac:dyDescent="0.25">
      <c r="A13" s="167" t="s">
        <v>2548</v>
      </c>
      <c r="B13" s="167" t="s">
        <v>2670</v>
      </c>
      <c r="C13" s="256" t="s">
        <v>2666</v>
      </c>
    </row>
    <row r="14" spans="1:5" x14ac:dyDescent="0.25">
      <c r="A14" s="168" t="s">
        <v>2258</v>
      </c>
      <c r="B14" s="244">
        <f>COUNTIF('Approach Classification'!AA3:AA72,"Yes")-B16</f>
        <v>64</v>
      </c>
      <c r="C14" s="212">
        <f>B14/E1</f>
        <v>0.92753623188405798</v>
      </c>
    </row>
    <row r="15" spans="1:5" x14ac:dyDescent="0.25">
      <c r="A15" s="169" t="s">
        <v>2257</v>
      </c>
      <c r="B15" s="244">
        <f>COUNTIF('Approach Classification'!AB3:AB72,"Yes")-B16</f>
        <v>4</v>
      </c>
      <c r="C15" s="212">
        <f>B15/E1</f>
        <v>5.7971014492753624E-2</v>
      </c>
    </row>
    <row r="16" spans="1:5" x14ac:dyDescent="0.25">
      <c r="A16" s="169" t="s">
        <v>1687</v>
      </c>
      <c r="B16" s="244">
        <f>COUNTIFS('Approach Classification'!AB3:AB72,"Yes",'Approach Classification'!AA3:AA72,"Yes")</f>
        <v>1</v>
      </c>
      <c r="C16" s="212">
        <f>B16/E1</f>
        <v>1.4492753623188406E-2</v>
      </c>
    </row>
    <row r="17" spans="1:4" x14ac:dyDescent="0.25">
      <c r="A17" s="173"/>
      <c r="C17" s="212"/>
    </row>
    <row r="18" spans="1:4" x14ac:dyDescent="0.25">
      <c r="A18" s="167" t="s">
        <v>2667</v>
      </c>
      <c r="B18" s="167" t="s">
        <v>2670</v>
      </c>
      <c r="C18" s="256" t="s">
        <v>2666</v>
      </c>
    </row>
    <row r="19" spans="1:4" x14ac:dyDescent="0.25">
      <c r="A19" s="173" t="s">
        <v>1685</v>
      </c>
      <c r="B19" s="244">
        <f>COUNTIF('Approach Classification'!AD3:AD72,"Yes")-B21</f>
        <v>10</v>
      </c>
      <c r="C19" s="212">
        <f>B19/(E1)</f>
        <v>0.14492753623188406</v>
      </c>
    </row>
    <row r="20" spans="1:4" x14ac:dyDescent="0.25">
      <c r="A20" s="173" t="s">
        <v>1686</v>
      </c>
      <c r="B20" s="244">
        <f>COUNTIF('Approach Classification'!AE3:AE72,"Yes")-B21</f>
        <v>54</v>
      </c>
      <c r="C20" s="212">
        <f>B20/(E1)</f>
        <v>0.78260869565217395</v>
      </c>
      <c r="D20" s="244">
        <f>B20/(E1-COUNTIF('Approach Classification'!AF3:AF72,"NA"))</f>
        <v>0.81818181818181823</v>
      </c>
    </row>
    <row r="21" spans="1:4" x14ac:dyDescent="0.25">
      <c r="A21" s="173" t="s">
        <v>1687</v>
      </c>
      <c r="B21" s="244">
        <f>COUNTIFS('Approach Classification'!AD3:AD72,"Yes",'Approach Classification'!AE3:AE72,"Yes")</f>
        <v>5</v>
      </c>
      <c r="C21" s="212">
        <f>B21/(E1)</f>
        <v>7.2463768115942032E-2</v>
      </c>
    </row>
    <row r="22" spans="1:4" x14ac:dyDescent="0.25">
      <c r="A22" s="173"/>
      <c r="C22" s="212"/>
    </row>
    <row r="23" spans="1:4" x14ac:dyDescent="0.25">
      <c r="A23" s="167" t="s">
        <v>2668</v>
      </c>
      <c r="B23" s="167" t="s">
        <v>2670</v>
      </c>
      <c r="C23" s="256" t="s">
        <v>2666</v>
      </c>
    </row>
    <row r="24" spans="1:4" x14ac:dyDescent="0.25">
      <c r="A24" s="170" t="s">
        <v>1877</v>
      </c>
      <c r="B24" s="244">
        <f>COUNTIF('Approach Classification'!AG3:AG72,"Yes")-B26</f>
        <v>30</v>
      </c>
      <c r="C24" s="212">
        <f>B24/E1</f>
        <v>0.43478260869565216</v>
      </c>
    </row>
    <row r="25" spans="1:4" x14ac:dyDescent="0.25">
      <c r="A25" s="169" t="s">
        <v>1723</v>
      </c>
      <c r="B25" s="244">
        <f>COUNTIF('Approach Classification'!AH3:AH72,"Yes")-B26</f>
        <v>33</v>
      </c>
      <c r="C25" s="212">
        <f>B25/E1</f>
        <v>0.47826086956521741</v>
      </c>
    </row>
    <row r="26" spans="1:4" x14ac:dyDescent="0.25">
      <c r="A26" s="168" t="s">
        <v>1687</v>
      </c>
      <c r="B26" s="244">
        <f>COUNTIFS('Approach Classification'!AG3:AG72,"Yes",'Approach Classification'!AH3:AH72,"Yes")</f>
        <v>2</v>
      </c>
      <c r="C26" s="212">
        <f>B26/E1</f>
        <v>2.8985507246376812E-2</v>
      </c>
    </row>
    <row r="27" spans="1:4" x14ac:dyDescent="0.25">
      <c r="A27" s="168" t="s">
        <v>1959</v>
      </c>
      <c r="B27" s="244">
        <f>COUNTIF('Approach Classification'!AI3:AI72,"Yes")</f>
        <v>4</v>
      </c>
      <c r="C27" s="212">
        <f>B27/E1</f>
        <v>5.7971014492753624E-2</v>
      </c>
    </row>
    <row r="28" spans="1:4" x14ac:dyDescent="0.25">
      <c r="A28" s="173"/>
      <c r="C28" s="212"/>
    </row>
    <row r="29" spans="1:4" x14ac:dyDescent="0.25">
      <c r="A29" s="167" t="s">
        <v>1696</v>
      </c>
      <c r="B29" s="167" t="s">
        <v>2670</v>
      </c>
      <c r="C29" s="256" t="s">
        <v>2666</v>
      </c>
    </row>
    <row r="30" spans="1:4" x14ac:dyDescent="0.25">
      <c r="A30" s="168" t="s">
        <v>2208</v>
      </c>
      <c r="B30" s="244">
        <f>COUNTIF('Approach Classification'!AR3:AR72,"Yes")</f>
        <v>7</v>
      </c>
      <c r="C30" s="212">
        <f>B30/E1</f>
        <v>0.10144927536231885</v>
      </c>
    </row>
    <row r="31" spans="1:4" x14ac:dyDescent="0.25">
      <c r="A31" s="170" t="s">
        <v>2620</v>
      </c>
      <c r="B31" s="244">
        <f>COUNTIF('Approach Classification'!AS3:AS72,"Yes")</f>
        <v>29</v>
      </c>
      <c r="C31" s="212">
        <f>B31/E1</f>
        <v>0.42028985507246375</v>
      </c>
    </row>
    <row r="32" spans="1:4" x14ac:dyDescent="0.25">
      <c r="A32" s="169" t="s">
        <v>2621</v>
      </c>
      <c r="B32" s="244">
        <f>COUNTIF('Approach Classification'!AT3:AT72,"Yes")</f>
        <v>33</v>
      </c>
      <c r="C32" s="212">
        <f>B32/E1</f>
        <v>0.47826086956521741</v>
      </c>
    </row>
    <row r="33" spans="1:3" x14ac:dyDescent="0.25">
      <c r="C33" s="212"/>
    </row>
    <row r="34" spans="1:3" x14ac:dyDescent="0.25">
      <c r="A34" s="167" t="s">
        <v>2143</v>
      </c>
      <c r="B34" s="167" t="s">
        <v>2670</v>
      </c>
      <c r="C34" s="256" t="s">
        <v>2666</v>
      </c>
    </row>
    <row r="35" spans="1:3" x14ac:dyDescent="0.25">
      <c r="A35" s="168" t="s">
        <v>2546</v>
      </c>
      <c r="B35" s="244">
        <f>COUNTIF('Approach Classification'!R3:R72,"Yes")</f>
        <v>14</v>
      </c>
      <c r="C35" s="212">
        <f>B35/E1</f>
        <v>0.20289855072463769</v>
      </c>
    </row>
    <row r="36" spans="1:3" x14ac:dyDescent="0.25">
      <c r="A36" s="169" t="s">
        <v>2674</v>
      </c>
      <c r="B36" s="244">
        <f>COUNTIF('Approach Classification'!S3:S72,"Yes")</f>
        <v>55</v>
      </c>
      <c r="C36" s="212">
        <f>B36/E1</f>
        <v>0.79710144927536231</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EEA16-F5A6-4727-A0D3-0C67002934FC}">
  <dimension ref="A1:W121"/>
  <sheetViews>
    <sheetView topLeftCell="B1" zoomScale="130" zoomScaleNormal="130" workbookViewId="0">
      <selection activeCell="G2" sqref="G2"/>
    </sheetView>
  </sheetViews>
  <sheetFormatPr defaultRowHeight="15" x14ac:dyDescent="0.25"/>
  <cols>
    <col min="1" max="1" width="17.85546875" customWidth="1"/>
    <col min="2" max="2" width="19.5703125" customWidth="1"/>
    <col min="3" max="3" width="19" customWidth="1"/>
    <col min="14" max="14" width="53.7109375" customWidth="1"/>
    <col min="15" max="15" width="18.5703125" customWidth="1"/>
    <col min="16" max="16" width="9.140625" style="31"/>
    <col min="17" max="17" width="11.140625" style="1" customWidth="1"/>
    <col min="18" max="18" width="11.7109375" style="1" customWidth="1"/>
    <col min="19" max="20" width="9.140625" style="1"/>
    <col min="21" max="21" width="20" style="1" customWidth="1"/>
    <col min="22" max="22" width="9.140625" style="31"/>
    <col min="23" max="23" width="19.42578125" customWidth="1"/>
  </cols>
  <sheetData>
    <row r="1" spans="1:23" x14ac:dyDescent="0.25">
      <c r="A1" s="2"/>
      <c r="B1" s="122"/>
      <c r="C1" s="122"/>
      <c r="Q1" s="2" t="s">
        <v>2707</v>
      </c>
      <c r="R1" s="122" t="s">
        <v>2065</v>
      </c>
      <c r="S1" s="122" t="s">
        <v>2708</v>
      </c>
      <c r="T1" s="122"/>
      <c r="U1" s="122"/>
    </row>
    <row r="2" spans="1:23" x14ac:dyDescent="0.25">
      <c r="A2" s="12"/>
      <c r="B2" s="13"/>
      <c r="C2" s="13"/>
      <c r="O2" t="s">
        <v>1644</v>
      </c>
      <c r="P2" s="31">
        <v>1</v>
      </c>
      <c r="Q2" s="12">
        <v>1</v>
      </c>
      <c r="R2" s="1">
        <v>1</v>
      </c>
      <c r="S2" s="1">
        <f>COUNTIFS('Approach Classification'!$D$3:$D$72,"Yes",'Approach Classification'!$DF$3:$DF$72,"Yes")</f>
        <v>9</v>
      </c>
      <c r="U2" s="1" t="s">
        <v>2563</v>
      </c>
      <c r="V2" s="31">
        <v>1</v>
      </c>
      <c r="W2" s="248"/>
    </row>
    <row r="3" spans="1:23" x14ac:dyDescent="0.25">
      <c r="A3" s="12"/>
      <c r="B3" s="13"/>
      <c r="C3" s="13"/>
      <c r="O3" t="s">
        <v>3101</v>
      </c>
      <c r="P3" s="31">
        <v>2</v>
      </c>
      <c r="Q3" s="12">
        <v>1</v>
      </c>
      <c r="R3" s="1">
        <v>2</v>
      </c>
      <c r="S3" s="1">
        <f>COUNTIFS('Approach Classification'!$D$3:$D$72,"Yes",'Approach Classification'!$DG$3:$DG$72,"Yes")</f>
        <v>6</v>
      </c>
      <c r="U3" s="1" t="s">
        <v>2564</v>
      </c>
      <c r="V3" s="31">
        <v>2</v>
      </c>
      <c r="W3" s="248"/>
    </row>
    <row r="4" spans="1:23" x14ac:dyDescent="0.25">
      <c r="A4" s="12"/>
      <c r="B4" s="13"/>
      <c r="C4" s="13"/>
      <c r="O4" t="s">
        <v>1883</v>
      </c>
      <c r="P4" s="31">
        <v>3</v>
      </c>
      <c r="Q4" s="12">
        <v>1</v>
      </c>
      <c r="R4" s="1">
        <v>3</v>
      </c>
      <c r="S4" s="1">
        <f>COUNTIFS('Approach Classification'!$D$3:$D$72,"Yes",'Approach Classification'!$DH$3:$DH$72,"Yes")</f>
        <v>11</v>
      </c>
      <c r="U4" s="1" t="s">
        <v>1666</v>
      </c>
      <c r="V4" s="31">
        <v>3</v>
      </c>
      <c r="W4" s="248"/>
    </row>
    <row r="5" spans="1:23" x14ac:dyDescent="0.25">
      <c r="A5" s="1"/>
      <c r="B5" s="13"/>
      <c r="C5" s="13"/>
      <c r="O5" t="s">
        <v>2625</v>
      </c>
      <c r="P5" s="31">
        <v>4</v>
      </c>
      <c r="Q5" s="12">
        <v>1</v>
      </c>
      <c r="R5" s="1">
        <v>4</v>
      </c>
      <c r="S5" s="1">
        <f>COUNTIFS('Approach Classification'!$D$3:$D$72,"Yes",'Approach Classification'!$DI$3:$DI$72,"Yes")</f>
        <v>7</v>
      </c>
      <c r="U5" s="1" t="s">
        <v>1683</v>
      </c>
      <c r="V5" s="31">
        <v>4</v>
      </c>
      <c r="W5" s="248"/>
    </row>
    <row r="6" spans="1:23" x14ac:dyDescent="0.25">
      <c r="A6" s="1"/>
      <c r="B6" s="13"/>
      <c r="C6" s="13"/>
      <c r="O6" t="s">
        <v>1647</v>
      </c>
      <c r="P6" s="31">
        <v>5</v>
      </c>
      <c r="Q6" s="12">
        <v>1</v>
      </c>
      <c r="R6" s="1">
        <v>5</v>
      </c>
      <c r="S6" s="1">
        <f>COUNTIFS('Approach Classification'!$D$3:$D$72,"Yes",'Approach Classification'!$DJ$3:$DJ$72,"Yes")</f>
        <v>8</v>
      </c>
      <c r="U6" s="1" t="s">
        <v>1662</v>
      </c>
      <c r="V6" s="31">
        <v>5</v>
      </c>
      <c r="W6" s="248"/>
    </row>
    <row r="7" spans="1:23" x14ac:dyDescent="0.25">
      <c r="A7" s="1"/>
      <c r="B7" s="13"/>
      <c r="C7" s="13"/>
      <c r="P7" s="31">
        <v>6</v>
      </c>
      <c r="Q7" s="12">
        <v>2</v>
      </c>
      <c r="R7" s="1">
        <v>1</v>
      </c>
      <c r="S7" s="1">
        <f>COUNTIFS('Approach Classification'!$E$3:$E$72,"Yes",'Approach Classification'!$DF$3:$DF$72,"Yes")</f>
        <v>12</v>
      </c>
    </row>
    <row r="8" spans="1:23" x14ac:dyDescent="0.25">
      <c r="A8" s="1"/>
      <c r="B8" s="13"/>
      <c r="C8" s="13"/>
      <c r="O8" t="s">
        <v>1915</v>
      </c>
      <c r="P8" s="31">
        <v>7</v>
      </c>
      <c r="Q8" s="12">
        <v>2</v>
      </c>
      <c r="R8" s="1">
        <v>2</v>
      </c>
      <c r="S8" s="1">
        <f>COUNTIFS('Approach Classification'!$E$3:$E$72,"Yes",'Approach Classification'!$DG$3:$DG$72,"Yes")</f>
        <v>4</v>
      </c>
    </row>
    <row r="9" spans="1:23" x14ac:dyDescent="0.25">
      <c r="A9" s="1"/>
      <c r="B9" s="13"/>
      <c r="C9" s="13"/>
      <c r="O9" t="s">
        <v>1710</v>
      </c>
      <c r="P9" s="31">
        <v>8</v>
      </c>
      <c r="Q9" s="12">
        <v>2</v>
      </c>
      <c r="R9" s="1">
        <v>3</v>
      </c>
      <c r="S9" s="1">
        <f>COUNTIFS('Approach Classification'!$E$3:$E$72,"Yes",'Approach Classification'!$DH$3:$DH$72,"Yes")</f>
        <v>23</v>
      </c>
    </row>
    <row r="10" spans="1:23" x14ac:dyDescent="0.25">
      <c r="A10" s="1"/>
      <c r="B10" s="13"/>
      <c r="C10" s="13"/>
      <c r="P10" s="31">
        <v>9</v>
      </c>
      <c r="Q10" s="12">
        <v>2</v>
      </c>
      <c r="R10" s="1">
        <v>4</v>
      </c>
      <c r="S10" s="1">
        <f>COUNTIFS('Approach Classification'!$E$3:$E$72,"Yes",'Approach Classification'!$DI$3:$DI$72,"Yes")</f>
        <v>9</v>
      </c>
    </row>
    <row r="11" spans="1:23" x14ac:dyDescent="0.25">
      <c r="A11" s="1"/>
      <c r="B11" s="13"/>
      <c r="C11" s="13"/>
      <c r="O11" t="s">
        <v>2258</v>
      </c>
      <c r="P11" s="31">
        <v>10</v>
      </c>
      <c r="Q11" s="12">
        <v>2</v>
      </c>
      <c r="R11" s="1">
        <v>5</v>
      </c>
      <c r="S11" s="1">
        <f>COUNTIFS('Approach Classification'!$E$3:$E$72,"Yes",'Approach Classification'!$DJ$3:$DJ$72,"Yes")</f>
        <v>19</v>
      </c>
    </row>
    <row r="12" spans="1:23" x14ac:dyDescent="0.25">
      <c r="A12" s="1"/>
      <c r="B12" s="13"/>
      <c r="C12" s="13"/>
      <c r="O12" t="s">
        <v>2257</v>
      </c>
      <c r="P12" s="31">
        <v>11</v>
      </c>
      <c r="Q12" s="12">
        <v>3</v>
      </c>
      <c r="R12" s="1">
        <v>1</v>
      </c>
      <c r="S12" s="1">
        <f>COUNTIFS('Approach Classification'!$F$3:$F$72,"Yes",'Approach Classification'!$DF$3:$DF$72,"Yes")</f>
        <v>13</v>
      </c>
    </row>
    <row r="13" spans="1:23" x14ac:dyDescent="0.25">
      <c r="A13" s="1"/>
      <c r="B13" s="13"/>
      <c r="C13" s="13"/>
      <c r="P13" s="31">
        <v>12</v>
      </c>
      <c r="Q13" s="12">
        <v>3</v>
      </c>
      <c r="R13" s="1">
        <v>2</v>
      </c>
      <c r="S13" s="1">
        <f>COUNTIFS('Approach Classification'!$F$3:$F$72,"Yes",'Approach Classification'!$DG$3:$DG$72,"Yes")</f>
        <v>6</v>
      </c>
    </row>
    <row r="14" spans="1:23" x14ac:dyDescent="0.25">
      <c r="A14" s="1"/>
      <c r="B14" s="13"/>
      <c r="C14" s="13"/>
      <c r="O14" t="s">
        <v>1685</v>
      </c>
      <c r="P14" s="31">
        <v>13</v>
      </c>
      <c r="Q14" s="12">
        <v>3</v>
      </c>
      <c r="R14" s="1">
        <v>3</v>
      </c>
      <c r="S14" s="1">
        <f>COUNTIFS('Approach Classification'!$F$3:$F$72,"Yes",'Approach Classification'!$DH$3:$DH$72,"Yes")</f>
        <v>15</v>
      </c>
    </row>
    <row r="15" spans="1:23" x14ac:dyDescent="0.25">
      <c r="A15" s="1"/>
      <c r="B15" s="13"/>
      <c r="C15" s="13"/>
      <c r="O15" t="s">
        <v>1686</v>
      </c>
      <c r="P15" s="31">
        <v>14</v>
      </c>
      <c r="Q15" s="12">
        <v>3</v>
      </c>
      <c r="R15" s="1">
        <v>4</v>
      </c>
      <c r="S15" s="1">
        <f>COUNTIFS('Approach Classification'!$F$3:$F$72,"Yes",'Approach Classification'!$DI$3:$DI$72,"Yes")</f>
        <v>8</v>
      </c>
    </row>
    <row r="16" spans="1:23" x14ac:dyDescent="0.25">
      <c r="A16" s="1"/>
      <c r="B16" s="13"/>
      <c r="C16" s="13"/>
      <c r="P16" s="31">
        <v>15</v>
      </c>
      <c r="Q16" s="12">
        <v>3</v>
      </c>
      <c r="R16" s="1">
        <v>5</v>
      </c>
      <c r="S16" s="1">
        <f>COUNTIFS('Approach Classification'!$F$3:$F$72,"Yes",'Approach Classification'!$DJ$3:$DJ$72,"Yes")</f>
        <v>14</v>
      </c>
    </row>
    <row r="17" spans="1:19" x14ac:dyDescent="0.25">
      <c r="A17" s="1"/>
      <c r="B17" s="13"/>
      <c r="C17" s="13"/>
      <c r="O17" t="s">
        <v>1877</v>
      </c>
      <c r="P17" s="31">
        <v>16</v>
      </c>
      <c r="Q17" s="12">
        <v>4</v>
      </c>
      <c r="R17" s="1">
        <v>1</v>
      </c>
      <c r="S17" s="1">
        <f>COUNTIFS('Approach Classification'!$G$3:$G$72,"Yes",'Approach Classification'!$DF$3:$DF$72,"Yes")</f>
        <v>4</v>
      </c>
    </row>
    <row r="18" spans="1:19" x14ac:dyDescent="0.25">
      <c r="A18" s="1"/>
      <c r="B18" s="254"/>
      <c r="C18" s="254"/>
      <c r="O18" t="s">
        <v>1723</v>
      </c>
      <c r="P18" s="31">
        <v>17</v>
      </c>
      <c r="Q18" s="12">
        <v>4</v>
      </c>
      <c r="R18" s="1">
        <v>2</v>
      </c>
      <c r="S18" s="1">
        <f>COUNTIFS('Approach Classification'!$G$3:$G$72,"Yes",'Approach Classification'!$DG$3:$DG$72,"Yes")</f>
        <v>0</v>
      </c>
    </row>
    <row r="19" spans="1:19" x14ac:dyDescent="0.25">
      <c r="A19" s="1"/>
      <c r="B19" s="13"/>
      <c r="C19" s="13"/>
      <c r="O19" t="s">
        <v>1959</v>
      </c>
      <c r="P19" s="31">
        <v>18</v>
      </c>
      <c r="Q19" s="12">
        <v>4</v>
      </c>
      <c r="R19" s="1">
        <v>3</v>
      </c>
      <c r="S19" s="1">
        <f>COUNTIFS('Approach Classification'!$G$3:$G$72,"Yes",'Approach Classification'!$DH$3:$DH$72,"Yes")</f>
        <v>5</v>
      </c>
    </row>
    <row r="20" spans="1:19" x14ac:dyDescent="0.25">
      <c r="A20" s="1"/>
      <c r="B20" s="13"/>
      <c r="C20" s="13"/>
      <c r="P20" s="31">
        <v>19</v>
      </c>
      <c r="Q20" s="12">
        <v>4</v>
      </c>
      <c r="R20" s="1">
        <v>4</v>
      </c>
      <c r="S20" s="1">
        <f>COUNTIFS('Approach Classification'!$G$3:$G$72,"Yes",'Approach Classification'!$DI$3:$DI$72,"Yes")</f>
        <v>5</v>
      </c>
    </row>
    <row r="21" spans="1:19" x14ac:dyDescent="0.25">
      <c r="A21" s="1"/>
      <c r="B21" s="13"/>
      <c r="C21" s="13"/>
      <c r="O21" t="s">
        <v>3115</v>
      </c>
      <c r="P21" s="31">
        <v>20</v>
      </c>
      <c r="Q21" s="12">
        <v>4</v>
      </c>
      <c r="R21" s="1">
        <v>5</v>
      </c>
      <c r="S21" s="1">
        <f>COUNTIFS('Approach Classification'!$G$3:$G$72,"Yes",'Approach Classification'!$DJ$3:$DJ$72,"Yes")</f>
        <v>4</v>
      </c>
    </row>
    <row r="22" spans="1:19" x14ac:dyDescent="0.25">
      <c r="A22" s="1"/>
      <c r="B22" s="13"/>
      <c r="C22" s="13"/>
      <c r="O22" t="s">
        <v>1698</v>
      </c>
      <c r="P22" s="31">
        <v>21</v>
      </c>
      <c r="Q22" s="12">
        <v>5</v>
      </c>
      <c r="R22" s="1">
        <v>1</v>
      </c>
      <c r="S22" s="1">
        <f>COUNTIFS('Approach Classification'!$H$3:$H$72,"Yes",'Approach Classification'!$DF$3:$DF$72,"Yes")</f>
        <v>11</v>
      </c>
    </row>
    <row r="23" spans="1:19" x14ac:dyDescent="0.25">
      <c r="A23" s="1"/>
      <c r="B23" s="13"/>
      <c r="C23" s="13"/>
      <c r="O23" t="s">
        <v>1699</v>
      </c>
      <c r="P23" s="31">
        <v>22</v>
      </c>
      <c r="Q23" s="12">
        <v>5</v>
      </c>
      <c r="R23" s="1">
        <v>2</v>
      </c>
      <c r="S23" s="1">
        <f>COUNTIFS('Approach Classification'!$H$3:$H$72,"Yes",'Approach Classification'!$DG$3:$DG$72,"Yes")</f>
        <v>2</v>
      </c>
    </row>
    <row r="24" spans="1:19" x14ac:dyDescent="0.25">
      <c r="A24" s="1"/>
      <c r="B24" s="13"/>
      <c r="C24" s="13"/>
      <c r="P24" s="31">
        <v>23</v>
      </c>
      <c r="Q24" s="12">
        <v>5</v>
      </c>
      <c r="R24" s="1">
        <v>3</v>
      </c>
      <c r="S24" s="1">
        <f>COUNTIFS('Approach Classification'!$H$3:$H$72,"Yes",'Approach Classification'!$DH$3:$DH$72,"Yes")</f>
        <v>12</v>
      </c>
    </row>
    <row r="25" spans="1:19" x14ac:dyDescent="0.25">
      <c r="A25" s="1"/>
      <c r="B25" s="13"/>
      <c r="C25" s="13"/>
      <c r="O25" t="s">
        <v>2546</v>
      </c>
      <c r="P25" s="31">
        <v>24</v>
      </c>
      <c r="Q25" s="12">
        <v>5</v>
      </c>
      <c r="R25" s="1">
        <v>4</v>
      </c>
      <c r="S25" s="1">
        <f>COUNTIFS('Approach Classification'!$H$3:$H$72,"Yes",'Approach Classification'!$DI$3:$DI$72,"Yes")</f>
        <v>8</v>
      </c>
    </row>
    <row r="26" spans="1:19" x14ac:dyDescent="0.25">
      <c r="A26" s="1"/>
      <c r="B26" s="13"/>
      <c r="C26" s="13"/>
      <c r="Q26" s="12">
        <v>5</v>
      </c>
      <c r="R26" s="1">
        <v>5</v>
      </c>
      <c r="S26" s="1">
        <f>COUNTIFS('Approach Classification'!$H$3:$H$72,"Yes",'Approach Classification'!$DJ$3:$DJ$72,"Yes")</f>
        <v>10</v>
      </c>
    </row>
    <row r="27" spans="1:19" x14ac:dyDescent="0.25">
      <c r="A27" s="1"/>
      <c r="B27" s="13"/>
      <c r="C27" s="13"/>
      <c r="Q27" s="12">
        <v>6</v>
      </c>
      <c r="R27" s="1">
        <v>1</v>
      </c>
      <c r="S27" s="1">
        <v>0</v>
      </c>
    </row>
    <row r="28" spans="1:19" x14ac:dyDescent="0.25">
      <c r="A28" s="1"/>
      <c r="B28" s="13"/>
      <c r="C28" s="13"/>
      <c r="Q28" s="12">
        <v>6</v>
      </c>
      <c r="R28" s="1">
        <v>2</v>
      </c>
      <c r="S28" s="1">
        <v>0</v>
      </c>
    </row>
    <row r="29" spans="1:19" x14ac:dyDescent="0.25">
      <c r="A29" s="1"/>
      <c r="B29" s="13"/>
      <c r="C29" s="13"/>
      <c r="Q29" s="12">
        <v>6</v>
      </c>
      <c r="R29" s="1">
        <v>3</v>
      </c>
      <c r="S29" s="1">
        <v>0</v>
      </c>
    </row>
    <row r="30" spans="1:19" x14ac:dyDescent="0.25">
      <c r="A30" s="1"/>
      <c r="B30" s="13"/>
      <c r="C30" s="13"/>
      <c r="Q30" s="12">
        <v>6</v>
      </c>
      <c r="R30" s="1">
        <v>4</v>
      </c>
      <c r="S30" s="1">
        <v>0</v>
      </c>
    </row>
    <row r="31" spans="1:19" x14ac:dyDescent="0.25">
      <c r="A31" s="1"/>
      <c r="B31" s="254"/>
      <c r="C31" s="254"/>
      <c r="Q31" s="12">
        <v>6</v>
      </c>
      <c r="R31" s="1">
        <v>5</v>
      </c>
      <c r="S31" s="1">
        <v>0</v>
      </c>
    </row>
    <row r="32" spans="1:19" x14ac:dyDescent="0.25">
      <c r="A32" s="1"/>
      <c r="B32" s="254"/>
      <c r="C32" s="254"/>
      <c r="Q32" s="12">
        <v>7</v>
      </c>
      <c r="R32" s="1">
        <v>1</v>
      </c>
      <c r="S32" s="1">
        <f>COUNTIFS('Approach Classification'!$X$3:$X$72,"Yes",'Approach Classification'!$DF$3:$DF$72,"Yes")</f>
        <v>37</v>
      </c>
    </row>
    <row r="33" spans="1:19" x14ac:dyDescent="0.25">
      <c r="A33" s="1"/>
      <c r="B33" s="254"/>
      <c r="C33" s="254"/>
      <c r="Q33" s="12">
        <v>7</v>
      </c>
      <c r="R33" s="1">
        <v>2</v>
      </c>
      <c r="S33" s="1">
        <f>COUNTIFS('Approach Classification'!$X$3:$X$72,"Yes",'Approach Classification'!$DG$3:$DG$72,"Yes")</f>
        <v>12</v>
      </c>
    </row>
    <row r="34" spans="1:19" x14ac:dyDescent="0.25">
      <c r="A34" s="1"/>
      <c r="B34" s="254"/>
      <c r="C34" s="254"/>
      <c r="Q34" s="12">
        <v>7</v>
      </c>
      <c r="R34" s="1">
        <v>3</v>
      </c>
      <c r="S34" s="1">
        <f>COUNTIFS('Approach Classification'!$X$3:$X$72,"Yes",'Approach Classification'!$DH$3:$DH$72,"Yes")</f>
        <v>49</v>
      </c>
    </row>
    <row r="35" spans="1:19" x14ac:dyDescent="0.25">
      <c r="A35" s="1"/>
      <c r="B35" s="254"/>
      <c r="C35" s="254"/>
      <c r="Q35" s="12">
        <v>7</v>
      </c>
      <c r="R35" s="1">
        <v>4</v>
      </c>
      <c r="S35" s="1">
        <f>COUNTIFS('Approach Classification'!$X$3:$X$72,"Yes",'Approach Classification'!$DI$3:$DI$72,"Yes")</f>
        <v>28</v>
      </c>
    </row>
    <row r="36" spans="1:19" x14ac:dyDescent="0.25">
      <c r="A36" s="1"/>
      <c r="B36" s="254"/>
      <c r="C36" s="254"/>
      <c r="Q36" s="12">
        <v>7</v>
      </c>
      <c r="R36" s="1">
        <v>5</v>
      </c>
      <c r="S36" s="1">
        <f>COUNTIFS('Approach Classification'!$X$3:$X$72,"Yes",'Approach Classification'!$DJ$3:$DJ$72,"Yes")</f>
        <v>41</v>
      </c>
    </row>
    <row r="37" spans="1:19" x14ac:dyDescent="0.25">
      <c r="A37" s="1"/>
      <c r="B37" s="254"/>
      <c r="C37" s="254"/>
      <c r="Q37" s="12">
        <v>8</v>
      </c>
      <c r="R37" s="1">
        <v>1</v>
      </c>
      <c r="S37" s="1">
        <f>COUNTIFS('Approach Classification'!$Y$3:$Y$72,"Yes",'Approach Classification'!$DF$3:$DF$72,"Yes")</f>
        <v>4</v>
      </c>
    </row>
    <row r="38" spans="1:19" x14ac:dyDescent="0.25">
      <c r="A38" s="1"/>
      <c r="B38" s="254"/>
      <c r="C38" s="254"/>
      <c r="Q38" s="12">
        <v>8</v>
      </c>
      <c r="R38" s="1">
        <v>2</v>
      </c>
      <c r="S38" s="1">
        <f>COUNTIFS('Approach Classification'!$Y$3:$Y$72,"Yes",'Approach Classification'!$DG$3:$DG$72,"Yes")</f>
        <v>3</v>
      </c>
    </row>
    <row r="39" spans="1:19" x14ac:dyDescent="0.25">
      <c r="A39" s="1"/>
      <c r="B39" s="254"/>
      <c r="C39" s="254"/>
      <c r="Q39" s="12">
        <v>8</v>
      </c>
      <c r="R39" s="1">
        <v>3</v>
      </c>
      <c r="S39" s="1">
        <f>COUNTIFS('Approach Classification'!$Y$3:$Y$72,"Yes",'Approach Classification'!$DH$3:$DH$72,"Yes")</f>
        <v>8</v>
      </c>
    </row>
    <row r="40" spans="1:19" x14ac:dyDescent="0.25">
      <c r="A40" s="1"/>
      <c r="B40" s="254"/>
      <c r="C40" s="254"/>
      <c r="Q40" s="12">
        <v>8</v>
      </c>
      <c r="R40" s="1">
        <v>4</v>
      </c>
      <c r="S40" s="1">
        <f>COUNTIFS('Approach Classification'!$Y$3:$Y$72,"Yes",'Approach Classification'!$DI$3:$DI$72,"Yes")</f>
        <v>4</v>
      </c>
    </row>
    <row r="41" spans="1:19" x14ac:dyDescent="0.25">
      <c r="A41" s="1"/>
      <c r="B41" s="254"/>
      <c r="C41" s="254"/>
      <c r="Q41" s="12">
        <v>8</v>
      </c>
      <c r="R41" s="1">
        <v>5</v>
      </c>
      <c r="S41" s="1">
        <f>COUNTIFS('Approach Classification'!$Y$3:$Y$72,"Yes",'Approach Classification'!$DJ$3:$DJ$72,"Yes")</f>
        <v>6</v>
      </c>
    </row>
    <row r="42" spans="1:19" x14ac:dyDescent="0.25">
      <c r="A42" s="1"/>
      <c r="B42" s="254"/>
      <c r="C42" s="254"/>
      <c r="Q42" s="12">
        <v>9</v>
      </c>
      <c r="R42" s="1">
        <v>1</v>
      </c>
      <c r="S42" s="1">
        <v>0</v>
      </c>
    </row>
    <row r="43" spans="1:19" x14ac:dyDescent="0.25">
      <c r="A43" s="1"/>
      <c r="B43" s="254"/>
      <c r="C43" s="254"/>
      <c r="Q43" s="12">
        <v>9</v>
      </c>
      <c r="R43" s="1">
        <v>2</v>
      </c>
      <c r="S43" s="1">
        <v>0</v>
      </c>
    </row>
    <row r="44" spans="1:19" x14ac:dyDescent="0.25">
      <c r="A44" s="1"/>
      <c r="B44" s="254"/>
      <c r="C44" s="254"/>
      <c r="Q44" s="12">
        <v>9</v>
      </c>
      <c r="R44" s="1">
        <v>3</v>
      </c>
      <c r="S44" s="1">
        <v>0</v>
      </c>
    </row>
    <row r="45" spans="1:19" x14ac:dyDescent="0.25">
      <c r="A45" s="1"/>
      <c r="B45" s="254"/>
      <c r="C45" s="254"/>
      <c r="Q45" s="12">
        <v>9</v>
      </c>
      <c r="R45" s="1">
        <v>4</v>
      </c>
      <c r="S45" s="1">
        <v>0</v>
      </c>
    </row>
    <row r="46" spans="1:19" x14ac:dyDescent="0.25">
      <c r="A46" s="1"/>
      <c r="B46" s="254"/>
      <c r="C46" s="254"/>
      <c r="Q46" s="12">
        <v>9</v>
      </c>
      <c r="R46" s="1">
        <v>5</v>
      </c>
      <c r="S46" s="1">
        <v>0</v>
      </c>
    </row>
    <row r="47" spans="1:19" x14ac:dyDescent="0.25">
      <c r="A47" s="1"/>
      <c r="B47" s="254"/>
      <c r="C47" s="254"/>
      <c r="P47" s="255"/>
      <c r="Q47" s="12">
        <v>10</v>
      </c>
      <c r="R47" s="1">
        <v>1</v>
      </c>
      <c r="S47" s="1">
        <f>COUNTIFS('Approach Classification'!$AA$3:$AA$72,"Yes",'Approach Classification'!$DF$3:$DF$72,"Yes")</f>
        <v>40</v>
      </c>
    </row>
    <row r="48" spans="1:19" x14ac:dyDescent="0.25">
      <c r="A48" s="1"/>
      <c r="B48" s="254"/>
      <c r="C48" s="254"/>
      <c r="Q48" s="12">
        <v>10</v>
      </c>
      <c r="R48" s="1">
        <v>2</v>
      </c>
      <c r="S48" s="1">
        <f>COUNTIFS('Approach Classification'!$AA$3:$AA$72,"Yes",'Approach Classification'!$DG$3:$DG$72,"Yes")</f>
        <v>11</v>
      </c>
    </row>
    <row r="49" spans="1:19" x14ac:dyDescent="0.25">
      <c r="A49" s="1"/>
      <c r="B49" s="254"/>
      <c r="C49" s="254"/>
      <c r="Q49" s="12">
        <v>10</v>
      </c>
      <c r="R49" s="1">
        <v>3</v>
      </c>
      <c r="S49" s="1">
        <f>COUNTIFS('Approach Classification'!$AA$3:$AA$72,"Yes",'Approach Classification'!$DH$3:$DH$72,"Yes")</f>
        <v>57</v>
      </c>
    </row>
    <row r="50" spans="1:19" x14ac:dyDescent="0.25">
      <c r="A50" s="1"/>
      <c r="B50" s="254"/>
      <c r="C50" s="254"/>
      <c r="Q50" s="12">
        <v>10</v>
      </c>
      <c r="R50" s="1">
        <v>4</v>
      </c>
      <c r="S50" s="1">
        <f>COUNTIFS('Approach Classification'!$AA$3:$AA$72,"Yes",'Approach Classification'!$DI$3:$DI$72,"Yes")</f>
        <v>32</v>
      </c>
    </row>
    <row r="51" spans="1:19" x14ac:dyDescent="0.25">
      <c r="A51" s="1"/>
      <c r="B51" s="254"/>
      <c r="C51" s="254"/>
      <c r="Q51" s="12">
        <v>10</v>
      </c>
      <c r="R51" s="1">
        <v>5</v>
      </c>
      <c r="S51" s="1">
        <f>COUNTIFS('Approach Classification'!$AA$3:$AA$72,"Yes",'Approach Classification'!$DJ$3:$DJ$72,"Yes")</f>
        <v>47</v>
      </c>
    </row>
    <row r="52" spans="1:19" x14ac:dyDescent="0.25">
      <c r="A52" s="1"/>
      <c r="B52" s="254"/>
      <c r="C52" s="254"/>
      <c r="Q52" s="12">
        <v>11</v>
      </c>
      <c r="R52" s="1">
        <v>1</v>
      </c>
      <c r="S52" s="1">
        <f>COUNTIFS('Approach Classification'!$AB$3:$AB$72,"Yes",'Approach Classification'!$DF$3:$DF$72,"Yes")</f>
        <v>1</v>
      </c>
    </row>
    <row r="53" spans="1:19" x14ac:dyDescent="0.25">
      <c r="A53" s="1"/>
      <c r="B53" s="254"/>
      <c r="C53" s="254"/>
      <c r="Q53" s="12">
        <v>11</v>
      </c>
      <c r="R53" s="1">
        <v>2</v>
      </c>
      <c r="S53" s="1">
        <f>COUNTIFS('Approach Classification'!$AB$3:$AB$72,"Yes",'Approach Classification'!$DG$3:$DG$72,"Yes")</f>
        <v>5</v>
      </c>
    </row>
    <row r="54" spans="1:19" x14ac:dyDescent="0.25">
      <c r="A54" s="1"/>
      <c r="B54" s="254"/>
      <c r="C54" s="254"/>
      <c r="Q54" s="12">
        <v>11</v>
      </c>
      <c r="R54" s="1">
        <v>3</v>
      </c>
      <c r="S54" s="1">
        <f>COUNTIFS('Approach Classification'!$AB$3:$AB$72,"Yes",'Approach Classification'!$DH$3:$DH$72,"Yes")</f>
        <v>1</v>
      </c>
    </row>
    <row r="55" spans="1:19" x14ac:dyDescent="0.25">
      <c r="A55" s="1"/>
      <c r="B55" s="254"/>
      <c r="C55" s="254"/>
      <c r="Q55" s="12">
        <v>11</v>
      </c>
      <c r="R55" s="1">
        <v>4</v>
      </c>
      <c r="S55" s="1">
        <f>COUNTIFS('Approach Classification'!$AB$3:$AB$72,"Yes",'Approach Classification'!$DI$3:$DI$72,"Yes")</f>
        <v>1</v>
      </c>
    </row>
    <row r="56" spans="1:19" x14ac:dyDescent="0.25">
      <c r="A56" s="1"/>
      <c r="B56" s="254"/>
      <c r="C56" s="254"/>
      <c r="Q56" s="12">
        <v>11</v>
      </c>
      <c r="R56" s="1">
        <v>5</v>
      </c>
      <c r="S56" s="1">
        <f>COUNTIFS('Approach Classification'!$AB$3:$AB$72,"Yes",'Approach Classification'!$DJ$3:$DJ$72,"Yes")</f>
        <v>0</v>
      </c>
    </row>
    <row r="57" spans="1:19" x14ac:dyDescent="0.25">
      <c r="A57" s="1"/>
      <c r="B57" s="254"/>
      <c r="C57" s="254"/>
      <c r="Q57" s="12">
        <v>12</v>
      </c>
      <c r="R57" s="1">
        <v>1</v>
      </c>
      <c r="S57" s="1">
        <v>0</v>
      </c>
    </row>
    <row r="58" spans="1:19" x14ac:dyDescent="0.25">
      <c r="A58" s="1"/>
      <c r="B58" s="254"/>
      <c r="C58" s="254"/>
      <c r="Q58" s="12">
        <v>12</v>
      </c>
      <c r="R58" s="1">
        <v>2</v>
      </c>
      <c r="S58" s="1">
        <v>0</v>
      </c>
    </row>
    <row r="59" spans="1:19" x14ac:dyDescent="0.25">
      <c r="A59" s="1"/>
      <c r="B59" s="254"/>
      <c r="C59" s="254"/>
      <c r="Q59" s="12">
        <v>12</v>
      </c>
      <c r="R59" s="1">
        <v>3</v>
      </c>
      <c r="S59" s="1">
        <v>0</v>
      </c>
    </row>
    <row r="60" spans="1:19" x14ac:dyDescent="0.25">
      <c r="A60" s="1"/>
      <c r="B60" s="254"/>
      <c r="C60" s="254"/>
      <c r="Q60" s="12">
        <v>12</v>
      </c>
      <c r="R60" s="1">
        <v>4</v>
      </c>
      <c r="S60" s="1">
        <v>0</v>
      </c>
    </row>
    <row r="61" spans="1:19" x14ac:dyDescent="0.25">
      <c r="A61" s="1"/>
      <c r="B61" s="254"/>
      <c r="C61" s="254"/>
      <c r="Q61" s="12">
        <v>12</v>
      </c>
      <c r="R61" s="1">
        <v>5</v>
      </c>
      <c r="S61" s="1">
        <v>0</v>
      </c>
    </row>
    <row r="62" spans="1:19" x14ac:dyDescent="0.25">
      <c r="A62" s="1"/>
      <c r="B62" s="254"/>
      <c r="C62" s="254"/>
      <c r="Q62" s="12">
        <v>13</v>
      </c>
      <c r="R62" s="1">
        <v>1</v>
      </c>
      <c r="S62" s="1">
        <f>COUNTIFS('Approach Classification'!$AD$3:$AD$72,"Yes",'Approach Classification'!$DF$3:$DF$72,"Yes")</f>
        <v>8</v>
      </c>
    </row>
    <row r="63" spans="1:19" x14ac:dyDescent="0.25">
      <c r="A63" s="1"/>
      <c r="B63" s="254"/>
      <c r="C63" s="254"/>
      <c r="Q63" s="12">
        <v>13</v>
      </c>
      <c r="R63" s="1">
        <v>2</v>
      </c>
      <c r="S63" s="1">
        <f>COUNTIFS('Approach Classification'!$AD$3:$AD$72,"Yes",'Approach Classification'!$DG$3:$DG$72,"Yes")</f>
        <v>7</v>
      </c>
    </row>
    <row r="64" spans="1:19" x14ac:dyDescent="0.25">
      <c r="A64" s="1"/>
      <c r="B64" s="254"/>
      <c r="C64" s="254"/>
      <c r="Q64" s="12">
        <v>13</v>
      </c>
      <c r="R64" s="1">
        <v>3</v>
      </c>
      <c r="S64" s="1">
        <f>COUNTIFS('Approach Classification'!$AD$3:$AD$72,"Yes",'Approach Classification'!$DH$3:$DH$72,"Yes")</f>
        <v>9</v>
      </c>
    </row>
    <row r="65" spans="1:19" x14ac:dyDescent="0.25">
      <c r="A65" s="1"/>
      <c r="B65" s="254"/>
      <c r="C65" s="254"/>
      <c r="Q65" s="12">
        <v>13</v>
      </c>
      <c r="R65" s="1">
        <v>4</v>
      </c>
      <c r="S65" s="1">
        <f>COUNTIFS('Approach Classification'!$AD$3:$AD$72,"Yes",'Approach Classification'!$DI$3:$DI$72,"Yes")</f>
        <v>6</v>
      </c>
    </row>
    <row r="66" spans="1:19" x14ac:dyDescent="0.25">
      <c r="A66" s="1"/>
      <c r="B66" s="254"/>
      <c r="C66" s="254"/>
      <c r="Q66" s="12">
        <v>13</v>
      </c>
      <c r="R66" s="1">
        <v>5</v>
      </c>
      <c r="S66" s="1">
        <f>COUNTIFS('Approach Classification'!$AD$3:$AD$72,"Yes",'Approach Classification'!$DJ$3:$DJ$72,"Yes")</f>
        <v>6</v>
      </c>
    </row>
    <row r="67" spans="1:19" x14ac:dyDescent="0.25">
      <c r="A67" s="1"/>
      <c r="B67" s="254"/>
      <c r="C67" s="254"/>
      <c r="Q67" s="12">
        <v>14</v>
      </c>
      <c r="R67" s="1">
        <v>1</v>
      </c>
      <c r="S67" s="1">
        <f>COUNTIFS('Approach Classification'!$AE$3:$AE$72,"Yes",'Approach Classification'!$DF$3:$DF$72,"Yes")</f>
        <v>36</v>
      </c>
    </row>
    <row r="68" spans="1:19" x14ac:dyDescent="0.25">
      <c r="A68" s="1"/>
      <c r="B68" s="254"/>
      <c r="C68" s="254"/>
      <c r="Q68" s="12">
        <v>14</v>
      </c>
      <c r="R68" s="1">
        <v>2</v>
      </c>
      <c r="S68" s="1">
        <f>COUNTIFS('Approach Classification'!$AE$3:$AE$72,"Yes",'Approach Classification'!$DG$3:$DG$72,"Yes")</f>
        <v>10</v>
      </c>
    </row>
    <row r="69" spans="1:19" x14ac:dyDescent="0.25">
      <c r="A69" s="1"/>
      <c r="B69" s="254"/>
      <c r="C69" s="254"/>
      <c r="Q69" s="12">
        <v>14</v>
      </c>
      <c r="R69" s="1">
        <v>3</v>
      </c>
      <c r="S69" s="1">
        <f>COUNTIFS('Approach Classification'!$AE$3:$AE$72,"Yes",'Approach Classification'!$DH$3:$DH$72,"Yes")</f>
        <v>49</v>
      </c>
    </row>
    <row r="70" spans="1:19" x14ac:dyDescent="0.25">
      <c r="A70" s="1"/>
      <c r="B70" s="254"/>
      <c r="C70" s="254"/>
      <c r="Q70" s="12">
        <v>14</v>
      </c>
      <c r="R70" s="1">
        <v>4</v>
      </c>
      <c r="S70" s="1">
        <f>COUNTIFS('Approach Classification'!$AE$3:$AE$72,"Yes",'Approach Classification'!$DI$3:$DI$72,"Yes")</f>
        <v>27</v>
      </c>
    </row>
    <row r="71" spans="1:19" x14ac:dyDescent="0.25">
      <c r="A71" s="1"/>
      <c r="B71" s="254"/>
      <c r="C71" s="254"/>
      <c r="Q71" s="12">
        <v>14</v>
      </c>
      <c r="R71" s="1">
        <v>5</v>
      </c>
      <c r="S71" s="1">
        <f>COUNTIFS('Approach Classification'!$AE$3:$AE$72,"Yes",'Approach Classification'!$DJ$3:$DJ$72,"Yes")</f>
        <v>41</v>
      </c>
    </row>
    <row r="72" spans="1:19" x14ac:dyDescent="0.25">
      <c r="A72" s="1"/>
      <c r="B72" s="254"/>
      <c r="C72" s="254"/>
      <c r="Q72" s="12">
        <v>15</v>
      </c>
      <c r="R72" s="1">
        <v>1</v>
      </c>
      <c r="S72" s="1">
        <v>0</v>
      </c>
    </row>
    <row r="73" spans="1:19" x14ac:dyDescent="0.25">
      <c r="A73" s="1"/>
      <c r="B73" s="254"/>
      <c r="C73" s="254"/>
      <c r="Q73" s="12">
        <v>15</v>
      </c>
      <c r="R73" s="1">
        <v>2</v>
      </c>
      <c r="S73" s="1">
        <v>0</v>
      </c>
    </row>
    <row r="74" spans="1:19" x14ac:dyDescent="0.25">
      <c r="A74" s="1"/>
      <c r="B74" s="254"/>
      <c r="C74" s="254"/>
      <c r="Q74" s="12">
        <v>15</v>
      </c>
      <c r="R74" s="1">
        <v>3</v>
      </c>
      <c r="S74" s="1">
        <v>0</v>
      </c>
    </row>
    <row r="75" spans="1:19" x14ac:dyDescent="0.25">
      <c r="A75" s="1"/>
      <c r="B75" s="254"/>
      <c r="C75" s="254"/>
      <c r="Q75" s="12">
        <v>15</v>
      </c>
      <c r="R75" s="1">
        <v>4</v>
      </c>
      <c r="S75" s="1">
        <v>0</v>
      </c>
    </row>
    <row r="76" spans="1:19" x14ac:dyDescent="0.25">
      <c r="A76" s="1"/>
      <c r="B76" s="254"/>
      <c r="C76" s="254"/>
      <c r="Q76" s="12">
        <v>15</v>
      </c>
      <c r="R76" s="1">
        <v>5</v>
      </c>
      <c r="S76" s="1">
        <v>0</v>
      </c>
    </row>
    <row r="77" spans="1:19" x14ac:dyDescent="0.25">
      <c r="Q77" s="12">
        <v>16</v>
      </c>
      <c r="R77" s="1">
        <v>1</v>
      </c>
      <c r="S77" s="1">
        <f>COUNTIFS('Approach Classification'!$AG$3:$AG$72,"Yes",'Approach Classification'!$DF$3:$DF$72,"Yes")</f>
        <v>21</v>
      </c>
    </row>
    <row r="78" spans="1:19" x14ac:dyDescent="0.25">
      <c r="Q78" s="12">
        <v>16</v>
      </c>
      <c r="R78" s="1">
        <v>2</v>
      </c>
      <c r="S78" s="1">
        <f>COUNTIFS('Approach Classification'!$AG$3:$AG$72,"Yes",'Approach Classification'!$DG$3:$DG$72,"Yes")</f>
        <v>7</v>
      </c>
    </row>
    <row r="79" spans="1:19" x14ac:dyDescent="0.25">
      <c r="Q79" s="12">
        <v>16</v>
      </c>
      <c r="R79" s="1">
        <v>3</v>
      </c>
      <c r="S79" s="1">
        <f>COUNTIFS('Approach Classification'!$AG$3:$AG$72,"Yes",'Approach Classification'!$DH$3:$DH$72,"Yes")</f>
        <v>25</v>
      </c>
    </row>
    <row r="80" spans="1:19" x14ac:dyDescent="0.25">
      <c r="Q80" s="12">
        <v>16</v>
      </c>
      <c r="R80" s="1">
        <v>4</v>
      </c>
      <c r="S80" s="1">
        <f>COUNTIFS('Approach Classification'!$AG$3:$AG$72,"Yes",'Approach Classification'!$DI$3:$DI$72,"Yes")</f>
        <v>11</v>
      </c>
    </row>
    <row r="81" spans="17:19" x14ac:dyDescent="0.25">
      <c r="Q81" s="12">
        <v>16</v>
      </c>
      <c r="R81" s="1">
        <v>5</v>
      </c>
      <c r="S81" s="1">
        <f>COUNTIFS('Approach Classification'!$AG$3:$AG$72,"Yes",'Approach Classification'!$DJ$3:$DJ$72,"Yes")</f>
        <v>23</v>
      </c>
    </row>
    <row r="82" spans="17:19" x14ac:dyDescent="0.25">
      <c r="Q82" s="1">
        <v>17</v>
      </c>
      <c r="R82" s="1">
        <v>1</v>
      </c>
      <c r="S82" s="1">
        <f>COUNTIFS('Approach Classification'!$AH$3:$AH$72,"Yes",'Approach Classification'!$DF$3:$DF$72,"Yes")</f>
        <v>19</v>
      </c>
    </row>
    <row r="83" spans="17:19" x14ac:dyDescent="0.25">
      <c r="Q83" s="1">
        <v>17</v>
      </c>
      <c r="R83" s="1">
        <v>2</v>
      </c>
      <c r="S83" s="1">
        <f>COUNTIFS('Approach Classification'!$AH$3:$AH$72,"Yes",'Approach Classification'!$DG$3:$DG$72,"Yes")</f>
        <v>9</v>
      </c>
    </row>
    <row r="84" spans="17:19" x14ac:dyDescent="0.25">
      <c r="Q84" s="1">
        <v>17</v>
      </c>
      <c r="R84" s="1">
        <v>3</v>
      </c>
      <c r="S84" s="1">
        <f>COUNTIFS('Approach Classification'!$AH$3:$AH$72,"Yes",'Approach Classification'!$DH$3:$DH$72,"Yes")</f>
        <v>30</v>
      </c>
    </row>
    <row r="85" spans="17:19" x14ac:dyDescent="0.25">
      <c r="Q85" s="1">
        <v>17</v>
      </c>
      <c r="R85" s="1">
        <v>4</v>
      </c>
      <c r="S85" s="1">
        <f>COUNTIFS('Approach Classification'!$AH$3:$AH$72,"Yes",'Approach Classification'!$DI$3:$DI$72,"Yes")</f>
        <v>19</v>
      </c>
    </row>
    <row r="86" spans="17:19" x14ac:dyDescent="0.25">
      <c r="Q86" s="1">
        <v>17</v>
      </c>
      <c r="R86" s="1">
        <v>5</v>
      </c>
      <c r="S86" s="1">
        <f>COUNTIFS('Approach Classification'!$AH$3:$AH$72,"Yes",'Approach Classification'!$DJ$3:$DJ$72,"Yes")</f>
        <v>23</v>
      </c>
    </row>
    <row r="87" spans="17:19" x14ac:dyDescent="0.25">
      <c r="Q87" s="1">
        <v>18</v>
      </c>
      <c r="R87" s="1">
        <v>1</v>
      </c>
      <c r="S87" s="1">
        <f>COUNTIFS('Approach Classification'!$AI$3:$AI$72,"Yes",'Approach Classification'!$DF$3:$DF$72,"Yes")</f>
        <v>2</v>
      </c>
    </row>
    <row r="88" spans="17:19" x14ac:dyDescent="0.25">
      <c r="Q88" s="1">
        <v>18</v>
      </c>
      <c r="R88" s="1">
        <v>2</v>
      </c>
      <c r="S88" s="1">
        <f>COUNTIFS('Approach Classification'!$AI$3:$AI$72,"Yes",'Approach Classification'!$DG$3:$DG$72,"Yes")</f>
        <v>1</v>
      </c>
    </row>
    <row r="89" spans="17:19" x14ac:dyDescent="0.25">
      <c r="Q89" s="1">
        <v>18</v>
      </c>
      <c r="R89" s="1">
        <v>3</v>
      </c>
      <c r="S89" s="1">
        <f>COUNTIFS('Approach Classification'!$AI$3:$AI$72,"Yes",'Approach Classification'!$DH$3:$DH$72,"Yes")</f>
        <v>4</v>
      </c>
    </row>
    <row r="90" spans="17:19" x14ac:dyDescent="0.25">
      <c r="Q90" s="1">
        <v>18</v>
      </c>
      <c r="R90" s="1">
        <v>4</v>
      </c>
      <c r="S90" s="1">
        <f>COUNTIFS('Approach Classification'!$AI$3:$AI$72,"Yes",'Approach Classification'!$DI$3:$DI$72,"Yes")</f>
        <v>3</v>
      </c>
    </row>
    <row r="91" spans="17:19" x14ac:dyDescent="0.25">
      <c r="Q91" s="1">
        <v>18</v>
      </c>
      <c r="R91" s="1">
        <v>5</v>
      </c>
      <c r="S91" s="1">
        <f>COUNTIFS('Approach Classification'!$AI$3:$AI$72,"Yes",'Approach Classification'!$DJ$3:$DJ$72,"Yes")</f>
        <v>3</v>
      </c>
    </row>
    <row r="92" spans="17:19" x14ac:dyDescent="0.25">
      <c r="Q92" s="1">
        <v>19</v>
      </c>
      <c r="R92" s="1">
        <v>1</v>
      </c>
      <c r="S92" s="1">
        <v>0</v>
      </c>
    </row>
    <row r="93" spans="17:19" x14ac:dyDescent="0.25">
      <c r="Q93" s="1">
        <v>19</v>
      </c>
      <c r="R93" s="1">
        <v>2</v>
      </c>
      <c r="S93" s="1">
        <v>0</v>
      </c>
    </row>
    <row r="94" spans="17:19" x14ac:dyDescent="0.25">
      <c r="Q94" s="1">
        <v>19</v>
      </c>
      <c r="R94" s="1">
        <v>3</v>
      </c>
      <c r="S94" s="1">
        <v>0</v>
      </c>
    </row>
    <row r="95" spans="17:19" x14ac:dyDescent="0.25">
      <c r="Q95" s="1">
        <v>19</v>
      </c>
      <c r="R95" s="1">
        <v>4</v>
      </c>
      <c r="S95" s="1">
        <v>0</v>
      </c>
    </row>
    <row r="96" spans="17:19" x14ac:dyDescent="0.25">
      <c r="Q96" s="1">
        <v>19</v>
      </c>
      <c r="R96" s="1">
        <v>5</v>
      </c>
      <c r="S96" s="1">
        <v>0</v>
      </c>
    </row>
    <row r="97" spans="17:19" x14ac:dyDescent="0.25">
      <c r="Q97" s="1">
        <v>20</v>
      </c>
      <c r="R97" s="1">
        <v>1</v>
      </c>
      <c r="S97" s="1">
        <f>COUNTIFS('Approach Classification'!$AR$3:$AR$72,"Yes",'Approach Classification'!$DF$3:$DF$72,"Yes")</f>
        <v>3</v>
      </c>
    </row>
    <row r="98" spans="17:19" x14ac:dyDescent="0.25">
      <c r="Q98" s="1">
        <v>20</v>
      </c>
      <c r="R98" s="1">
        <v>2</v>
      </c>
      <c r="S98" s="1">
        <f>COUNTIFS('Approach Classification'!$AR$3:$AR$72,"Yes",'Approach Classification'!$DG$3:$DG$72,"Yes")</f>
        <v>5</v>
      </c>
    </row>
    <row r="99" spans="17:19" x14ac:dyDescent="0.25">
      <c r="Q99" s="1">
        <v>20</v>
      </c>
      <c r="R99" s="1">
        <v>3</v>
      </c>
      <c r="S99" s="1">
        <f>COUNTIFS('Approach Classification'!$AR$3:$AR$72,"Yes",'Approach Classification'!$DH$3:$DH$72,"Yes")</f>
        <v>4</v>
      </c>
    </row>
    <row r="100" spans="17:19" x14ac:dyDescent="0.25">
      <c r="Q100" s="1">
        <v>20</v>
      </c>
      <c r="R100" s="1">
        <v>4</v>
      </c>
      <c r="S100" s="1">
        <f>COUNTIFS('Approach Classification'!$AR$3:$AR$72,"Yes",'Approach Classification'!$DI$3:$DI$72,"Yes")</f>
        <v>2</v>
      </c>
    </row>
    <row r="101" spans="17:19" x14ac:dyDescent="0.25">
      <c r="Q101" s="1">
        <v>20</v>
      </c>
      <c r="R101" s="1">
        <v>5</v>
      </c>
      <c r="S101" s="1">
        <f>COUNTIFS('Approach Classification'!$AR$3:$AR$72,"Yes",'Approach Classification'!$DJ$3:$DJ$72,"Yes")</f>
        <v>3</v>
      </c>
    </row>
    <row r="102" spans="17:19" x14ac:dyDescent="0.25">
      <c r="Q102" s="1">
        <v>21</v>
      </c>
      <c r="R102" s="1">
        <v>1</v>
      </c>
      <c r="S102" s="1">
        <f>COUNTIFS('Approach Classification'!$AS$3:$AS$72,"Yes",'Approach Classification'!$DF$3:$DF$72,"Yes")</f>
        <v>18</v>
      </c>
    </row>
    <row r="103" spans="17:19" x14ac:dyDescent="0.25">
      <c r="Q103" s="1">
        <v>21</v>
      </c>
      <c r="R103" s="1">
        <v>2</v>
      </c>
      <c r="S103" s="1">
        <f>COUNTIFS('Approach Classification'!$AS$3:$AS$72,"Yes",'Approach Classification'!$DG$3:$DG$72,"Yes")</f>
        <v>5</v>
      </c>
    </row>
    <row r="104" spans="17:19" x14ac:dyDescent="0.25">
      <c r="Q104" s="1">
        <v>21</v>
      </c>
      <c r="R104" s="1">
        <v>3</v>
      </c>
      <c r="S104" s="1">
        <f>COUNTIFS('Approach Classification'!$AS$3:$AS$72,"Yes",'Approach Classification'!$DH$3:$DH$72,"Yes")</f>
        <v>25</v>
      </c>
    </row>
    <row r="105" spans="17:19" x14ac:dyDescent="0.25">
      <c r="Q105" s="1">
        <v>21</v>
      </c>
      <c r="R105" s="1">
        <v>4</v>
      </c>
      <c r="S105" s="1">
        <f>COUNTIFS('Approach Classification'!$AS$3:$AS$72,"Yes",'Approach Classification'!$DI$3:$DI$72,"Yes")</f>
        <v>14</v>
      </c>
    </row>
    <row r="106" spans="17:19" x14ac:dyDescent="0.25">
      <c r="Q106" s="1">
        <v>21</v>
      </c>
      <c r="R106" s="1">
        <v>5</v>
      </c>
      <c r="S106" s="1">
        <f>COUNTIFS('Approach Classification'!$AS$3:$AS$72,"Yes",'Approach Classification'!$DJ$3:$DJ$72,"Yes")</f>
        <v>19</v>
      </c>
    </row>
    <row r="107" spans="17:19" x14ac:dyDescent="0.25">
      <c r="Q107" s="1">
        <v>22</v>
      </c>
      <c r="R107" s="1">
        <v>1</v>
      </c>
      <c r="S107" s="1">
        <f>COUNTIFS('Approach Classification'!$AT$3:$AT$72,"Yes",'Approach Classification'!$DF$3:$DF$72,"Yes")</f>
        <v>20</v>
      </c>
    </row>
    <row r="108" spans="17:19" x14ac:dyDescent="0.25">
      <c r="Q108" s="1">
        <v>22</v>
      </c>
      <c r="R108" s="1">
        <v>2</v>
      </c>
      <c r="S108" s="1">
        <f>COUNTIFS('Approach Classification'!$AT$3:$AT$72,"Yes",'Approach Classification'!$DG$3:$DG$72,"Yes")</f>
        <v>5</v>
      </c>
    </row>
    <row r="109" spans="17:19" x14ac:dyDescent="0.25">
      <c r="Q109" s="1">
        <v>22</v>
      </c>
      <c r="R109" s="1">
        <v>3</v>
      </c>
      <c r="S109" s="1">
        <f>COUNTIFS('Approach Classification'!$AT$3:$AT$72,"Yes",'Approach Classification'!$DH$3:$DH$72,"Yes")</f>
        <v>28</v>
      </c>
    </row>
    <row r="110" spans="17:19" x14ac:dyDescent="0.25">
      <c r="Q110" s="1">
        <v>22</v>
      </c>
      <c r="R110" s="1">
        <v>4</v>
      </c>
      <c r="S110" s="1">
        <f>COUNTIFS('Approach Classification'!$AT$3:$AT$72,"Yes",'Approach Classification'!$DI$3:$DI$72,"Yes")</f>
        <v>16</v>
      </c>
    </row>
    <row r="111" spans="17:19" x14ac:dyDescent="0.25">
      <c r="Q111" s="1">
        <v>22</v>
      </c>
      <c r="R111" s="1">
        <v>5</v>
      </c>
      <c r="S111" s="1">
        <f>COUNTIFS('Approach Classification'!$AT$3:$AT$72,"Yes",'Approach Classification'!$DJ$3:$DJ$72,"Yes")</f>
        <v>25</v>
      </c>
    </row>
    <row r="112" spans="17:19" x14ac:dyDescent="0.25">
      <c r="Q112" s="1">
        <v>23</v>
      </c>
      <c r="R112" s="1">
        <v>1</v>
      </c>
      <c r="S112" s="1">
        <v>0</v>
      </c>
    </row>
    <row r="113" spans="17:19" x14ac:dyDescent="0.25">
      <c r="Q113" s="1">
        <v>23</v>
      </c>
      <c r="R113" s="1">
        <v>2</v>
      </c>
      <c r="S113" s="1">
        <v>0</v>
      </c>
    </row>
    <row r="114" spans="17:19" x14ac:dyDescent="0.25">
      <c r="Q114" s="1">
        <v>23</v>
      </c>
      <c r="R114" s="1">
        <v>3</v>
      </c>
      <c r="S114" s="1">
        <v>0</v>
      </c>
    </row>
    <row r="115" spans="17:19" x14ac:dyDescent="0.25">
      <c r="Q115" s="1">
        <v>23</v>
      </c>
      <c r="R115" s="1">
        <v>4</v>
      </c>
      <c r="S115" s="1">
        <v>0</v>
      </c>
    </row>
    <row r="116" spans="17:19" x14ac:dyDescent="0.25">
      <c r="Q116" s="1">
        <v>23</v>
      </c>
      <c r="R116" s="1">
        <v>5</v>
      </c>
      <c r="S116" s="1">
        <v>0</v>
      </c>
    </row>
    <row r="117" spans="17:19" x14ac:dyDescent="0.25">
      <c r="Q117" s="1">
        <v>24</v>
      </c>
      <c r="R117" s="1">
        <v>1</v>
      </c>
      <c r="S117" s="1">
        <f>COUNTIFS('Approach Classification'!$R$3:$R$72,"Yes",'Approach Classification'!$DF$3:$DF$72,"Yes")</f>
        <v>11</v>
      </c>
    </row>
    <row r="118" spans="17:19" x14ac:dyDescent="0.25">
      <c r="Q118" s="1">
        <v>24</v>
      </c>
      <c r="R118" s="1">
        <v>2</v>
      </c>
      <c r="S118" s="1">
        <f>COUNTIFS('Approach Classification'!$R$3:$R$72,"Yes",'Approach Classification'!$DG$3:$DG$72,"Yes")</f>
        <v>2</v>
      </c>
    </row>
    <row r="119" spans="17:19" x14ac:dyDescent="0.25">
      <c r="Q119" s="1">
        <v>24</v>
      </c>
      <c r="R119" s="1">
        <v>3</v>
      </c>
      <c r="S119" s="1">
        <f>COUNTIFS('Approach Classification'!$R$3:$R$72,"Yes",'Approach Classification'!$DH$3:$DH$72,"Yes")</f>
        <v>12</v>
      </c>
    </row>
    <row r="120" spans="17:19" x14ac:dyDescent="0.25">
      <c r="Q120" s="1">
        <v>24</v>
      </c>
      <c r="R120" s="1">
        <v>4</v>
      </c>
      <c r="S120" s="1">
        <f>COUNTIFS('Approach Classification'!$R$3:$R$72,"Yes",'Approach Classification'!$DI$3:$DI$72,"Yes")</f>
        <v>10</v>
      </c>
    </row>
    <row r="121" spans="17:19" x14ac:dyDescent="0.25">
      <c r="Q121" s="1">
        <v>24</v>
      </c>
      <c r="R121" s="1">
        <v>5</v>
      </c>
      <c r="S121" s="1">
        <f>COUNTIFS('Approach Classification'!$R$3:$R$72,"Yes",'Approach Classification'!$DJ$3:$DJ$72,"Yes")</f>
        <v>10</v>
      </c>
    </row>
  </sheetData>
  <autoFilter ref="Q1:S121" xr:uid="{64FFEB62-F7A5-4F89-B783-04F54F552821}"/>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B3E4-3146-48A9-A5FF-0CF710C0FAF6}">
  <dimension ref="A1:E7"/>
  <sheetViews>
    <sheetView zoomScale="130" zoomScaleNormal="130" workbookViewId="0">
      <selection activeCell="F16" sqref="F16"/>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2563</v>
      </c>
      <c r="B2" s="167" t="s">
        <v>2670</v>
      </c>
      <c r="C2" s="176" t="s">
        <v>2666</v>
      </c>
    </row>
    <row r="3" spans="1:5" x14ac:dyDescent="0.25">
      <c r="A3" s="169" t="s">
        <v>1860</v>
      </c>
      <c r="B3" s="199">
        <f>COUNTIF('Approach Classification'!AY3:AY72,"Yes")</f>
        <v>18</v>
      </c>
      <c r="C3" s="212">
        <f>B3/E1</f>
        <v>0.2608695652173913</v>
      </c>
    </row>
    <row r="4" spans="1:5" x14ac:dyDescent="0.25">
      <c r="A4" s="168" t="s">
        <v>3122</v>
      </c>
      <c r="B4" s="199">
        <f>COUNTIF('Approach Classification'!AZ3:AZ72,"Yes")</f>
        <v>10</v>
      </c>
      <c r="C4" s="212">
        <f>B4/E1</f>
        <v>0.14492753623188406</v>
      </c>
    </row>
    <row r="5" spans="1:5" s="314" customFormat="1" x14ac:dyDescent="0.25">
      <c r="A5" s="168" t="s">
        <v>3123</v>
      </c>
      <c r="B5" s="314">
        <f>COUNTIF('Approach Classification'!BA3:BA72,"Yes")</f>
        <v>17</v>
      </c>
      <c r="C5" s="212">
        <f>B5/E1</f>
        <v>0.24637681159420291</v>
      </c>
    </row>
    <row r="6" spans="1:5" x14ac:dyDescent="0.25">
      <c r="A6" s="170" t="s">
        <v>3763</v>
      </c>
      <c r="B6" s="199">
        <f>COUNTIF('Approach Classification'!BB3:BB72,"Yes")</f>
        <v>25</v>
      </c>
      <c r="C6" s="212">
        <f>B6/E1</f>
        <v>0.36231884057971014</v>
      </c>
    </row>
    <row r="7" spans="1:5" x14ac:dyDescent="0.25">
      <c r="A7" s="170" t="s">
        <v>2831</v>
      </c>
      <c r="B7" s="199">
        <f>COUNTIF('Approach Classification'!BC3:BC72,"Not Supported")</f>
        <v>3</v>
      </c>
      <c r="C7" s="212">
        <f>B7/E1</f>
        <v>4.3478260869565216E-2</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493AF-1CA3-42B3-AC83-E23B892F868C}">
  <dimension ref="A1:E8"/>
  <sheetViews>
    <sheetView zoomScale="130" zoomScaleNormal="130" workbookViewId="0">
      <selection activeCell="F20" sqref="F20"/>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1663</v>
      </c>
      <c r="B2" s="167" t="s">
        <v>2670</v>
      </c>
      <c r="C2" s="176" t="s">
        <v>2666</v>
      </c>
    </row>
    <row r="3" spans="1:5" x14ac:dyDescent="0.25">
      <c r="A3" s="169" t="s">
        <v>2001</v>
      </c>
      <c r="B3" s="199">
        <f>COUNTIF('Approach Classification'!BD3:BD72,"Yes")</f>
        <v>5</v>
      </c>
      <c r="C3" s="212">
        <f>B3/E1</f>
        <v>7.2463768115942032E-2</v>
      </c>
    </row>
    <row r="4" spans="1:5" s="298" customFormat="1" x14ac:dyDescent="0.25">
      <c r="A4" s="292" t="s">
        <v>2632</v>
      </c>
      <c r="B4" s="298">
        <f>COUNTIF('Approach Classification'!BH3:BH72,"Yes")</f>
        <v>5</v>
      </c>
      <c r="C4" s="212">
        <f>B4/E1</f>
        <v>7.2463768115942032E-2</v>
      </c>
    </row>
    <row r="5" spans="1:5" s="298" customFormat="1" x14ac:dyDescent="0.25">
      <c r="A5" s="292" t="s">
        <v>2661</v>
      </c>
      <c r="B5" s="298">
        <f>COUNTIF('Approach Classification'!BG3:BG72,"Yes")</f>
        <v>2</v>
      </c>
      <c r="C5" s="212">
        <f>B5/E1</f>
        <v>2.8985507246376812E-2</v>
      </c>
    </row>
    <row r="6" spans="1:5" x14ac:dyDescent="0.25">
      <c r="A6" s="291" t="s">
        <v>3739</v>
      </c>
      <c r="B6" s="199">
        <f>COUNTIF('Approach Classification'!BF3:BF72,"Yes")</f>
        <v>2</v>
      </c>
      <c r="C6" s="212">
        <f>B6/E1</f>
        <v>2.8985507246376812E-2</v>
      </c>
    </row>
    <row r="7" spans="1:5" x14ac:dyDescent="0.25">
      <c r="A7" s="293" t="s">
        <v>3678</v>
      </c>
      <c r="B7" s="199">
        <f>COUNTIF('Approach Classification'!BE3:BE72,"Yes")</f>
        <v>2</v>
      </c>
      <c r="C7" s="212">
        <f>B7/E1</f>
        <v>2.8985507246376812E-2</v>
      </c>
    </row>
    <row r="8" spans="1:5" x14ac:dyDescent="0.25">
      <c r="A8" s="170" t="s">
        <v>2831</v>
      </c>
      <c r="B8" s="199">
        <f>COUNTIF('Approach Classification'!BI3:BI72,"Not Supported")</f>
        <v>54</v>
      </c>
      <c r="C8" s="212">
        <f>B8/E1</f>
        <v>0.78260869565217395</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D3499-5969-491C-943C-A909DDCDCCEF}">
  <dimension ref="A1:E7"/>
  <sheetViews>
    <sheetView zoomScale="130" zoomScaleNormal="130" workbookViewId="0">
      <selection activeCell="L26" sqref="L26"/>
    </sheetView>
  </sheetViews>
  <sheetFormatPr defaultRowHeight="15" x14ac:dyDescent="0.25"/>
  <cols>
    <col min="1" max="1" width="33" style="166" customWidth="1"/>
    <col min="2" max="2" width="9.28515625" style="257" customWidth="1"/>
    <col min="3" max="3" width="7.7109375" style="174" customWidth="1"/>
    <col min="4" max="4" width="10.42578125" style="257" customWidth="1"/>
    <col min="5" max="13" width="9.140625" style="257"/>
    <col min="14" max="14" width="8.7109375" style="257" customWidth="1"/>
    <col min="15" max="16384" width="9.140625" style="257"/>
  </cols>
  <sheetData>
    <row r="1" spans="1:5" x14ac:dyDescent="0.25">
      <c r="D1" s="257" t="s">
        <v>2822</v>
      </c>
      <c r="E1" s="257">
        <v>69</v>
      </c>
    </row>
    <row r="2" spans="1:5" x14ac:dyDescent="0.25">
      <c r="A2" s="167" t="s">
        <v>1666</v>
      </c>
      <c r="B2" s="167" t="s">
        <v>2670</v>
      </c>
      <c r="C2" s="176" t="s">
        <v>2666</v>
      </c>
    </row>
    <row r="3" spans="1:5" x14ac:dyDescent="0.25">
      <c r="A3" s="168" t="s">
        <v>2192</v>
      </c>
      <c r="B3" s="257">
        <f>COUNTIF('Approach Classification'!BJ3:BJ72,"Yes")</f>
        <v>23</v>
      </c>
      <c r="C3" s="212">
        <f>B3/E1</f>
        <v>0.33333333333333331</v>
      </c>
    </row>
    <row r="4" spans="1:5" x14ac:dyDescent="0.25">
      <c r="A4" s="169" t="s">
        <v>2640</v>
      </c>
      <c r="B4" s="257">
        <f>COUNTIF('Approach Classification'!BK3:BK72,"Yes")</f>
        <v>20</v>
      </c>
      <c r="C4" s="212">
        <f>B4/E1</f>
        <v>0.28985507246376813</v>
      </c>
    </row>
    <row r="5" spans="1:5" x14ac:dyDescent="0.25">
      <c r="A5" s="170" t="s">
        <v>2477</v>
      </c>
      <c r="B5" s="257">
        <f>COUNTIF('Approach Classification'!BL3:BL72,"Yes")</f>
        <v>15</v>
      </c>
      <c r="C5" s="212">
        <f>B5/E1</f>
        <v>0.21739130434782608</v>
      </c>
    </row>
    <row r="6" spans="1:5" x14ac:dyDescent="0.25">
      <c r="A6" s="171" t="s">
        <v>2662</v>
      </c>
      <c r="B6" s="257">
        <f>COUNTIF('Approach Classification'!BM3:BM72,"Yes")</f>
        <v>13</v>
      </c>
      <c r="C6" s="212">
        <f>B6/E1</f>
        <v>0.18840579710144928</v>
      </c>
    </row>
    <row r="7" spans="1:5" x14ac:dyDescent="0.25">
      <c r="A7" s="171" t="s">
        <v>2831</v>
      </c>
      <c r="B7" s="257">
        <f>COUNTIF('Approach Classification'!BN3:BN72,"Not Supported")</f>
        <v>12</v>
      </c>
      <c r="C7" s="212">
        <f>B7/E1</f>
        <v>0.17391304347826086</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875C4-E021-44E6-9F12-945A1B69FDB7}">
  <dimension ref="A1:W81"/>
  <sheetViews>
    <sheetView topLeftCell="A10" zoomScale="130" zoomScaleNormal="130" workbookViewId="0">
      <selection activeCell="M23" sqref="M23"/>
    </sheetView>
  </sheetViews>
  <sheetFormatPr defaultRowHeight="15" x14ac:dyDescent="0.25"/>
  <cols>
    <col min="1" max="1" width="17.85546875" customWidth="1"/>
    <col min="2" max="2" width="19.5703125" customWidth="1"/>
    <col min="3" max="3" width="19" customWidth="1"/>
    <col min="14" max="14" width="7.85546875" customWidth="1"/>
    <col min="15" max="15" width="22" customWidth="1"/>
    <col min="16" max="16" width="9.140625" style="31"/>
    <col min="17" max="17" width="11.140625" style="1" customWidth="1"/>
    <col min="18" max="18" width="11.7109375" style="1" customWidth="1"/>
    <col min="19" max="20" width="9.140625" style="1"/>
    <col min="21" max="21" width="20" style="1" customWidth="1"/>
    <col min="22" max="22" width="9.140625" style="31"/>
    <col min="23" max="23" width="19.42578125" customWidth="1"/>
  </cols>
  <sheetData>
    <row r="1" spans="1:23" x14ac:dyDescent="0.25">
      <c r="A1" s="2"/>
      <c r="B1" s="122"/>
      <c r="C1" s="122"/>
      <c r="Q1" s="2" t="s">
        <v>2707</v>
      </c>
      <c r="R1" s="122" t="s">
        <v>2065</v>
      </c>
      <c r="S1" s="122" t="s">
        <v>2708</v>
      </c>
      <c r="T1" s="122"/>
      <c r="U1" s="122"/>
    </row>
    <row r="2" spans="1:23" x14ac:dyDescent="0.25">
      <c r="A2" s="12"/>
      <c r="B2" s="13"/>
      <c r="C2" s="13"/>
      <c r="N2" s="171"/>
      <c r="O2" s="290" t="s">
        <v>2543</v>
      </c>
      <c r="P2" s="31">
        <v>1</v>
      </c>
      <c r="Q2" s="12">
        <v>1</v>
      </c>
      <c r="R2" s="1">
        <v>4</v>
      </c>
      <c r="S2" s="1">
        <f>COUNTIFS('Approach Classification'!$K$3:$K$72,"Yes",'Approach Classification'!$BJ$3:$BJ$72,"Yes")</f>
        <v>20</v>
      </c>
      <c r="U2" s="168" t="s">
        <v>2641</v>
      </c>
      <c r="V2" s="31">
        <v>1</v>
      </c>
      <c r="W2" s="248"/>
    </row>
    <row r="3" spans="1:23" x14ac:dyDescent="0.25">
      <c r="A3" s="12"/>
      <c r="B3" s="13"/>
      <c r="C3" s="13"/>
      <c r="N3" s="168"/>
      <c r="O3" s="291" t="s">
        <v>2623</v>
      </c>
      <c r="P3" s="31">
        <v>2</v>
      </c>
      <c r="Q3" s="12">
        <v>1</v>
      </c>
      <c r="R3" s="1">
        <v>3</v>
      </c>
      <c r="S3" s="1">
        <f>COUNTIFS('Approach Classification'!$K$3:$K$72,"Yes",'Approach Classification'!$BK$3:$BK$72,"Yes")</f>
        <v>19</v>
      </c>
      <c r="U3" s="169" t="s">
        <v>2640</v>
      </c>
      <c r="V3" s="31">
        <v>2</v>
      </c>
      <c r="W3" s="248"/>
    </row>
    <row r="4" spans="1:23" x14ac:dyDescent="0.25">
      <c r="A4" s="12"/>
      <c r="B4" s="13"/>
      <c r="C4" s="13"/>
      <c r="N4" s="169"/>
      <c r="O4" s="169"/>
      <c r="Q4" s="12">
        <v>1</v>
      </c>
      <c r="R4" s="1">
        <v>2</v>
      </c>
      <c r="S4" s="1">
        <f>COUNTIFS('Approach Classification'!$K$3:$K$72,"Yes",'Approach Classification'!$BL$3:$BL$72,"Yes")</f>
        <v>15</v>
      </c>
      <c r="U4" s="170" t="s">
        <v>2477</v>
      </c>
      <c r="V4" s="31">
        <v>3</v>
      </c>
      <c r="W4" s="248"/>
    </row>
    <row r="5" spans="1:23" x14ac:dyDescent="0.25">
      <c r="A5" s="1"/>
      <c r="B5" s="13"/>
      <c r="C5" s="13"/>
      <c r="N5" s="170"/>
      <c r="O5" s="170"/>
      <c r="Q5" s="12">
        <v>1</v>
      </c>
      <c r="R5" s="1">
        <v>1</v>
      </c>
      <c r="S5" s="1">
        <f>COUNTIFS('Approach Classification'!$K$3:$K$72,"Yes",'Approach Classification'!$BM$3:$BM$72,"Yes")</f>
        <v>11</v>
      </c>
      <c r="U5" s="171" t="s">
        <v>2662</v>
      </c>
      <c r="V5" s="31">
        <v>4</v>
      </c>
      <c r="W5" s="248"/>
    </row>
    <row r="6" spans="1:23" x14ac:dyDescent="0.25">
      <c r="A6" s="1"/>
      <c r="B6" s="13"/>
      <c r="C6" s="13"/>
      <c r="N6" s="170"/>
      <c r="O6" s="170"/>
      <c r="Q6" s="12">
        <v>2</v>
      </c>
      <c r="R6" s="1">
        <v>4</v>
      </c>
      <c r="S6" s="1">
        <f>COUNTIFS('Approach Classification'!$M$3:$M$72,"Yes",'Approach Classification'!$BJ$3:$BJ$72,"Yes")</f>
        <v>11</v>
      </c>
      <c r="U6" s="170"/>
      <c r="W6" s="248"/>
    </row>
    <row r="7" spans="1:23" x14ac:dyDescent="0.25">
      <c r="A7" s="1"/>
      <c r="B7" s="13"/>
      <c r="C7" s="13"/>
      <c r="N7" s="170"/>
      <c r="O7" s="170"/>
      <c r="Q7" s="12">
        <v>2</v>
      </c>
      <c r="R7" s="1">
        <v>3</v>
      </c>
      <c r="S7" s="1">
        <f>COUNTIFS('Approach Classification'!$M$3:$M$72,"Yes",'Approach Classification'!$BK$3:$BK$72,"Yes")</f>
        <v>7</v>
      </c>
      <c r="U7" s="170"/>
    </row>
    <row r="8" spans="1:23" x14ac:dyDescent="0.25">
      <c r="A8" s="1"/>
      <c r="B8" s="13"/>
      <c r="C8" s="13"/>
      <c r="Q8" s="12">
        <v>2</v>
      </c>
      <c r="R8" s="1">
        <v>2</v>
      </c>
      <c r="S8" s="1">
        <f>COUNTIFS('Approach Classification'!$M$3:$M$72,"Yes",'Approach Classification'!$BL$3:$BL$72,"Yes")</f>
        <v>7</v>
      </c>
    </row>
    <row r="9" spans="1:23" x14ac:dyDescent="0.25">
      <c r="A9" s="1"/>
      <c r="B9" s="13"/>
      <c r="C9" s="13"/>
      <c r="Q9" s="12">
        <v>2</v>
      </c>
      <c r="R9" s="1">
        <v>1</v>
      </c>
      <c r="S9" s="1">
        <f>COUNTIFS('Approach Classification'!$M$3:$M$72,"Yes",'Approach Classification'!$BM$3:$BM$72,"Yes")</f>
        <v>6</v>
      </c>
    </row>
    <row r="10" spans="1:23" x14ac:dyDescent="0.25">
      <c r="A10" s="1"/>
      <c r="B10" s="13"/>
      <c r="C10" s="13"/>
      <c r="Q10" s="12"/>
    </row>
    <row r="11" spans="1:23" x14ac:dyDescent="0.25">
      <c r="A11" s="1"/>
      <c r="B11" s="13"/>
      <c r="C11" s="13"/>
      <c r="Q11" s="12"/>
    </row>
    <row r="12" spans="1:23" x14ac:dyDescent="0.25">
      <c r="A12" s="1"/>
      <c r="B12" s="13"/>
      <c r="C12" s="13"/>
      <c r="Q12" s="12"/>
    </row>
    <row r="13" spans="1:23" x14ac:dyDescent="0.25">
      <c r="A13" s="1"/>
      <c r="B13" s="13"/>
      <c r="C13" s="13"/>
      <c r="Q13" s="12"/>
    </row>
    <row r="14" spans="1:23" x14ac:dyDescent="0.25">
      <c r="A14" s="1"/>
      <c r="B14" s="13"/>
      <c r="C14" s="13"/>
      <c r="Q14" s="12"/>
    </row>
    <row r="15" spans="1:23" x14ac:dyDescent="0.25">
      <c r="A15" s="1"/>
      <c r="B15" s="13"/>
      <c r="C15" s="13"/>
      <c r="Q15" s="12"/>
    </row>
    <row r="16" spans="1:23" x14ac:dyDescent="0.25">
      <c r="A16" s="1"/>
      <c r="B16" s="13"/>
      <c r="C16" s="13"/>
      <c r="Q16" s="12"/>
    </row>
    <row r="17" spans="1:17" x14ac:dyDescent="0.25">
      <c r="A17" s="1"/>
      <c r="B17" s="13"/>
      <c r="C17" s="13"/>
      <c r="Q17" s="12"/>
    </row>
    <row r="18" spans="1:17" x14ac:dyDescent="0.25">
      <c r="A18" s="1"/>
      <c r="B18" s="302"/>
      <c r="C18" s="302"/>
      <c r="Q18" s="12"/>
    </row>
    <row r="19" spans="1:17" x14ac:dyDescent="0.25">
      <c r="A19" s="1"/>
      <c r="B19" s="13"/>
      <c r="C19" s="13"/>
      <c r="Q19" s="12"/>
    </row>
    <row r="20" spans="1:17" x14ac:dyDescent="0.25">
      <c r="A20" s="1"/>
      <c r="B20" s="13"/>
      <c r="C20" s="13"/>
      <c r="Q20" s="12"/>
    </row>
    <row r="21" spans="1:17" x14ac:dyDescent="0.25">
      <c r="A21" s="1"/>
      <c r="B21" s="13"/>
      <c r="C21" s="13"/>
      <c r="Q21" s="12"/>
    </row>
    <row r="22" spans="1:17" x14ac:dyDescent="0.25">
      <c r="A22" s="1"/>
      <c r="B22" s="13"/>
      <c r="C22" s="13"/>
      <c r="Q22" s="12"/>
    </row>
    <row r="23" spans="1:17" x14ac:dyDescent="0.25">
      <c r="A23" s="1"/>
      <c r="B23" s="13"/>
      <c r="C23" s="13"/>
      <c r="Q23" s="12"/>
    </row>
    <row r="24" spans="1:17" x14ac:dyDescent="0.25">
      <c r="A24" s="1"/>
      <c r="B24" s="13"/>
      <c r="C24" s="13"/>
      <c r="Q24" s="12"/>
    </row>
    <row r="25" spans="1:17" x14ac:dyDescent="0.25">
      <c r="A25" s="1"/>
      <c r="B25" s="13"/>
      <c r="C25" s="13"/>
      <c r="Q25" s="12"/>
    </row>
    <row r="26" spans="1:17" x14ac:dyDescent="0.25">
      <c r="A26" s="1"/>
      <c r="B26" s="13"/>
      <c r="C26" s="13"/>
      <c r="Q26" s="12"/>
    </row>
    <row r="27" spans="1:17" x14ac:dyDescent="0.25">
      <c r="A27" s="1"/>
      <c r="B27" s="13"/>
      <c r="C27" s="13"/>
      <c r="Q27" s="12"/>
    </row>
    <row r="28" spans="1:17" x14ac:dyDescent="0.25">
      <c r="A28" s="1"/>
      <c r="B28" s="13"/>
      <c r="C28" s="13"/>
      <c r="Q28" s="12"/>
    </row>
    <row r="29" spans="1:17" x14ac:dyDescent="0.25">
      <c r="A29" s="1"/>
      <c r="B29" s="13"/>
      <c r="C29" s="13"/>
      <c r="Q29" s="12"/>
    </row>
    <row r="30" spans="1:17" x14ac:dyDescent="0.25">
      <c r="A30" s="1"/>
      <c r="B30" s="13"/>
      <c r="C30" s="13"/>
      <c r="Q30" s="12"/>
    </row>
    <row r="31" spans="1:17" x14ac:dyDescent="0.25">
      <c r="A31" s="1"/>
      <c r="B31" s="302"/>
      <c r="C31" s="302"/>
      <c r="Q31" s="12"/>
    </row>
    <row r="32" spans="1:17" x14ac:dyDescent="0.25">
      <c r="A32" s="1"/>
      <c r="B32" s="302"/>
      <c r="C32" s="302"/>
      <c r="Q32" s="12"/>
    </row>
    <row r="33" spans="1:17" x14ac:dyDescent="0.25">
      <c r="A33" s="1"/>
      <c r="B33" s="302"/>
      <c r="C33" s="302"/>
      <c r="Q33" s="12"/>
    </row>
    <row r="34" spans="1:17" x14ac:dyDescent="0.25">
      <c r="A34" s="1"/>
      <c r="B34" s="302"/>
      <c r="C34" s="302"/>
      <c r="Q34" s="12"/>
    </row>
    <row r="35" spans="1:17" x14ac:dyDescent="0.25">
      <c r="A35" s="1"/>
      <c r="B35" s="302"/>
      <c r="C35" s="302"/>
      <c r="Q35" s="12"/>
    </row>
    <row r="36" spans="1:17" x14ac:dyDescent="0.25">
      <c r="A36" s="1"/>
      <c r="B36" s="302"/>
      <c r="C36" s="302"/>
      <c r="Q36" s="12"/>
    </row>
    <row r="37" spans="1:17" x14ac:dyDescent="0.25">
      <c r="A37" s="1"/>
      <c r="B37" s="302"/>
      <c r="C37" s="302"/>
      <c r="Q37" s="12"/>
    </row>
    <row r="38" spans="1:17" x14ac:dyDescent="0.25">
      <c r="A38" s="1"/>
      <c r="B38" s="302"/>
      <c r="C38" s="302"/>
      <c r="Q38" s="12"/>
    </row>
    <row r="39" spans="1:17" x14ac:dyDescent="0.25">
      <c r="A39" s="1"/>
      <c r="B39" s="302"/>
      <c r="C39" s="302"/>
      <c r="Q39" s="12"/>
    </row>
    <row r="40" spans="1:17" x14ac:dyDescent="0.25">
      <c r="A40" s="1"/>
      <c r="B40" s="302"/>
      <c r="C40" s="302"/>
      <c r="Q40" s="12"/>
    </row>
    <row r="41" spans="1:17" x14ac:dyDescent="0.25">
      <c r="A41" s="1"/>
      <c r="B41" s="302"/>
      <c r="C41" s="302"/>
      <c r="Q41" s="12"/>
    </row>
    <row r="42" spans="1:17" x14ac:dyDescent="0.25">
      <c r="A42" s="1"/>
      <c r="B42" s="302"/>
      <c r="C42" s="302"/>
      <c r="Q42" s="12"/>
    </row>
    <row r="43" spans="1:17" x14ac:dyDescent="0.25">
      <c r="A43" s="1"/>
      <c r="B43" s="302"/>
      <c r="C43" s="302"/>
      <c r="Q43" s="12"/>
    </row>
    <row r="44" spans="1:17" x14ac:dyDescent="0.25">
      <c r="A44" s="1"/>
      <c r="B44" s="302"/>
      <c r="C44" s="302"/>
      <c r="Q44" s="12"/>
    </row>
    <row r="45" spans="1:17" x14ac:dyDescent="0.25">
      <c r="A45" s="1"/>
      <c r="B45" s="302"/>
      <c r="C45" s="302"/>
      <c r="Q45" s="12"/>
    </row>
    <row r="46" spans="1:17" x14ac:dyDescent="0.25">
      <c r="A46" s="1"/>
      <c r="B46" s="302"/>
      <c r="C46" s="302"/>
      <c r="Q46" s="12"/>
    </row>
    <row r="47" spans="1:17" x14ac:dyDescent="0.25">
      <c r="A47" s="1"/>
      <c r="B47" s="302"/>
      <c r="C47" s="302"/>
      <c r="P47" s="255"/>
      <c r="Q47" s="12"/>
    </row>
    <row r="48" spans="1:17" x14ac:dyDescent="0.25">
      <c r="A48" s="1"/>
      <c r="B48" s="302"/>
      <c r="C48" s="302"/>
      <c r="Q48" s="12"/>
    </row>
    <row r="49" spans="1:17" x14ac:dyDescent="0.25">
      <c r="A49" s="1"/>
      <c r="B49" s="302"/>
      <c r="C49" s="302"/>
      <c r="Q49" s="12"/>
    </row>
    <row r="50" spans="1:17" x14ac:dyDescent="0.25">
      <c r="A50" s="1"/>
      <c r="B50" s="302"/>
      <c r="C50" s="302"/>
      <c r="Q50" s="12"/>
    </row>
    <row r="51" spans="1:17" x14ac:dyDescent="0.25">
      <c r="A51" s="1"/>
      <c r="B51" s="302"/>
      <c r="C51" s="302"/>
      <c r="Q51" s="12"/>
    </row>
    <row r="52" spans="1:17" x14ac:dyDescent="0.25">
      <c r="A52" s="1"/>
      <c r="B52" s="302"/>
      <c r="C52" s="302"/>
      <c r="Q52" s="12"/>
    </row>
    <row r="53" spans="1:17" x14ac:dyDescent="0.25">
      <c r="A53" s="1"/>
      <c r="B53" s="302"/>
      <c r="C53" s="302"/>
      <c r="Q53" s="12"/>
    </row>
    <row r="54" spans="1:17" x14ac:dyDescent="0.25">
      <c r="A54" s="1"/>
      <c r="B54" s="302"/>
      <c r="C54" s="302"/>
      <c r="Q54" s="12"/>
    </row>
    <row r="55" spans="1:17" x14ac:dyDescent="0.25">
      <c r="A55" s="1"/>
      <c r="B55" s="302"/>
      <c r="C55" s="302"/>
      <c r="Q55" s="12"/>
    </row>
    <row r="56" spans="1:17" x14ac:dyDescent="0.25">
      <c r="A56" s="1"/>
      <c r="B56" s="302"/>
      <c r="C56" s="302"/>
      <c r="Q56" s="12"/>
    </row>
    <row r="57" spans="1:17" x14ac:dyDescent="0.25">
      <c r="A57" s="1"/>
      <c r="B57" s="302"/>
      <c r="C57" s="302"/>
      <c r="Q57" s="12"/>
    </row>
    <row r="58" spans="1:17" x14ac:dyDescent="0.25">
      <c r="A58" s="1"/>
      <c r="B58" s="302"/>
      <c r="C58" s="302"/>
      <c r="Q58" s="12"/>
    </row>
    <row r="59" spans="1:17" x14ac:dyDescent="0.25">
      <c r="A59" s="1"/>
      <c r="B59" s="302"/>
      <c r="C59" s="302"/>
      <c r="Q59" s="12"/>
    </row>
    <row r="60" spans="1:17" x14ac:dyDescent="0.25">
      <c r="A60" s="1"/>
      <c r="B60" s="302"/>
      <c r="C60" s="302"/>
      <c r="Q60" s="12"/>
    </row>
    <row r="61" spans="1:17" x14ac:dyDescent="0.25">
      <c r="A61" s="1"/>
      <c r="B61" s="302"/>
      <c r="C61" s="302"/>
      <c r="Q61" s="12"/>
    </row>
    <row r="62" spans="1:17" x14ac:dyDescent="0.25">
      <c r="A62" s="1"/>
      <c r="B62" s="302"/>
      <c r="C62" s="302"/>
      <c r="Q62" s="12"/>
    </row>
    <row r="63" spans="1:17" x14ac:dyDescent="0.25">
      <c r="A63" s="1"/>
      <c r="B63" s="302"/>
      <c r="C63" s="302"/>
      <c r="Q63" s="12"/>
    </row>
    <row r="64" spans="1:17" x14ac:dyDescent="0.25">
      <c r="A64" s="1"/>
      <c r="B64" s="302"/>
      <c r="C64" s="302"/>
      <c r="Q64" s="12"/>
    </row>
    <row r="65" spans="1:17" x14ac:dyDescent="0.25">
      <c r="A65" s="1"/>
      <c r="B65" s="302"/>
      <c r="C65" s="302"/>
      <c r="Q65" s="12"/>
    </row>
    <row r="66" spans="1:17" x14ac:dyDescent="0.25">
      <c r="A66" s="1"/>
      <c r="B66" s="302"/>
      <c r="C66" s="302"/>
      <c r="Q66" s="12"/>
    </row>
    <row r="67" spans="1:17" x14ac:dyDescent="0.25">
      <c r="A67" s="1"/>
      <c r="B67" s="302"/>
      <c r="C67" s="302"/>
      <c r="Q67" s="12"/>
    </row>
    <row r="68" spans="1:17" x14ac:dyDescent="0.25">
      <c r="A68" s="1"/>
      <c r="B68" s="302"/>
      <c r="C68" s="302"/>
      <c r="Q68" s="12"/>
    </row>
    <row r="69" spans="1:17" x14ac:dyDescent="0.25">
      <c r="A69" s="1"/>
      <c r="B69" s="302"/>
      <c r="C69" s="302"/>
      <c r="Q69" s="12"/>
    </row>
    <row r="70" spans="1:17" x14ac:dyDescent="0.25">
      <c r="A70" s="1"/>
      <c r="B70" s="302"/>
      <c r="C70" s="302"/>
      <c r="Q70" s="12"/>
    </row>
    <row r="71" spans="1:17" x14ac:dyDescent="0.25">
      <c r="A71" s="1"/>
      <c r="B71" s="302"/>
      <c r="C71" s="302"/>
      <c r="Q71" s="12"/>
    </row>
    <row r="72" spans="1:17" x14ac:dyDescent="0.25">
      <c r="A72" s="1"/>
      <c r="B72" s="302"/>
      <c r="C72" s="302"/>
      <c r="Q72" s="12"/>
    </row>
    <row r="73" spans="1:17" x14ac:dyDescent="0.25">
      <c r="A73" s="1"/>
      <c r="B73" s="302"/>
      <c r="C73" s="302"/>
      <c r="Q73" s="12"/>
    </row>
    <row r="74" spans="1:17" x14ac:dyDescent="0.25">
      <c r="A74" s="1"/>
      <c r="B74" s="302"/>
      <c r="C74" s="302"/>
      <c r="Q74" s="12"/>
    </row>
    <row r="75" spans="1:17" x14ac:dyDescent="0.25">
      <c r="A75" s="1"/>
      <c r="B75" s="302"/>
      <c r="C75" s="302"/>
      <c r="Q75" s="12"/>
    </row>
    <row r="76" spans="1:17" x14ac:dyDescent="0.25">
      <c r="A76" s="1"/>
      <c r="B76" s="302"/>
      <c r="C76" s="302"/>
      <c r="Q76" s="12"/>
    </row>
    <row r="77" spans="1:17" x14ac:dyDescent="0.25">
      <c r="Q77" s="12"/>
    </row>
    <row r="78" spans="1:17" x14ac:dyDescent="0.25">
      <c r="Q78" s="12"/>
    </row>
    <row r="79" spans="1:17" x14ac:dyDescent="0.25">
      <c r="Q79" s="12"/>
    </row>
    <row r="80" spans="1:17" x14ac:dyDescent="0.25">
      <c r="Q80" s="12"/>
    </row>
    <row r="81" spans="17:17" x14ac:dyDescent="0.25">
      <c r="Q81" s="12"/>
    </row>
  </sheetData>
  <autoFilter ref="Q1:S121" xr:uid="{64FFEB62-F7A5-4F89-B783-04F54F552821}"/>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45E4A-0C3F-43EA-932A-E4C3701274DE}">
  <dimension ref="A1:W81"/>
  <sheetViews>
    <sheetView topLeftCell="A8" zoomScale="130" zoomScaleNormal="130" workbookViewId="0">
      <selection activeCell="L20" sqref="L20"/>
    </sheetView>
  </sheetViews>
  <sheetFormatPr defaultRowHeight="15" x14ac:dyDescent="0.25"/>
  <cols>
    <col min="1" max="1" width="17.85546875" customWidth="1"/>
    <col min="2" max="2" width="19.5703125" customWidth="1"/>
    <col min="3" max="3" width="19" customWidth="1"/>
    <col min="14" max="14" width="7.85546875" customWidth="1"/>
    <col min="15" max="15" width="22" customWidth="1"/>
    <col min="16" max="16" width="9.140625" style="31"/>
    <col min="17" max="17" width="11.140625" style="1" customWidth="1"/>
    <col min="18" max="18" width="11.7109375" style="1" customWidth="1"/>
    <col min="19" max="20" width="9.140625" style="1"/>
    <col min="21" max="21" width="20" style="1" customWidth="1"/>
    <col min="22" max="22" width="9.140625" style="31"/>
    <col min="23" max="23" width="19.42578125" customWidth="1"/>
  </cols>
  <sheetData>
    <row r="1" spans="1:23" x14ac:dyDescent="0.25">
      <c r="A1" s="2"/>
      <c r="B1" s="122"/>
      <c r="C1" s="122"/>
      <c r="Q1" s="2" t="s">
        <v>2707</v>
      </c>
      <c r="R1" s="122" t="s">
        <v>2065</v>
      </c>
      <c r="S1" s="122" t="s">
        <v>2708</v>
      </c>
      <c r="T1" s="122"/>
      <c r="U1" s="122"/>
    </row>
    <row r="2" spans="1:23" x14ac:dyDescent="0.25">
      <c r="A2" s="12"/>
      <c r="B2" s="13"/>
      <c r="C2" s="13"/>
      <c r="N2" s="171"/>
      <c r="O2" s="290" t="s">
        <v>2543</v>
      </c>
      <c r="P2" s="31">
        <v>1</v>
      </c>
      <c r="Q2" s="12">
        <v>1</v>
      </c>
      <c r="R2" s="1">
        <v>4</v>
      </c>
      <c r="S2" s="1">
        <f>COUNTIFS('Approach Classification'!$K$3:$K$72,"Yes",'Approach Classification'!$BJ$3:$BJ$72,"Yes")</f>
        <v>20</v>
      </c>
      <c r="U2" s="168" t="s">
        <v>2641</v>
      </c>
      <c r="V2" s="31">
        <v>1</v>
      </c>
      <c r="W2" s="248"/>
    </row>
    <row r="3" spans="1:23" x14ac:dyDescent="0.25">
      <c r="A3" s="12"/>
      <c r="B3" s="13"/>
      <c r="C3" s="13"/>
      <c r="N3" s="168"/>
      <c r="O3" s="291" t="s">
        <v>2623</v>
      </c>
      <c r="P3" s="31">
        <v>2</v>
      </c>
      <c r="Q3" s="12">
        <v>1</v>
      </c>
      <c r="R3" s="1">
        <v>3</v>
      </c>
      <c r="S3" s="1">
        <f>COUNTIFS('Approach Classification'!$K$3:$K$72,"Yes",'Approach Classification'!$BK$3:$BK$72,"Yes")</f>
        <v>19</v>
      </c>
      <c r="U3" s="169" t="s">
        <v>2640</v>
      </c>
      <c r="V3" s="31">
        <v>2</v>
      </c>
      <c r="W3" s="248"/>
    </row>
    <row r="4" spans="1:23" x14ac:dyDescent="0.25">
      <c r="A4" s="12"/>
      <c r="B4" s="13"/>
      <c r="C4" s="13"/>
      <c r="N4" s="169"/>
      <c r="O4" s="169"/>
      <c r="Q4" s="12">
        <v>1</v>
      </c>
      <c r="R4" s="1">
        <v>2</v>
      </c>
      <c r="S4" s="1">
        <f>COUNTIFS('Approach Classification'!$K$3:$K$72,"Yes",'Approach Classification'!$BL$3:$BL$72,"Yes")</f>
        <v>15</v>
      </c>
      <c r="U4" s="170" t="s">
        <v>2477</v>
      </c>
      <c r="V4" s="31">
        <v>3</v>
      </c>
      <c r="W4" s="248"/>
    </row>
    <row r="5" spans="1:23" x14ac:dyDescent="0.25">
      <c r="A5" s="1"/>
      <c r="B5" s="13"/>
      <c r="C5" s="13"/>
      <c r="N5" s="170"/>
      <c r="O5" s="170"/>
      <c r="Q5" s="12">
        <v>1</v>
      </c>
      <c r="R5" s="1">
        <v>1</v>
      </c>
      <c r="S5" s="1">
        <f>COUNTIFS('Approach Classification'!$K$3:$K$72,"Yes",'Approach Classification'!$BM$3:$BM$72,"Yes")</f>
        <v>11</v>
      </c>
      <c r="U5" s="171" t="s">
        <v>2662</v>
      </c>
      <c r="V5" s="31">
        <v>4</v>
      </c>
      <c r="W5" s="248"/>
    </row>
    <row r="6" spans="1:23" x14ac:dyDescent="0.25">
      <c r="A6" s="1"/>
      <c r="B6" s="13"/>
      <c r="C6" s="13"/>
      <c r="N6" s="170"/>
      <c r="O6" s="170"/>
      <c r="Q6" s="12">
        <v>2</v>
      </c>
      <c r="R6" s="1">
        <v>4</v>
      </c>
      <c r="S6" s="1">
        <f>COUNTIFS('Approach Classification'!$N$3:$N$72,"Yes",'Approach Classification'!$BJ$3:$BJ$72,"Yes")</f>
        <v>9</v>
      </c>
      <c r="U6" s="170"/>
      <c r="W6" s="248"/>
    </row>
    <row r="7" spans="1:23" x14ac:dyDescent="0.25">
      <c r="A7" s="1"/>
      <c r="B7" s="13"/>
      <c r="C7" s="13"/>
      <c r="N7" s="170"/>
      <c r="O7" s="170"/>
      <c r="Q7" s="12">
        <v>2</v>
      </c>
      <c r="R7" s="1">
        <v>3</v>
      </c>
      <c r="S7" s="1">
        <f>COUNTIFS('Approach Classification'!$N$3:$N$72,"Yes",'Approach Classification'!$BK$3:$BK$72,"Yes")</f>
        <v>4</v>
      </c>
      <c r="U7" s="170"/>
    </row>
    <row r="8" spans="1:23" x14ac:dyDescent="0.25">
      <c r="A8" s="1"/>
      <c r="B8" s="13"/>
      <c r="C8" s="13"/>
      <c r="Q8" s="12">
        <v>2</v>
      </c>
      <c r="R8" s="1">
        <v>2</v>
      </c>
      <c r="S8" s="1">
        <f>COUNTIFS('Approach Classification'!$N$3:$N$72,"Yes",'Approach Classification'!$BL$3:$BL$72,"Yes")</f>
        <v>7</v>
      </c>
    </row>
    <row r="9" spans="1:23" x14ac:dyDescent="0.25">
      <c r="A9" s="1"/>
      <c r="B9" s="13"/>
      <c r="C9" s="13"/>
      <c r="Q9" s="12">
        <v>2</v>
      </c>
      <c r="R9" s="1">
        <v>1</v>
      </c>
      <c r="S9" s="1">
        <f>COUNTIFS('Approach Classification'!$N$3:$N$72,"Yes",'Approach Classification'!$BM$3:$BM$72,"Yes")</f>
        <v>4</v>
      </c>
    </row>
    <row r="10" spans="1:23" x14ac:dyDescent="0.25">
      <c r="A10" s="1"/>
      <c r="B10" s="13"/>
      <c r="C10" s="13"/>
      <c r="Q10" s="12">
        <v>3</v>
      </c>
      <c r="R10" s="1">
        <v>4</v>
      </c>
      <c r="S10" s="1">
        <f>COUNTIFS('Approach Classification'!$O$3:$O$72,"Yes",'Approach Classification'!$BJ$3:$BJ$72,"Yes")</f>
        <v>3</v>
      </c>
    </row>
    <row r="11" spans="1:23" x14ac:dyDescent="0.25">
      <c r="A11" s="1"/>
      <c r="B11" s="13"/>
      <c r="C11" s="13"/>
      <c r="Q11" s="12">
        <v>3</v>
      </c>
      <c r="R11" s="1">
        <v>3</v>
      </c>
      <c r="S11" s="1">
        <f>COUNTIFS('Approach Classification'!$O$3:$O$72,"Yes",'Approach Classification'!$BL$3:$BL$72,"Yes")</f>
        <v>1</v>
      </c>
    </row>
    <row r="12" spans="1:23" x14ac:dyDescent="0.25">
      <c r="A12" s="1"/>
      <c r="B12" s="13"/>
      <c r="C12" s="13"/>
      <c r="Q12" s="12">
        <v>3</v>
      </c>
      <c r="R12" s="1">
        <v>2</v>
      </c>
      <c r="S12" s="1">
        <f>COUNTIFS('Approach Classification'!$O$3:$O$72,"Yes",'Approach Classification'!$BL$3:$BL$72,"Yes")</f>
        <v>1</v>
      </c>
    </row>
    <row r="13" spans="1:23" x14ac:dyDescent="0.25">
      <c r="A13" s="1"/>
      <c r="B13" s="13"/>
      <c r="C13" s="13"/>
      <c r="Q13" s="12">
        <v>3</v>
      </c>
      <c r="R13" s="1">
        <v>1</v>
      </c>
      <c r="S13" s="1">
        <f>COUNTIFS('Approach Classification'!$O$3:$O$72,"Yes",'Approach Classification'!$BM$3:$BM$72,"Yes")</f>
        <v>1</v>
      </c>
    </row>
    <row r="14" spans="1:23" x14ac:dyDescent="0.25">
      <c r="A14" s="1"/>
      <c r="B14" s="13"/>
      <c r="C14" s="13"/>
      <c r="Q14" s="12">
        <v>4</v>
      </c>
      <c r="R14" s="1">
        <v>4</v>
      </c>
      <c r="S14" s="1">
        <f>COUNTIFS('Approach Classification'!$P$3:$P$72,"Yes",'Approach Classification'!$BJ$3:$BJ$72,"Yes")</f>
        <v>2</v>
      </c>
    </row>
    <row r="15" spans="1:23" x14ac:dyDescent="0.25">
      <c r="A15" s="1"/>
      <c r="B15" s="13"/>
      <c r="C15" s="13"/>
      <c r="Q15" s="12">
        <v>4</v>
      </c>
      <c r="R15" s="1">
        <v>3</v>
      </c>
      <c r="S15" s="1">
        <f>COUNTIFS('Approach Classification'!$P$3:$P$72,"Yes",'Approach Classification'!$BL$3:$BL$72,"Yes")</f>
        <v>2</v>
      </c>
    </row>
    <row r="16" spans="1:23" x14ac:dyDescent="0.25">
      <c r="A16" s="1"/>
      <c r="B16" s="13"/>
      <c r="C16" s="13"/>
      <c r="Q16" s="12">
        <v>4</v>
      </c>
      <c r="R16" s="1">
        <v>2</v>
      </c>
      <c r="S16" s="1">
        <f>COUNTIFS('Approach Classification'!$P$3:$P$72,"Yes",'Approach Classification'!$BL$3:$BL$72,"Yes")</f>
        <v>2</v>
      </c>
    </row>
    <row r="17" spans="1:19" x14ac:dyDescent="0.25">
      <c r="A17" s="1"/>
      <c r="B17" s="13"/>
      <c r="C17" s="13"/>
      <c r="Q17" s="12">
        <v>4</v>
      </c>
      <c r="R17" s="1">
        <v>1</v>
      </c>
      <c r="S17" s="1">
        <f>COUNTIFS('Approach Classification'!$P$3:$P$72,"Yes",'Approach Classification'!$BM$3:$BM$72,"Yes")</f>
        <v>2</v>
      </c>
    </row>
    <row r="18" spans="1:19" x14ac:dyDescent="0.25">
      <c r="A18" s="1"/>
      <c r="B18" s="314"/>
      <c r="C18" s="314"/>
      <c r="Q18" s="12"/>
    </row>
    <row r="19" spans="1:19" x14ac:dyDescent="0.25">
      <c r="A19" s="1"/>
      <c r="B19" s="13"/>
      <c r="C19" s="13"/>
      <c r="Q19" s="12"/>
    </row>
    <row r="20" spans="1:19" x14ac:dyDescent="0.25">
      <c r="A20" s="1"/>
      <c r="B20" s="13"/>
      <c r="C20" s="13"/>
      <c r="Q20" s="12"/>
    </row>
    <row r="21" spans="1:19" x14ac:dyDescent="0.25">
      <c r="A21" s="1"/>
      <c r="B21" s="13"/>
      <c r="C21" s="13"/>
      <c r="Q21" s="12"/>
    </row>
    <row r="22" spans="1:19" x14ac:dyDescent="0.25">
      <c r="A22" s="1"/>
      <c r="B22" s="13"/>
      <c r="C22" s="13"/>
      <c r="Q22" s="12"/>
    </row>
    <row r="23" spans="1:19" x14ac:dyDescent="0.25">
      <c r="A23" s="1"/>
      <c r="B23" s="13"/>
      <c r="C23" s="13"/>
      <c r="Q23" s="12"/>
    </row>
    <row r="24" spans="1:19" x14ac:dyDescent="0.25">
      <c r="A24" s="1"/>
      <c r="B24" s="13"/>
      <c r="C24" s="13"/>
      <c r="Q24" s="12"/>
    </row>
    <row r="25" spans="1:19" x14ac:dyDescent="0.25">
      <c r="A25" s="1"/>
      <c r="B25" s="13"/>
      <c r="C25" s="13"/>
      <c r="Q25" s="12"/>
    </row>
    <row r="26" spans="1:19" x14ac:dyDescent="0.25">
      <c r="A26" s="1"/>
      <c r="B26" s="13"/>
      <c r="C26" s="13"/>
      <c r="Q26" s="12"/>
    </row>
    <row r="27" spans="1:19" x14ac:dyDescent="0.25">
      <c r="A27" s="1"/>
      <c r="B27" s="13"/>
      <c r="C27" s="13"/>
      <c r="Q27" s="12"/>
    </row>
    <row r="28" spans="1:19" x14ac:dyDescent="0.25">
      <c r="A28" s="1"/>
      <c r="B28" s="13"/>
      <c r="C28" s="13"/>
      <c r="Q28" s="12"/>
    </row>
    <row r="29" spans="1:19" x14ac:dyDescent="0.25">
      <c r="A29" s="1"/>
      <c r="B29" s="13"/>
      <c r="C29" s="13"/>
      <c r="Q29" s="12"/>
    </row>
    <row r="30" spans="1:19" x14ac:dyDescent="0.25">
      <c r="A30" s="1"/>
      <c r="B30" s="13"/>
      <c r="C30" s="13"/>
      <c r="Q30" s="12"/>
    </row>
    <row r="31" spans="1:19" x14ac:dyDescent="0.25">
      <c r="A31" s="1"/>
      <c r="B31" s="314"/>
      <c r="C31" s="314"/>
      <c r="Q31" s="12"/>
    </row>
    <row r="32" spans="1:19" x14ac:dyDescent="0.25">
      <c r="A32" s="1"/>
      <c r="B32" s="314"/>
      <c r="C32" s="314"/>
      <c r="Q32" s="12"/>
    </row>
    <row r="33" spans="1:17" x14ac:dyDescent="0.25">
      <c r="A33" s="1"/>
      <c r="B33" s="314"/>
      <c r="C33" s="314"/>
      <c r="Q33" s="12"/>
    </row>
    <row r="34" spans="1:17" x14ac:dyDescent="0.25">
      <c r="A34" s="1"/>
      <c r="B34" s="314"/>
      <c r="C34" s="314"/>
      <c r="Q34" s="12"/>
    </row>
    <row r="35" spans="1:17" x14ac:dyDescent="0.25">
      <c r="A35" s="1"/>
      <c r="B35" s="314"/>
      <c r="C35" s="314"/>
      <c r="Q35" s="12"/>
    </row>
    <row r="36" spans="1:17" x14ac:dyDescent="0.25">
      <c r="A36" s="1"/>
      <c r="B36" s="314"/>
      <c r="C36" s="314"/>
      <c r="Q36" s="12"/>
    </row>
    <row r="37" spans="1:17" x14ac:dyDescent="0.25">
      <c r="A37" s="1"/>
      <c r="B37" s="314"/>
      <c r="C37" s="314"/>
      <c r="Q37" s="12"/>
    </row>
    <row r="38" spans="1:17" x14ac:dyDescent="0.25">
      <c r="A38" s="1"/>
      <c r="B38" s="314"/>
      <c r="C38" s="314"/>
      <c r="Q38" s="12"/>
    </row>
    <row r="39" spans="1:17" x14ac:dyDescent="0.25">
      <c r="A39" s="1"/>
      <c r="B39" s="314"/>
      <c r="C39" s="314"/>
      <c r="Q39" s="12"/>
    </row>
    <row r="40" spans="1:17" x14ac:dyDescent="0.25">
      <c r="A40" s="1"/>
      <c r="B40" s="314"/>
      <c r="C40" s="314"/>
      <c r="Q40" s="12"/>
    </row>
    <row r="41" spans="1:17" x14ac:dyDescent="0.25">
      <c r="A41" s="1"/>
      <c r="B41" s="314"/>
      <c r="C41" s="314"/>
      <c r="Q41" s="12"/>
    </row>
    <row r="42" spans="1:17" x14ac:dyDescent="0.25">
      <c r="A42" s="1"/>
      <c r="B42" s="314"/>
      <c r="C42" s="314"/>
      <c r="Q42" s="12"/>
    </row>
    <row r="43" spans="1:17" x14ac:dyDescent="0.25">
      <c r="A43" s="1"/>
      <c r="B43" s="314"/>
      <c r="C43" s="314"/>
      <c r="Q43" s="12"/>
    </row>
    <row r="44" spans="1:17" x14ac:dyDescent="0.25">
      <c r="A44" s="1"/>
      <c r="B44" s="314"/>
      <c r="C44" s="314"/>
      <c r="Q44" s="12"/>
    </row>
    <row r="45" spans="1:17" x14ac:dyDescent="0.25">
      <c r="A45" s="1"/>
      <c r="B45" s="314"/>
      <c r="C45" s="314"/>
      <c r="Q45" s="12"/>
    </row>
    <row r="46" spans="1:17" x14ac:dyDescent="0.25">
      <c r="A46" s="1"/>
      <c r="B46" s="314"/>
      <c r="C46" s="314"/>
      <c r="Q46" s="12"/>
    </row>
    <row r="47" spans="1:17" x14ac:dyDescent="0.25">
      <c r="A47" s="1"/>
      <c r="B47" s="314"/>
      <c r="C47" s="314"/>
      <c r="P47" s="255"/>
      <c r="Q47" s="12"/>
    </row>
    <row r="48" spans="1:17" x14ac:dyDescent="0.25">
      <c r="A48" s="1"/>
      <c r="B48" s="314"/>
      <c r="C48" s="314"/>
      <c r="Q48" s="12"/>
    </row>
    <row r="49" spans="1:17" x14ac:dyDescent="0.25">
      <c r="A49" s="1"/>
      <c r="B49" s="314"/>
      <c r="C49" s="314"/>
      <c r="Q49" s="12"/>
    </row>
    <row r="50" spans="1:17" x14ac:dyDescent="0.25">
      <c r="A50" s="1"/>
      <c r="B50" s="314"/>
      <c r="C50" s="314"/>
      <c r="Q50" s="12"/>
    </row>
    <row r="51" spans="1:17" x14ac:dyDescent="0.25">
      <c r="A51" s="1"/>
      <c r="B51" s="314"/>
      <c r="C51" s="314"/>
      <c r="Q51" s="12"/>
    </row>
    <row r="52" spans="1:17" x14ac:dyDescent="0.25">
      <c r="A52" s="1"/>
      <c r="B52" s="314"/>
      <c r="C52" s="314"/>
      <c r="Q52" s="12"/>
    </row>
    <row r="53" spans="1:17" x14ac:dyDescent="0.25">
      <c r="A53" s="1"/>
      <c r="B53" s="314"/>
      <c r="C53" s="314"/>
      <c r="Q53" s="12"/>
    </row>
    <row r="54" spans="1:17" x14ac:dyDescent="0.25">
      <c r="A54" s="1"/>
      <c r="B54" s="314"/>
      <c r="C54" s="314"/>
      <c r="Q54" s="12"/>
    </row>
    <row r="55" spans="1:17" x14ac:dyDescent="0.25">
      <c r="A55" s="1"/>
      <c r="B55" s="314"/>
      <c r="C55" s="314"/>
      <c r="Q55" s="12"/>
    </row>
    <row r="56" spans="1:17" x14ac:dyDescent="0.25">
      <c r="A56" s="1"/>
      <c r="B56" s="314"/>
      <c r="C56" s="314"/>
      <c r="Q56" s="12"/>
    </row>
    <row r="57" spans="1:17" x14ac:dyDescent="0.25">
      <c r="A57" s="1"/>
      <c r="B57" s="314"/>
      <c r="C57" s="314"/>
      <c r="Q57" s="12"/>
    </row>
    <row r="58" spans="1:17" x14ac:dyDescent="0.25">
      <c r="A58" s="1"/>
      <c r="B58" s="314"/>
      <c r="C58" s="314"/>
      <c r="Q58" s="12"/>
    </row>
    <row r="59" spans="1:17" x14ac:dyDescent="0.25">
      <c r="A59" s="1"/>
      <c r="B59" s="314"/>
      <c r="C59" s="314"/>
      <c r="Q59" s="12"/>
    </row>
    <row r="60" spans="1:17" x14ac:dyDescent="0.25">
      <c r="A60" s="1"/>
      <c r="B60" s="314"/>
      <c r="C60" s="314"/>
      <c r="Q60" s="12"/>
    </row>
    <row r="61" spans="1:17" x14ac:dyDescent="0.25">
      <c r="A61" s="1"/>
      <c r="B61" s="314"/>
      <c r="C61" s="314"/>
      <c r="Q61" s="12"/>
    </row>
    <row r="62" spans="1:17" x14ac:dyDescent="0.25">
      <c r="A62" s="1"/>
      <c r="B62" s="314"/>
      <c r="C62" s="314"/>
      <c r="Q62" s="12"/>
    </row>
    <row r="63" spans="1:17" x14ac:dyDescent="0.25">
      <c r="A63" s="1"/>
      <c r="B63" s="314"/>
      <c r="C63" s="314"/>
      <c r="Q63" s="12"/>
    </row>
    <row r="64" spans="1:17" x14ac:dyDescent="0.25">
      <c r="A64" s="1"/>
      <c r="B64" s="314"/>
      <c r="C64" s="314"/>
      <c r="Q64" s="12"/>
    </row>
    <row r="65" spans="1:17" x14ac:dyDescent="0.25">
      <c r="A65" s="1"/>
      <c r="B65" s="314"/>
      <c r="C65" s="314"/>
      <c r="Q65" s="12"/>
    </row>
    <row r="66" spans="1:17" x14ac:dyDescent="0.25">
      <c r="A66" s="1"/>
      <c r="B66" s="314"/>
      <c r="C66" s="314"/>
      <c r="Q66" s="12"/>
    </row>
    <row r="67" spans="1:17" x14ac:dyDescent="0.25">
      <c r="A67" s="1"/>
      <c r="B67" s="314"/>
      <c r="C67" s="314"/>
      <c r="Q67" s="12"/>
    </row>
    <row r="68" spans="1:17" x14ac:dyDescent="0.25">
      <c r="A68" s="1"/>
      <c r="B68" s="314"/>
      <c r="C68" s="314"/>
      <c r="Q68" s="12"/>
    </row>
    <row r="69" spans="1:17" x14ac:dyDescent="0.25">
      <c r="A69" s="1"/>
      <c r="B69" s="314"/>
      <c r="C69" s="314"/>
      <c r="Q69" s="12"/>
    </row>
    <row r="70" spans="1:17" x14ac:dyDescent="0.25">
      <c r="A70" s="1"/>
      <c r="B70" s="314"/>
      <c r="C70" s="314"/>
      <c r="Q70" s="12"/>
    </row>
    <row r="71" spans="1:17" x14ac:dyDescent="0.25">
      <c r="A71" s="1"/>
      <c r="B71" s="314"/>
      <c r="C71" s="314"/>
      <c r="Q71" s="12"/>
    </row>
    <row r="72" spans="1:17" x14ac:dyDescent="0.25">
      <c r="A72" s="1"/>
      <c r="B72" s="314"/>
      <c r="C72" s="314"/>
      <c r="Q72" s="12"/>
    </row>
    <row r="73" spans="1:17" x14ac:dyDescent="0.25">
      <c r="A73" s="1"/>
      <c r="B73" s="314"/>
      <c r="C73" s="314"/>
      <c r="Q73" s="12"/>
    </row>
    <row r="74" spans="1:17" x14ac:dyDescent="0.25">
      <c r="A74" s="1"/>
      <c r="B74" s="314"/>
      <c r="C74" s="314"/>
      <c r="Q74" s="12"/>
    </row>
    <row r="75" spans="1:17" x14ac:dyDescent="0.25">
      <c r="A75" s="1"/>
      <c r="B75" s="314"/>
      <c r="C75" s="314"/>
      <c r="Q75" s="12"/>
    </row>
    <row r="76" spans="1:17" x14ac:dyDescent="0.25">
      <c r="A76" s="1"/>
      <c r="B76" s="314"/>
      <c r="C76" s="314"/>
      <c r="Q76" s="12"/>
    </row>
    <row r="77" spans="1:17" x14ac:dyDescent="0.25">
      <c r="Q77" s="12"/>
    </row>
    <row r="78" spans="1:17" x14ac:dyDescent="0.25">
      <c r="Q78" s="12"/>
    </row>
    <row r="79" spans="1:17" x14ac:dyDescent="0.25">
      <c r="Q79" s="12"/>
    </row>
    <row r="80" spans="1:17" x14ac:dyDescent="0.25">
      <c r="Q80" s="12"/>
    </row>
    <row r="81" spans="17:17" x14ac:dyDescent="0.25">
      <c r="Q81" s="12"/>
    </row>
  </sheetData>
  <autoFilter ref="Q1:S121" xr:uid="{64FFEB62-F7A5-4F89-B783-04F54F552821}"/>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D6244-B49D-428E-8690-5C0B1B5F5B69}">
  <dimension ref="A1:E11"/>
  <sheetViews>
    <sheetView topLeftCell="A35" zoomScale="120" zoomScaleNormal="120" workbookViewId="0">
      <selection activeCell="D41" sqref="D41"/>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1683</v>
      </c>
      <c r="B2" s="167" t="s">
        <v>2670</v>
      </c>
      <c r="C2" s="176" t="s">
        <v>2666</v>
      </c>
    </row>
    <row r="3" spans="1:5" x14ac:dyDescent="0.25">
      <c r="A3" s="169" t="s">
        <v>1670</v>
      </c>
      <c r="B3" s="199">
        <f>COUNTIF('Approach Classification'!BO3:BO72,"Yes")</f>
        <v>25</v>
      </c>
      <c r="C3" s="212">
        <f>(B3/E1)+0.001</f>
        <v>0.36331884057971015</v>
      </c>
    </row>
    <row r="4" spans="1:5" x14ac:dyDescent="0.25">
      <c r="A4" s="171" t="s">
        <v>1792</v>
      </c>
      <c r="B4" s="199">
        <f>COUNTIF('Approach Classification'!BP3:BP72,"Yes")</f>
        <v>18</v>
      </c>
      <c r="C4" s="212">
        <f>B4/E1</f>
        <v>0.2608695652173913</v>
      </c>
    </row>
    <row r="5" spans="1:5" x14ac:dyDescent="0.25">
      <c r="A5" s="168" t="s">
        <v>2260</v>
      </c>
      <c r="B5" s="199">
        <f>COUNTIF('Approach Classification'!BQ3:BQ72,"Yes")</f>
        <v>14</v>
      </c>
      <c r="C5" s="212">
        <f>B5/E1</f>
        <v>0.20289855072463769</v>
      </c>
    </row>
    <row r="6" spans="1:5" x14ac:dyDescent="0.25">
      <c r="A6" s="168" t="s">
        <v>2832</v>
      </c>
      <c r="B6" s="199">
        <f>COUNTIF('Approach Classification'!BR3:BR72,"NA")</f>
        <v>12</v>
      </c>
      <c r="C6" s="212">
        <f>B6/E1</f>
        <v>0.17391304347826086</v>
      </c>
    </row>
    <row r="7" spans="1:5" x14ac:dyDescent="0.25">
      <c r="A7" s="173"/>
      <c r="C7" s="212"/>
    </row>
    <row r="8" spans="1:5" x14ac:dyDescent="0.25">
      <c r="A8" s="167" t="s">
        <v>2652</v>
      </c>
      <c r="B8" s="167" t="s">
        <v>2670</v>
      </c>
      <c r="C8" s="256" t="s">
        <v>2666</v>
      </c>
    </row>
    <row r="9" spans="1:5" x14ac:dyDescent="0.25">
      <c r="A9" s="169" t="s">
        <v>2197</v>
      </c>
      <c r="B9" s="199">
        <f>COUNTIF('Approach Classification'!BS3:BS72,"Yes")</f>
        <v>35</v>
      </c>
      <c r="C9" s="212">
        <f>B9/E1</f>
        <v>0.50724637681159424</v>
      </c>
    </row>
    <row r="10" spans="1:5" x14ac:dyDescent="0.25">
      <c r="A10" s="170" t="s">
        <v>2196</v>
      </c>
      <c r="B10" s="199">
        <f>COUNTIF('Approach Classification'!BT3:BT72,"Yes")</f>
        <v>22</v>
      </c>
      <c r="C10" s="212">
        <f>B10/E1</f>
        <v>0.3188405797101449</v>
      </c>
    </row>
    <row r="11" spans="1:5" x14ac:dyDescent="0.25">
      <c r="A11" s="170" t="s">
        <v>2832</v>
      </c>
      <c r="B11" s="199">
        <f>COUNTIF('Approach Classification'!BU3:BU72,"NA")</f>
        <v>12</v>
      </c>
      <c r="C11" s="212">
        <f>B11/E1</f>
        <v>0.17391304347826086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226AC-09D7-4BE0-8FC0-272DA6225CC0}">
  <dimension ref="A1:CC48"/>
  <sheetViews>
    <sheetView topLeftCell="E1" zoomScaleNormal="100" workbookViewId="0">
      <selection activeCell="I19" sqref="I19"/>
    </sheetView>
  </sheetViews>
  <sheetFormatPr defaultRowHeight="15" x14ac:dyDescent="0.25"/>
  <cols>
    <col min="1" max="1" width="9.140625" style="3"/>
    <col min="2" max="2" width="16.42578125" style="3" customWidth="1"/>
    <col min="3" max="3" width="19.7109375" style="3" customWidth="1"/>
    <col min="4" max="4" width="10" style="3" customWidth="1"/>
    <col min="5" max="5" width="21" style="3" customWidth="1"/>
    <col min="6" max="6" width="9.140625" style="3"/>
    <col min="7" max="7" width="12.42578125" style="3" customWidth="1"/>
    <col min="8" max="8" width="9.140625" style="3"/>
    <col min="9" max="9" width="12.140625" style="3" customWidth="1"/>
    <col min="10" max="10" width="9.140625" style="3"/>
    <col min="11" max="11" width="17.7109375" style="3" customWidth="1"/>
    <col min="12" max="12" width="9.140625" style="3" customWidth="1"/>
    <col min="13" max="13" width="13.5703125" style="3" customWidth="1"/>
    <col min="14" max="14" width="9.140625" style="3"/>
    <col min="15" max="15" width="12.5703125" style="3" customWidth="1"/>
    <col min="16" max="16" width="9.140625" style="3"/>
    <col min="17" max="17" width="16.7109375" style="3" customWidth="1"/>
    <col min="18" max="18" width="9.140625" style="3" customWidth="1"/>
    <col min="19" max="19" width="21.140625" style="3" customWidth="1"/>
    <col min="20" max="20" width="9.140625" style="3"/>
    <col min="21" max="21" width="19.5703125" style="3" customWidth="1"/>
    <col min="22" max="22" width="9.140625" style="3"/>
    <col min="23" max="23" width="24.7109375" style="3" customWidth="1"/>
    <col min="24" max="24" width="9.28515625" style="3" customWidth="1"/>
    <col min="25" max="25" width="58.28515625" style="3" customWidth="1"/>
    <col min="26" max="26" width="9.140625" style="3"/>
    <col min="27" max="27" width="35.42578125" style="3" customWidth="1"/>
    <col min="28" max="28" width="9.140625" style="3"/>
    <col min="29" max="29" width="25.140625" style="3" customWidth="1"/>
    <col min="30" max="30" width="9.140625" style="3"/>
    <col min="31" max="31" width="12.85546875" style="3" customWidth="1"/>
    <col min="32" max="32" width="9.140625" style="3"/>
    <col min="33" max="33" width="26" style="3" customWidth="1"/>
    <col min="34" max="34" width="9.140625" style="3"/>
    <col min="35" max="35" width="28.5703125" style="3" customWidth="1"/>
    <col min="36" max="36" width="9.140625" style="3"/>
    <col min="37" max="37" width="21" style="3" customWidth="1"/>
    <col min="38" max="38" width="9.140625" style="3"/>
    <col min="39" max="39" width="16.5703125" style="3" customWidth="1"/>
    <col min="40" max="40" width="9.140625" style="3"/>
    <col min="41" max="41" width="14.7109375" style="3" customWidth="1"/>
    <col min="42" max="42" width="9.140625" style="3"/>
    <col min="43" max="43" width="14.140625" style="3" customWidth="1"/>
    <col min="44" max="44" width="9.140625" style="3"/>
    <col min="45" max="45" width="47.7109375" style="3" customWidth="1"/>
    <col min="46" max="46" width="9" style="3" customWidth="1"/>
    <col min="47" max="47" width="33.28515625" style="3" customWidth="1"/>
    <col min="48" max="48" width="9.140625" style="3"/>
    <col min="49" max="49" width="57.5703125" style="3" customWidth="1"/>
    <col min="50" max="16384" width="9.140625" style="3"/>
  </cols>
  <sheetData>
    <row r="1" spans="1:81" ht="15.75" thickBot="1" x14ac:dyDescent="0.3">
      <c r="A1" s="126"/>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row>
    <row r="2" spans="1:81" s="132" customFormat="1" ht="39" customHeight="1" thickTop="1" x14ac:dyDescent="0.25">
      <c r="A2" s="133"/>
      <c r="B2" s="360" t="s">
        <v>2537</v>
      </c>
      <c r="C2" s="363"/>
      <c r="D2" s="364"/>
      <c r="E2" s="365" t="s">
        <v>2542</v>
      </c>
      <c r="F2" s="361"/>
      <c r="G2" s="362" t="s">
        <v>2143</v>
      </c>
      <c r="H2" s="360"/>
      <c r="I2" s="359" t="s">
        <v>1906</v>
      </c>
      <c r="J2" s="360"/>
      <c r="K2" s="359" t="s">
        <v>1999</v>
      </c>
      <c r="L2" s="360"/>
      <c r="M2" s="365" t="s">
        <v>2548</v>
      </c>
      <c r="N2" s="360"/>
      <c r="O2" s="359" t="s">
        <v>1684</v>
      </c>
      <c r="P2" s="360"/>
      <c r="Q2" s="357" t="s">
        <v>2549</v>
      </c>
      <c r="R2" s="358"/>
      <c r="S2" s="359" t="s">
        <v>2613</v>
      </c>
      <c r="T2" s="360"/>
      <c r="U2" s="359" t="s">
        <v>1696</v>
      </c>
      <c r="V2" s="361"/>
      <c r="W2" s="362" t="s">
        <v>2563</v>
      </c>
      <c r="X2" s="360"/>
      <c r="Y2" s="365" t="s">
        <v>1663</v>
      </c>
      <c r="Z2" s="360"/>
      <c r="AA2" s="365" t="s">
        <v>1666</v>
      </c>
      <c r="AB2" s="360"/>
      <c r="AC2" s="365" t="s">
        <v>1683</v>
      </c>
      <c r="AD2" s="359"/>
      <c r="AE2" s="359"/>
      <c r="AF2" s="360"/>
      <c r="AG2" s="365" t="s">
        <v>2566</v>
      </c>
      <c r="AH2" s="360"/>
      <c r="AI2" s="367" t="s">
        <v>3671</v>
      </c>
      <c r="AJ2" s="368"/>
      <c r="AK2" s="362" t="s">
        <v>2567</v>
      </c>
      <c r="AL2" s="360"/>
      <c r="AM2" s="365" t="s">
        <v>1695</v>
      </c>
      <c r="AN2" s="360"/>
      <c r="AO2" s="365" t="s">
        <v>2569</v>
      </c>
      <c r="AP2" s="360"/>
      <c r="AQ2" s="359" t="s">
        <v>2669</v>
      </c>
      <c r="AR2" s="361"/>
      <c r="AS2" s="362" t="s">
        <v>2074</v>
      </c>
      <c r="AT2" s="360"/>
      <c r="AU2" s="365" t="s">
        <v>2835</v>
      </c>
      <c r="AV2" s="360"/>
      <c r="AW2" s="365" t="s">
        <v>2836</v>
      </c>
      <c r="AX2" s="361"/>
      <c r="AY2" s="226"/>
    </row>
    <row r="3" spans="1:81" s="127" customFormat="1" ht="15.75" thickBot="1" x14ac:dyDescent="0.3">
      <c r="A3" s="129"/>
      <c r="B3" s="369" t="s">
        <v>3</v>
      </c>
      <c r="C3" s="370"/>
      <c r="D3" s="129" t="s">
        <v>3655</v>
      </c>
      <c r="E3" s="134" t="s">
        <v>3</v>
      </c>
      <c r="F3" s="129" t="s">
        <v>3655</v>
      </c>
      <c r="G3" s="134" t="s">
        <v>2546</v>
      </c>
      <c r="H3" s="127" t="s">
        <v>3655</v>
      </c>
      <c r="I3" s="134" t="s">
        <v>2546</v>
      </c>
      <c r="J3" s="127" t="s">
        <v>3655</v>
      </c>
      <c r="K3" s="134" t="s">
        <v>2547</v>
      </c>
      <c r="L3" s="127" t="s">
        <v>3655</v>
      </c>
      <c r="M3" s="134" t="s">
        <v>2547</v>
      </c>
      <c r="N3" s="127" t="s">
        <v>3655</v>
      </c>
      <c r="O3" s="134" t="s">
        <v>2547</v>
      </c>
      <c r="P3" s="127" t="s">
        <v>3655</v>
      </c>
      <c r="Q3" s="134" t="s">
        <v>2547</v>
      </c>
      <c r="R3" s="127" t="s">
        <v>3655</v>
      </c>
      <c r="S3" s="134" t="s">
        <v>2547</v>
      </c>
      <c r="T3" s="127" t="s">
        <v>3655</v>
      </c>
      <c r="U3" s="134" t="s">
        <v>2547</v>
      </c>
      <c r="V3" s="129" t="s">
        <v>3655</v>
      </c>
      <c r="W3" s="134" t="s">
        <v>2547</v>
      </c>
      <c r="X3" s="127" t="s">
        <v>3655</v>
      </c>
      <c r="Y3" s="127" t="s">
        <v>2547</v>
      </c>
      <c r="Z3" s="127" t="s">
        <v>3655</v>
      </c>
      <c r="AA3" s="127" t="s">
        <v>2547</v>
      </c>
      <c r="AB3" s="127" t="s">
        <v>3655</v>
      </c>
      <c r="AC3" s="127" t="s">
        <v>2547</v>
      </c>
      <c r="AD3" s="127" t="s">
        <v>3655</v>
      </c>
      <c r="AE3" s="127" t="s">
        <v>2565</v>
      </c>
      <c r="AF3" s="127" t="s">
        <v>3655</v>
      </c>
      <c r="AG3" s="127" t="s">
        <v>2546</v>
      </c>
      <c r="AH3" s="127" t="s">
        <v>3655</v>
      </c>
      <c r="AI3" s="134" t="s">
        <v>2547</v>
      </c>
      <c r="AJ3" s="129" t="s">
        <v>3655</v>
      </c>
      <c r="AK3" s="134" t="s">
        <v>1673</v>
      </c>
      <c r="AL3" s="127" t="s">
        <v>3655</v>
      </c>
      <c r="AM3" s="127" t="s">
        <v>3</v>
      </c>
      <c r="AN3" s="127" t="s">
        <v>3655</v>
      </c>
      <c r="AO3" s="127" t="s">
        <v>3</v>
      </c>
      <c r="AP3" s="127" t="s">
        <v>3655</v>
      </c>
      <c r="AQ3" s="134" t="s">
        <v>1676</v>
      </c>
      <c r="AR3" s="129" t="s">
        <v>3655</v>
      </c>
      <c r="AS3" s="134" t="s">
        <v>3</v>
      </c>
      <c r="AT3" s="127" t="s">
        <v>3655</v>
      </c>
      <c r="AU3" s="127" t="s">
        <v>3</v>
      </c>
      <c r="AV3" s="127" t="s">
        <v>3655</v>
      </c>
      <c r="AW3" s="127" t="s">
        <v>3</v>
      </c>
      <c r="AX3" s="129" t="s">
        <v>3655</v>
      </c>
      <c r="AY3" s="227"/>
    </row>
    <row r="4" spans="1:81" ht="15.75" thickTop="1" x14ac:dyDescent="0.25">
      <c r="A4" s="104"/>
      <c r="B4" s="141" t="s">
        <v>1644</v>
      </c>
      <c r="C4" s="135"/>
      <c r="D4" s="104">
        <f>COUNTIFS('Feature Study'!H:H,"Yes",'Feature Study'!G:G,"Approved")</f>
        <v>29</v>
      </c>
      <c r="E4" s="145" t="s">
        <v>1650</v>
      </c>
      <c r="F4" s="104">
        <f>COUNTIFS('Feature Study'!N:N,"Yes",'Feature Study'!G:G,"Approved")</f>
        <v>5</v>
      </c>
      <c r="G4" s="138" t="s">
        <v>1623</v>
      </c>
      <c r="H4" s="128">
        <f>COUNTIFS('Feature Study'!V:V,"Yes",'Feature Study'!G:G,"Approved")</f>
        <v>20</v>
      </c>
      <c r="I4" s="138" t="s">
        <v>1623</v>
      </c>
      <c r="J4" s="128">
        <f>COUNTIFS('Feature Study'!W:W,"Yes",'Feature Study'!G:G,"Approved")</f>
        <v>11</v>
      </c>
      <c r="K4" s="136" t="s">
        <v>1915</v>
      </c>
      <c r="L4" s="128">
        <f>COUNTIFS('Feature Study'!X:X,"Centralized",'Feature Study'!G:G,"Approved")</f>
        <v>81</v>
      </c>
      <c r="M4" s="138" t="s">
        <v>2258</v>
      </c>
      <c r="N4" s="128">
        <f>COUNTIFS('Feature Study'!Y:Y,"Optimistic",'Feature Study'!G:G,"Approved")</f>
        <v>100</v>
      </c>
      <c r="O4" s="137" t="s">
        <v>1686</v>
      </c>
      <c r="P4" s="128">
        <f>COUNTIFS('Feature Study'!Z:Z,"Offline",'Feature Study'!G:G,"Approved")</f>
        <v>79</v>
      </c>
      <c r="Q4" s="136" t="s">
        <v>1877</v>
      </c>
      <c r="R4" s="128">
        <f>COUNTIFS('Feature Study'!AA:AA,"State-based",'Feature Study'!G:G,"Approved")</f>
        <v>39</v>
      </c>
      <c r="S4" s="137" t="s">
        <v>2553</v>
      </c>
      <c r="T4" s="128">
        <v>30</v>
      </c>
      <c r="U4" s="138" t="s">
        <v>2208</v>
      </c>
      <c r="V4" s="104">
        <f>COUNTIFS('Feature Study'!AC:AC,"Raw merging",'Feature Study'!G:G,"Approved")+COUNTIFS('Feature Study'!AC:AC,"Raw merging (N-way)",'Feature Study'!G:G,"Approved")</f>
        <v>8</v>
      </c>
      <c r="W4" s="137" t="s">
        <v>1860</v>
      </c>
      <c r="X4" s="130">
        <f>COUNTIFS('Feature Study'!AE:AE,"formal",'Feature Study'!G:G,"Approved") + COUNTIFS('Feature Study'!AE:AE,"formal + pattern",'Feature Study'!G:G,"Approved")</f>
        <v>19</v>
      </c>
      <c r="Y4" s="136" t="s">
        <v>2583</v>
      </c>
      <c r="Z4" s="130">
        <f>COUNTIFS('Feature Study'!AG:AG,"Conflict-free merge Algorithm",'Feature Study'!G:G,"Approved")</f>
        <v>2</v>
      </c>
      <c r="AA4" s="138" t="s">
        <v>2588</v>
      </c>
      <c r="AB4" s="130">
        <f>COUNTIFS('Feature Study'!AI:AI,"*Constraint violation*",'Feature Study'!G:G,"Approved")</f>
        <v>25</v>
      </c>
      <c r="AC4" s="137" t="s">
        <v>1670</v>
      </c>
      <c r="AD4" s="3">
        <f>COUNTIFS('Feature Study'!AL:AL,"Manual",'Feature Study'!G:G,"Approved")</f>
        <v>44</v>
      </c>
      <c r="AE4" s="137" t="s">
        <v>2197</v>
      </c>
      <c r="AF4" s="130">
        <f>COUNTIFS('Feature Study'!AK:AK,"On-the-fly",'Feature Study'!G:G,"Approved")</f>
        <v>40</v>
      </c>
      <c r="AG4" s="138" t="s">
        <v>1623</v>
      </c>
      <c r="AH4" s="128">
        <f>COUNTIFS('Feature Study'!AN:AN,"Yes",'Feature Study'!G:G,"Approved")</f>
        <v>3</v>
      </c>
      <c r="AI4" s="138" t="s">
        <v>1801</v>
      </c>
      <c r="AJ4" s="104">
        <f>COUNTIFS('Feature Study'!AP:AP,"Notification",'Feature Study'!G:G,"Approved") + COUNTIFS('Feature Study'!AP:AP,"Notification + Highlight",'Feature Study'!G:G,"Approved")</f>
        <v>18</v>
      </c>
      <c r="AK4" s="137" t="s">
        <v>1709</v>
      </c>
      <c r="AL4" s="130">
        <f>COUNTIFS('Feature Study'!AR:AR,"Not implemented",'Feature Study'!G:G,"Approved")</f>
        <v>20</v>
      </c>
      <c r="AM4" s="136" t="s">
        <v>1693</v>
      </c>
      <c r="AN4" s="130">
        <f>COUNTIFS('Feature Study'!AS:AS,"*Desktop*",'Feature Study'!G:G,"Approved")</f>
        <v>75</v>
      </c>
      <c r="AO4" s="138" t="s">
        <v>1679</v>
      </c>
      <c r="AP4" s="128">
        <f>COUNTIFS('Feature Study'!AU:AU,"Open Source",'Feature Study'!G:G,"Approved")</f>
        <v>48</v>
      </c>
      <c r="AQ4" s="138" t="s">
        <v>1677</v>
      </c>
      <c r="AR4" s="131">
        <f>COUNTIFS('Feature Study'!AV:AV,"Active",'Feature Study'!G:G,"Approved")</f>
        <v>21</v>
      </c>
      <c r="AS4" s="137" t="s">
        <v>2967</v>
      </c>
      <c r="AT4" s="130">
        <f>COUNTIFS('Feature Study'!AX:AX,"*(Scalability)*",'Feature Study'!G:G,"Approved")</f>
        <v>4</v>
      </c>
      <c r="AV4" s="130"/>
      <c r="AW4" s="241" t="s">
        <v>2852</v>
      </c>
      <c r="AX4" s="104">
        <f>COUNTIFS('Feature Study'!BB:BB,"*(Implementation)*",'Feature Study'!G:G,"Approved")</f>
        <v>31</v>
      </c>
    </row>
    <row r="5" spans="1:81" x14ac:dyDescent="0.25">
      <c r="A5" s="104"/>
      <c r="B5" s="139" t="s">
        <v>1645</v>
      </c>
      <c r="C5" s="135"/>
      <c r="D5" s="104">
        <f>COUNTIFS('Feature Study'!I:I,"yes",'Feature Study'!G:G,"Approved")+1</f>
        <v>35</v>
      </c>
      <c r="E5" s="141" t="s">
        <v>2543</v>
      </c>
      <c r="F5" s="104">
        <f>COUNTIFS('Feature Study'!O:O,"Yes",'Feature Study'!G:G,"Approved")</f>
        <v>94</v>
      </c>
      <c r="G5" s="137" t="s">
        <v>1621</v>
      </c>
      <c r="H5" s="128">
        <f>COUNTIFS('Feature Study'!G:G,"Approved")-H4</f>
        <v>85</v>
      </c>
      <c r="I5" s="137" t="s">
        <v>1621</v>
      </c>
      <c r="J5" s="128">
        <f>COUNTIFS('Feature Study'!G:G,"Approved")-J4</f>
        <v>94</v>
      </c>
      <c r="K5" s="138" t="s">
        <v>1710</v>
      </c>
      <c r="L5" s="128">
        <f>COUNTIFS('Feature Study'!X:X,"Distributed",'Feature Study'!G:G,"Approved")</f>
        <v>21</v>
      </c>
      <c r="M5" s="137" t="s">
        <v>2257</v>
      </c>
      <c r="N5" s="128">
        <f>COUNTIFS('Feature Study'!Y:Y,"Pessimistic",'Feature Study'!G:G,"Approved")</f>
        <v>5</v>
      </c>
      <c r="O5" s="138" t="s">
        <v>1685</v>
      </c>
      <c r="P5" s="128">
        <f>COUNTIFS('Feature Study'!Z:Z,"Online",'Feature Study'!G:G,"Approved")</f>
        <v>19</v>
      </c>
      <c r="Q5" s="137" t="s">
        <v>1723</v>
      </c>
      <c r="R5" s="128">
        <f>COUNTIFS('Feature Study'!AA:AA,"Operation-based",'Feature Study'!G:G,"Approved")</f>
        <v>56</v>
      </c>
      <c r="S5" s="138" t="s">
        <v>2554</v>
      </c>
      <c r="T5" s="128">
        <v>11</v>
      </c>
      <c r="U5" s="136" t="s">
        <v>1698</v>
      </c>
      <c r="V5" s="104">
        <f>COUNTIFS('Feature Study'!AC:AC,"Two-way",'Feature Study'!G:G,"Approved")+ COUNTIFS('Feature Study'!AC:AC,"Two-way (N-way)",'Feature Study'!G:G,"Approved")+ COUNTIFS('Feature Study'!AC:AC,"Three-way + Two-way",'Feature Study'!G:G,"Approved")</f>
        <v>33</v>
      </c>
      <c r="W5" s="138" t="s">
        <v>2575</v>
      </c>
      <c r="X5" s="128">
        <f>COUNTIFS('Feature Study'!AE:AE,"*Pattern*",'Feature Study'!G:G,"Approved")</f>
        <v>8</v>
      </c>
      <c r="Y5" s="136" t="s">
        <v>2635</v>
      </c>
      <c r="Z5" s="128">
        <f>COUNTIFS('Feature Study'!AG:AG,"Conflict-free replicated data types Algorithm",'Feature Study'!G:G,"Approved")</f>
        <v>2</v>
      </c>
      <c r="AA5" s="138" t="s">
        <v>2590</v>
      </c>
      <c r="AB5" s="128">
        <f>COUNTIFS('Feature Study'!AI:AI,"Check condition",'Feature Study'!G:G,"Approved")</f>
        <v>6</v>
      </c>
      <c r="AC5" s="144" t="s">
        <v>1792</v>
      </c>
      <c r="AD5" s="3">
        <f>COUNTIFS('Feature Study'!AL:AL,"Semi-automatic",'Feature Study'!G:G,"Approved")</f>
        <v>25</v>
      </c>
      <c r="AE5" s="136" t="s">
        <v>2196</v>
      </c>
      <c r="AF5" s="128">
        <f>COUNTIFS('Feature Study'!AK:AK,"Post-analysis",'Feature Study'!G:G,"Approved")</f>
        <v>21</v>
      </c>
      <c r="AG5" s="137" t="s">
        <v>1621</v>
      </c>
      <c r="AH5" s="128">
        <f>COUNTIFS('Feature Study'!G:G,"Approved")-AH4</f>
        <v>102</v>
      </c>
      <c r="AI5" s="137" t="s">
        <v>2584</v>
      </c>
      <c r="AJ5" s="104">
        <f>COUNTIFS('Feature Study'!AP:AP,"Highlight",'Feature Study'!G:G,"Approved") + COUNTIFS('Feature Study'!AP:AP,"Notification + Highlight",'Feature Study'!G:G,"Approved")+ COUNTIFS('Feature Study'!AP:AP,"Conflict View + Highlight",'Feature Study'!G:G,"Approved")</f>
        <v>10</v>
      </c>
      <c r="AK5" s="144" t="s">
        <v>1755</v>
      </c>
      <c r="AL5" s="128">
        <f>COUNTIFS('Feature Study'!AR:AR,"Partially implemented",'Feature Study'!G:G,"Approved")</f>
        <v>6</v>
      </c>
      <c r="AM5" s="138" t="s">
        <v>2568</v>
      </c>
      <c r="AN5" s="128">
        <f>COUNTIFS('Feature Study'!AS:AS,"*Web based*",'Feature Study'!G:G,"Approved")</f>
        <v>13</v>
      </c>
      <c r="AO5" s="136" t="s">
        <v>1800</v>
      </c>
      <c r="AP5" s="128">
        <f>COUNTIFS('Feature Study'!AU:AU,"Commercial",'Feature Study'!G:G,"Approved")</f>
        <v>6</v>
      </c>
      <c r="AQ5" s="136" t="s">
        <v>1682</v>
      </c>
      <c r="AR5" s="104">
        <f>COUNTIFS('Feature Study'!AV:AV,"Late update",'Feature Study'!G:G,"Approved")</f>
        <v>21</v>
      </c>
      <c r="AS5" s="136" t="s">
        <v>2968</v>
      </c>
      <c r="AT5" s="128">
        <f>COUNTIFS('Feature Study'!AX:AX,"*(Usability)*",'Feature Study'!G:G,"Approved")</f>
        <v>3</v>
      </c>
      <c r="AV5" s="128"/>
      <c r="AW5" s="240" t="s">
        <v>2860</v>
      </c>
      <c r="AX5" s="104">
        <f>COUNTIFS('Feature Study'!BB:BB,"*(Validation)*",'Feature Study'!G:G,"Approved")</f>
        <v>8</v>
      </c>
    </row>
    <row r="6" spans="1:81" x14ac:dyDescent="0.25">
      <c r="A6" s="104"/>
      <c r="B6" s="140" t="s">
        <v>1711</v>
      </c>
      <c r="C6" s="135"/>
      <c r="D6" s="104">
        <f>COUNTIFS('Feature Study'!J:J,"yes",'Feature Study'!G:G,"Approved")</f>
        <v>27</v>
      </c>
      <c r="E6" s="139" t="s">
        <v>2544</v>
      </c>
      <c r="F6" s="104">
        <f>COUNTIFS('Feature Study'!P:P,"Yes",'Feature Study'!G:G,"Approved")</f>
        <v>32</v>
      </c>
      <c r="H6" s="128"/>
      <c r="J6" s="128"/>
      <c r="K6" s="3" t="s">
        <v>1687</v>
      </c>
      <c r="L6" s="128">
        <f>COUNTIFS('Feature Study'!X:X,"Both",'Feature Study'!G:G,"Approved")</f>
        <v>0</v>
      </c>
      <c r="N6" s="128"/>
      <c r="O6" s="3" t="s">
        <v>1687</v>
      </c>
      <c r="P6" s="128">
        <f>COUNTIFS('Feature Study'!Z:Z,"Both",'Feature Study'!G:G,"Approved")</f>
        <v>5</v>
      </c>
      <c r="Q6" s="138" t="s">
        <v>1959</v>
      </c>
      <c r="R6" s="128">
        <f>COUNTIFS('Feature Study'!AA:AA,"Hybrid",'Feature Study'!G:G,"Approved")</f>
        <v>4</v>
      </c>
      <c r="S6" s="138" t="s">
        <v>2556</v>
      </c>
      <c r="T6" s="128">
        <v>11</v>
      </c>
      <c r="U6" s="137" t="s">
        <v>1699</v>
      </c>
      <c r="V6" s="104">
        <f>COUNTIFS('Feature Study'!AC:AC,"Three-way",'Feature Study'!G:G,"Approved")+ COUNTIFS('Feature Study'!AC:AC,"Three-way (N-way)",'Feature Study'!G:G,"Approved") + COUNTIFS('Feature Study'!AC:AC,"Three-way + Two-way",'Feature Study'!G:G,"Approved")</f>
        <v>49</v>
      </c>
      <c r="W6" s="138" t="s">
        <v>2578</v>
      </c>
      <c r="X6" s="128">
        <f>COUNTIFS('Feature Study'!AE:AE,"Conflict Model",'Feature Study'!G:G,"Approved")</f>
        <v>2</v>
      </c>
      <c r="Y6" s="138" t="s">
        <v>2580</v>
      </c>
      <c r="Z6" s="128">
        <f>COUNTIFS('Feature Study'!AG:AG,"Check precedence relation",'Feature Study'!G:G,"Approved")</f>
        <v>1</v>
      </c>
      <c r="AA6" s="137" t="s">
        <v>2458</v>
      </c>
      <c r="AB6" s="128">
        <f>COUNTIFS('Feature Study'!AI:AI,"*Critical Pair Analysis*",'Feature Study'!G:G,"Approved")</f>
        <v>10</v>
      </c>
      <c r="AC6" s="138" t="s">
        <v>2260</v>
      </c>
      <c r="AD6" s="3">
        <f>COUNTIFS('Feature Study'!AL:AL,"Automatically",'Feature Study'!G:G,"Approved")</f>
        <v>15</v>
      </c>
      <c r="AE6" s="3" t="s">
        <v>2550</v>
      </c>
      <c r="AF6" s="128">
        <f>COUNTIFS('Feature Study'!AK:AK,".",'Feature Study'!G:G,"Approved")</f>
        <v>12</v>
      </c>
      <c r="AH6" s="128"/>
      <c r="AI6" s="136" t="s">
        <v>3359</v>
      </c>
      <c r="AJ6" s="104">
        <f>COUNTIFS('Feature Study'!AP:AP,"Conflict View",'Feature Study'!G:G,"Approved")+ COUNTIFS('Feature Study'!AP:AP,"Conflict View + Highlight",'Feature Study'!G:G,"Approved")</f>
        <v>14</v>
      </c>
      <c r="AK6" s="144" t="s">
        <v>1743</v>
      </c>
      <c r="AL6" s="128">
        <f>COUNTIFS('Feature Study'!AR:AR,"Prototype",'Feature Study'!G:G,"Approved")</f>
        <v>67</v>
      </c>
      <c r="AM6" s="239" t="s">
        <v>1694</v>
      </c>
      <c r="AN6" s="128">
        <f>COUNTIFS('Feature Study'!AS:AS,"*Mobile*",'Feature Study'!G:G,"Approved")</f>
        <v>5</v>
      </c>
      <c r="AO6" s="136" t="s">
        <v>2267</v>
      </c>
      <c r="AP6" s="128">
        <f>COUNTIFS('Feature Study'!AU:AU,"Private",'Feature Study'!G:G,"Approved")</f>
        <v>10</v>
      </c>
      <c r="AQ6" s="137" t="s">
        <v>2570</v>
      </c>
      <c r="AR6" s="104">
        <f>COUNTIFS('Feature Study'!AV:AV,"No Support",'Feature Study'!G:G,"Approved")</f>
        <v>1</v>
      </c>
      <c r="AS6" s="136" t="s">
        <v>2969</v>
      </c>
      <c r="AT6" s="128">
        <f>COUNTIFS('Feature Study'!AX:AX,"*(GMF)*",'Feature Study'!G:G,"Approved")</f>
        <v>1</v>
      </c>
      <c r="AV6" s="128"/>
      <c r="AW6" s="136" t="s">
        <v>3002</v>
      </c>
      <c r="AX6" s="104">
        <f>COUNTIFS('Feature Study'!BB:BB,"*(GECR)*",'Feature Study'!G:G,"Approved")</f>
        <v>8</v>
      </c>
    </row>
    <row r="7" spans="1:81" x14ac:dyDescent="0.25">
      <c r="A7" s="104"/>
      <c r="B7" s="145" t="s">
        <v>1646</v>
      </c>
      <c r="C7" s="135" t="s">
        <v>2540</v>
      </c>
      <c r="D7" s="104">
        <f>COUNTIFS('Feature Study'!K:K,"yes",'Feature Study'!G:G,"Approved")</f>
        <v>8</v>
      </c>
      <c r="E7" s="140" t="s">
        <v>1651</v>
      </c>
      <c r="F7" s="104">
        <f>COUNTIFS('Feature Study'!Q:Q,"Yes",'Feature Study'!G:G,"Approved")</f>
        <v>34</v>
      </c>
      <c r="H7" s="128"/>
      <c r="J7" s="128"/>
      <c r="K7" s="3" t="s">
        <v>2550</v>
      </c>
      <c r="L7" s="128">
        <f>COUNTIFS('Feature Study'!X:X,".",'Feature Study'!G:G,"Approved")</f>
        <v>3</v>
      </c>
      <c r="N7" s="128"/>
      <c r="O7" s="3" t="s">
        <v>2550</v>
      </c>
      <c r="P7" s="128">
        <f>COUNTIFS('Feature Study'!Z:Z,".",'Feature Study'!G:G,"Approved")</f>
        <v>2</v>
      </c>
      <c r="Q7" s="3" t="s">
        <v>1687</v>
      </c>
      <c r="R7" s="128">
        <f>COUNTIFS('Feature Study'!AA:AA,"Both",'Feature Study'!G:G,"Approved")</f>
        <v>4</v>
      </c>
      <c r="S7" s="138" t="s">
        <v>2555</v>
      </c>
      <c r="T7" s="128">
        <v>4</v>
      </c>
      <c r="U7" s="3" t="s">
        <v>2004</v>
      </c>
      <c r="V7" s="104">
        <f>COUNTIFS('Feature Study'!AC:AC,"Raw merging (N-way)",'Feature Study'!G:G,"Approved")+COUNTIFS('Feature Study'!AC:AC,"Three-way (N-way)",'Feature Study'!G:G,"Approved")+ COUNTIFS('Feature Study'!AC:AC,"Two-way (N-way)",'Feature Study'!G:G,"Approved")</f>
        <v>11</v>
      </c>
      <c r="W7" s="138" t="s">
        <v>2011</v>
      </c>
      <c r="X7" s="128">
        <f>COUNTIFS('Feature Study'!AE:AE,"Conflict profile",'Feature Study'!G:G,"Approved")</f>
        <v>2</v>
      </c>
      <c r="Y7" s="137" t="s">
        <v>1822</v>
      </c>
      <c r="Z7" s="128">
        <f>COUNTIFS('Feature Study'!AG:AG,"Lock violation",'Feature Study'!G:G,"Approved")</f>
        <v>3</v>
      </c>
      <c r="AA7" s="137" t="s">
        <v>1833</v>
      </c>
      <c r="AB7" s="128">
        <f>COUNTIFS('Feature Study'!AI:AI,"*Contradicting Changes*",'Feature Study'!G:G,"Approved")</f>
        <v>13</v>
      </c>
      <c r="AC7" s="3" t="s">
        <v>2550</v>
      </c>
      <c r="AD7" s="3">
        <f>COUNTIFS('Feature Study'!AL:AL,".",'Feature Study'!G:G,"Approved")</f>
        <v>19</v>
      </c>
      <c r="AF7" s="128"/>
      <c r="AH7" s="128"/>
      <c r="AI7" s="136" t="s">
        <v>2146</v>
      </c>
      <c r="AJ7" s="104">
        <f>COUNTIFS('Feature Study'!AP:AP,"List of conflicts",'Feature Study'!G:G,"Approved")</f>
        <v>21</v>
      </c>
      <c r="AK7" s="138" t="s">
        <v>1765</v>
      </c>
      <c r="AL7" s="128">
        <f>COUNTIFS('Feature Study'!AR:AR,"Fully implemented",'Feature Study'!G:G,"Approved")</f>
        <v>9</v>
      </c>
      <c r="AM7" s="3" t="s">
        <v>2550</v>
      </c>
      <c r="AN7" s="128">
        <f>COUNTIFS('Feature Study'!AS:AS,".",'Feature Study'!G:G,"Approved")</f>
        <v>18</v>
      </c>
      <c r="AO7" s="3" t="s">
        <v>2550</v>
      </c>
      <c r="AP7" s="128">
        <f>COUNTIFS('Feature Study'!AU:AU,".",'Feature Study'!G:G,"Approved")</f>
        <v>24</v>
      </c>
      <c r="AQ7" s="137" t="s">
        <v>1678</v>
      </c>
      <c r="AR7" s="104">
        <f>COUNTIFS('Feature Study'!AV:AV,"Retired",'Feature Study'!G:G,"Approved")</f>
        <v>6</v>
      </c>
      <c r="AS7" s="238" t="s">
        <v>2984</v>
      </c>
      <c r="AT7" s="128">
        <f>COUNTIFS('Feature Study'!AX:AX,"*(Tool)*",'Feature Study'!G:G,"Approved")+COUNTIFS('Feature Study'!AX:AX,"*(Implementation)*",'Feature Study'!G:G,"Approved")</f>
        <v>6</v>
      </c>
      <c r="AV7" s="128"/>
      <c r="AW7" s="238" t="s">
        <v>3004</v>
      </c>
      <c r="AX7" s="104">
        <f>COUNTIFS('Feature Study'!BB:BB,"*(Semantic Conflict)*",'Feature Study'!G:G,"Approved")</f>
        <v>13</v>
      </c>
    </row>
    <row r="8" spans="1:81" x14ac:dyDescent="0.25">
      <c r="A8" s="104"/>
      <c r="B8" s="366" t="s">
        <v>1647</v>
      </c>
      <c r="C8" s="135" t="s">
        <v>2541</v>
      </c>
      <c r="D8" s="104">
        <v>13</v>
      </c>
      <c r="E8" s="140" t="s">
        <v>1652</v>
      </c>
      <c r="F8" s="104">
        <f>COUNTIFS('Feature Study'!R:R,"Yes",'Feature Study'!G:G,"Approved")</f>
        <v>7</v>
      </c>
      <c r="H8" s="128"/>
      <c r="J8" s="128"/>
      <c r="L8" s="128"/>
      <c r="N8" s="128"/>
      <c r="P8" s="128"/>
      <c r="Q8" s="3" t="s">
        <v>2550</v>
      </c>
      <c r="R8" s="128">
        <f>COUNTIFS('Feature Study'!AA:AA,".",'Feature Study'!G:G,"Approved")</f>
        <v>1</v>
      </c>
      <c r="S8" s="138" t="s">
        <v>2140</v>
      </c>
      <c r="T8" s="128">
        <v>1</v>
      </c>
      <c r="U8" s="3" t="s">
        <v>2550</v>
      </c>
      <c r="V8" s="104">
        <f>COUNTIFS('Feature Study'!AC:AC,".",'Feature Study'!G:G,"Approved")</f>
        <v>4</v>
      </c>
      <c r="W8" s="138" t="s">
        <v>1939</v>
      </c>
      <c r="X8" s="128">
        <f>COUNTIFS('Feature Study'!AE:AE,"By example",'Feature Study'!G:G,"Approved")</f>
        <v>1</v>
      </c>
      <c r="Y8" s="138" t="s">
        <v>2631</v>
      </c>
      <c r="Z8" s="128">
        <f>COUNTIFS('Feature Study'!AG:AG,"Heuristic search",'Feature Study'!G:G,"Approved")</f>
        <v>3</v>
      </c>
      <c r="AA8" s="136" t="s">
        <v>2595</v>
      </c>
      <c r="AB8" s="128">
        <f>COUNTIFS('Feature Study'!AI:AI,"*Conflict pattern*",'Feature Study'!G:G,"Approved")</f>
        <v>8</v>
      </c>
      <c r="AF8" s="128"/>
      <c r="AH8" s="128"/>
      <c r="AI8" s="137" t="s">
        <v>2586</v>
      </c>
      <c r="AJ8" s="104">
        <f>COUNTIFS('Feature Study'!AP:AP,"Conflict Flag",'Feature Study'!G:G,"Approved")</f>
        <v>5</v>
      </c>
      <c r="AK8" s="138" t="s">
        <v>1718</v>
      </c>
      <c r="AL8" s="128">
        <f>COUNTIFS('Feature Study'!AR:AR,"Empirical evaluation",'Feature Study'!G:G,"Approved")</f>
        <v>3</v>
      </c>
      <c r="AN8" s="128"/>
      <c r="AP8" s="128"/>
      <c r="AQ8" s="3" t="s">
        <v>2550</v>
      </c>
      <c r="AR8" s="104">
        <f>COUNTIFS('Feature Study'!AV:AV,".",'Feature Study'!G:G,"Approved")</f>
        <v>14</v>
      </c>
      <c r="AS8" s="239" t="s">
        <v>2972</v>
      </c>
      <c r="AT8" s="128">
        <f>COUNTIFS('Feature Study'!AX:AX,"*(real-world)*",'Feature Study'!G:G,"Approved")</f>
        <v>3</v>
      </c>
      <c r="AV8" s="128"/>
      <c r="AW8" s="241" t="s">
        <v>3006</v>
      </c>
      <c r="AX8" s="104">
        <f>COUNTIFS('Feature Study'!BB:BB,"*(Collaborative Modeling)*",'Feature Study'!G:G,"Approved")</f>
        <v>3</v>
      </c>
    </row>
    <row r="9" spans="1:81" x14ac:dyDescent="0.25">
      <c r="A9" s="104"/>
      <c r="B9" s="366"/>
      <c r="C9" s="135" t="s">
        <v>2539</v>
      </c>
      <c r="D9" s="104">
        <v>7</v>
      </c>
      <c r="E9" s="140" t="s">
        <v>2545</v>
      </c>
      <c r="F9" s="104">
        <f>COUNTIFS('Feature Study'!S:S,"Yes",'Feature Study'!G:G,"Approved")</f>
        <v>13</v>
      </c>
      <c r="H9" s="128"/>
      <c r="J9" s="128"/>
      <c r="L9" s="128"/>
      <c r="N9" s="128"/>
      <c r="P9" s="128"/>
      <c r="R9" s="128"/>
      <c r="S9" s="136" t="s">
        <v>2557</v>
      </c>
      <c r="T9" s="128">
        <v>1</v>
      </c>
      <c r="V9" s="104"/>
      <c r="W9" s="136" t="s">
        <v>3762</v>
      </c>
      <c r="X9" s="128">
        <f>COUNTIFS('Feature Study'!AE:AE,"*Explicit Spec*",'Feature Study'!G:G,"Approved")</f>
        <v>17</v>
      </c>
      <c r="Y9" s="279" t="s">
        <v>3490</v>
      </c>
      <c r="Z9" s="128">
        <f>COUNTIFS('Feature Study'!AG:AG,"Revising Input Models",'Feature Study'!G:G,"Approved")</f>
        <v>3</v>
      </c>
      <c r="AA9" s="138" t="s">
        <v>1798</v>
      </c>
      <c r="AB9" s="128">
        <f>COUNTIFS('Feature Study'!AI:AI,"*Inconsistency Checking*",'Feature Study'!G:G,"Approved")</f>
        <v>2</v>
      </c>
      <c r="AF9" s="128"/>
      <c r="AH9" s="128"/>
      <c r="AI9" s="3" t="s">
        <v>2550</v>
      </c>
      <c r="AJ9" s="104">
        <f>COUNTIFS('Feature Study'!AP:AP,".",'Feature Study'!G:G,"Approved")</f>
        <v>43</v>
      </c>
      <c r="AK9" s="3" t="s">
        <v>2550</v>
      </c>
      <c r="AL9" s="128">
        <f>COUNTIFS('Feature Study'!AR:AR,".",'Feature Study'!G:G,"Approved")</f>
        <v>0</v>
      </c>
      <c r="AN9" s="128"/>
      <c r="AP9" s="128"/>
      <c r="AR9" s="104"/>
      <c r="AS9" s="238" t="s">
        <v>2975</v>
      </c>
      <c r="AT9" s="128">
        <f>COUNTIFS('Feature Study'!AX:AX,"*(Manually)*",'Feature Study'!G:G,"Approved")</f>
        <v>5</v>
      </c>
      <c r="AV9" s="128"/>
      <c r="AW9" s="240" t="s">
        <v>3007</v>
      </c>
      <c r="AX9" s="104">
        <f>COUNTIFS('Feature Study'!BB:BB,"*(Experiments)*",'Feature Study'!G:G,"Approved")</f>
        <v>17</v>
      </c>
    </row>
    <row r="10" spans="1:81" x14ac:dyDescent="0.25">
      <c r="A10" s="104"/>
      <c r="B10" s="366"/>
      <c r="C10" s="135" t="s">
        <v>2426</v>
      </c>
      <c r="D10" s="104">
        <v>4</v>
      </c>
      <c r="F10" s="104"/>
      <c r="H10" s="128"/>
      <c r="J10" s="128"/>
      <c r="L10" s="128"/>
      <c r="N10" s="128"/>
      <c r="P10" s="128"/>
      <c r="R10" s="128"/>
      <c r="S10" s="138" t="s">
        <v>2253</v>
      </c>
      <c r="T10" s="128">
        <v>2</v>
      </c>
      <c r="V10" s="104"/>
      <c r="W10" s="239" t="s">
        <v>3763</v>
      </c>
      <c r="X10" s="128">
        <f>COUNTIFS('Feature Study'!AE:AE,"*Implicit Spec*",'Feature Study'!G:G,"Approved")</f>
        <v>38</v>
      </c>
      <c r="Y10" s="239" t="s">
        <v>3254</v>
      </c>
      <c r="Z10" s="128">
        <f>COUNTIFS('Feature Study'!AG:AG,"Highlight Propagation",'Feature Study'!G:G,"Approved")</f>
        <v>4</v>
      </c>
      <c r="AA10" s="144" t="s">
        <v>2593</v>
      </c>
      <c r="AB10" s="128">
        <f>COUNTIFS('Feature Study'!AI:AI,"*Check conflict rule by Prolog*",'Feature Study'!G:G,"Approved")</f>
        <v>1</v>
      </c>
      <c r="AF10" s="128"/>
      <c r="AH10" s="128"/>
      <c r="AJ10" s="104"/>
      <c r="AL10" s="128"/>
      <c r="AN10" s="128"/>
      <c r="AP10" s="128"/>
      <c r="AR10" s="104"/>
      <c r="AS10" s="240" t="s">
        <v>2977</v>
      </c>
      <c r="AT10" s="128">
        <f>COUNTIFS('Feature Study'!AX:AX,"*(Lock-Lock Compatibility)*",'Feature Study'!G:G,"Approved")</f>
        <v>1</v>
      </c>
      <c r="AU10" s="3" t="s">
        <v>2851</v>
      </c>
      <c r="AV10" s="128">
        <f>COUNTIFS('Feature Study'!AZ:AZ,"Not Mentioned",'Feature Study'!G:G,"Approved")</f>
        <v>92</v>
      </c>
      <c r="AW10" s="144" t="s">
        <v>3010</v>
      </c>
      <c r="AX10" s="104">
        <f>COUNTIFS('Feature Study'!BB:BB,"*(Notification Interfaces)*",'Feature Study'!G:G,"Approved")</f>
        <v>1</v>
      </c>
    </row>
    <row r="11" spans="1:81" x14ac:dyDescent="0.25">
      <c r="A11" s="104"/>
      <c r="B11" s="366"/>
      <c r="C11" s="135" t="s">
        <v>2174</v>
      </c>
      <c r="D11" s="104">
        <v>1</v>
      </c>
      <c r="F11" s="104"/>
      <c r="H11" s="128"/>
      <c r="J11" s="128"/>
      <c r="L11" s="128"/>
      <c r="N11" s="128"/>
      <c r="P11" s="128"/>
      <c r="R11" s="128"/>
      <c r="S11" s="138" t="s">
        <v>1887</v>
      </c>
      <c r="T11" s="128">
        <v>6</v>
      </c>
      <c r="V11" s="104"/>
      <c r="W11" s="3" t="s">
        <v>2550</v>
      </c>
      <c r="X11" s="128">
        <f>COUNTIFS('Feature Study'!AE:AE,".",'Feature Study'!G:G,"Approved")</f>
        <v>18</v>
      </c>
      <c r="Y11" s="277" t="s">
        <v>2550</v>
      </c>
      <c r="Z11" s="128">
        <f>COUNTIFS('Feature Study'!AG:AG,".",'Feature Study'!G:G,"Approved")</f>
        <v>85</v>
      </c>
      <c r="AA11" s="136" t="s">
        <v>2594</v>
      </c>
      <c r="AB11" s="128">
        <f>COUNTIFS('Feature Study'!AI:AI,"*Check different semantic views*",'Feature Study'!G:G,"Approved")</f>
        <v>1</v>
      </c>
      <c r="AF11" s="128"/>
      <c r="AH11" s="128"/>
      <c r="AJ11" s="104"/>
      <c r="AL11" s="128"/>
      <c r="AN11" s="128"/>
      <c r="AP11" s="128"/>
      <c r="AR11" s="104"/>
      <c r="AS11" s="239" t="s">
        <v>2978</v>
      </c>
      <c r="AT11" s="128">
        <f>COUNTIFS('Feature Study'!AX:AX,"*(evaluation)*",'Feature Study'!G:G,"Approved")</f>
        <v>5</v>
      </c>
      <c r="AV11" s="128"/>
      <c r="AW11" s="242" t="s">
        <v>3011</v>
      </c>
      <c r="AX11" s="104">
        <f>COUNTIFS('Feature Study'!BB:BB,"*(Conflict Resolution)*",'Feature Study'!G:G,"Approved")</f>
        <v>22</v>
      </c>
    </row>
    <row r="12" spans="1:81" x14ac:dyDescent="0.25">
      <c r="A12" s="104"/>
      <c r="B12" s="366"/>
      <c r="C12" s="135" t="s">
        <v>2538</v>
      </c>
      <c r="D12" s="104">
        <v>1</v>
      </c>
      <c r="F12" s="104"/>
      <c r="H12" s="128"/>
      <c r="J12" s="128"/>
      <c r="L12" s="128"/>
      <c r="N12" s="128"/>
      <c r="P12" s="128"/>
      <c r="R12" s="128"/>
      <c r="S12" s="137" t="s">
        <v>2627</v>
      </c>
      <c r="T12" s="128">
        <v>1</v>
      </c>
      <c r="V12" s="104"/>
      <c r="X12" s="128"/>
      <c r="Z12" s="128"/>
      <c r="AA12" s="136" t="s">
        <v>2510</v>
      </c>
      <c r="AB12" s="128">
        <f>COUNTIFS('Feature Study'!AI:AI,"*Check graph homomorphism*",'Feature Study'!G:G,"Approved")</f>
        <v>1</v>
      </c>
      <c r="AF12" s="128"/>
      <c r="AH12" s="128"/>
      <c r="AJ12" s="104"/>
      <c r="AL12" s="128"/>
      <c r="AN12" s="128"/>
      <c r="AP12" s="128"/>
      <c r="AR12" s="104"/>
      <c r="AS12" s="240" t="s">
        <v>2980</v>
      </c>
      <c r="AT12" s="128">
        <f>COUNTIFS('Feature Study'!AX:AX,"*(Language Features)*",'Feature Study'!G:G,"Approved")</f>
        <v>1</v>
      </c>
      <c r="AV12" s="128"/>
      <c r="AW12" s="240" t="s">
        <v>3013</v>
      </c>
      <c r="AX12" s="104">
        <f>COUNTIFS('Feature Study'!BB:BB,"*(evalution)*",'Feature Study'!G:G,"Approved")</f>
        <v>3</v>
      </c>
    </row>
    <row r="13" spans="1:81" x14ac:dyDescent="0.25">
      <c r="A13" s="104"/>
      <c r="B13" s="366"/>
      <c r="C13" s="135" t="s">
        <v>3235</v>
      </c>
      <c r="D13" s="104">
        <v>1</v>
      </c>
      <c r="F13" s="104"/>
      <c r="H13" s="128"/>
      <c r="J13" s="128"/>
      <c r="L13" s="128"/>
      <c r="N13" s="128"/>
      <c r="P13" s="128"/>
      <c r="R13" s="128"/>
      <c r="T13" s="128"/>
      <c r="V13" s="104"/>
      <c r="X13" s="128"/>
      <c r="Z13" s="128"/>
      <c r="AA13" s="137" t="s">
        <v>2597</v>
      </c>
      <c r="AB13" s="128">
        <f>COUNTIFS('Feature Study'!AI:AI,"*Search for Equal operators*",'Feature Study'!G:G,"Approved")</f>
        <v>1</v>
      </c>
      <c r="AF13" s="128"/>
      <c r="AH13" s="128"/>
      <c r="AJ13" s="104"/>
      <c r="AL13" s="128"/>
      <c r="AN13" s="128"/>
      <c r="AP13" s="128"/>
      <c r="AR13" s="104"/>
      <c r="AS13" s="240" t="s">
        <v>3098</v>
      </c>
      <c r="AT13" s="128">
        <f>COUNTIFS('Feature Study'!AX:AX,"*(model checker)*",'Feature Study'!G:G,"Approved")</f>
        <v>4</v>
      </c>
      <c r="AV13" s="128"/>
      <c r="AW13" s="240" t="s">
        <v>3014</v>
      </c>
      <c r="AX13" s="104">
        <f>COUNTIFS('Feature Study'!BB:BB,"*(Effectiveness and usability)*",'Feature Study'!G:G,"Approved")</f>
        <v>7</v>
      </c>
    </row>
    <row r="14" spans="1:81" x14ac:dyDescent="0.25">
      <c r="A14" s="104"/>
      <c r="D14" s="104"/>
      <c r="F14" s="104"/>
      <c r="H14" s="128"/>
      <c r="J14" s="128"/>
      <c r="L14" s="128"/>
      <c r="N14" s="128"/>
      <c r="P14" s="128"/>
      <c r="R14" s="128"/>
      <c r="T14" s="128"/>
      <c r="V14" s="104"/>
      <c r="X14" s="128"/>
      <c r="Z14" s="128"/>
      <c r="AA14" s="136" t="s">
        <v>2638</v>
      </c>
      <c r="AB14" s="128">
        <f>COUNTIFS('Feature Study'!AI:AI,"*Decision making tree*",'Feature Study'!G:G,"Approved")</f>
        <v>1</v>
      </c>
      <c r="AF14" s="128"/>
      <c r="AH14" s="128"/>
      <c r="AJ14" s="104"/>
      <c r="AL14" s="128"/>
      <c r="AN14" s="128"/>
      <c r="AP14" s="128"/>
      <c r="AR14" s="104"/>
      <c r="AS14" s="136" t="s">
        <v>2981</v>
      </c>
      <c r="AT14" s="128">
        <f>COUNTIFS('Feature Study'!AX:AX,"*(visualization)*",'Feature Study'!G:G,"Approved")</f>
        <v>2</v>
      </c>
      <c r="AV14" s="128"/>
      <c r="AW14" s="242" t="s">
        <v>3016</v>
      </c>
      <c r="AX14" s="104">
        <f>COUNTIFS('Feature Study'!BB:BB,"*(roll back)*",'Feature Study'!G:G,"Approved")</f>
        <v>2</v>
      </c>
    </row>
    <row r="15" spans="1:81" x14ac:dyDescent="0.25">
      <c r="A15" s="104"/>
      <c r="D15" s="104"/>
      <c r="F15" s="104"/>
      <c r="H15" s="128"/>
      <c r="J15" s="128"/>
      <c r="L15" s="128"/>
      <c r="N15" s="128"/>
      <c r="P15" s="128"/>
      <c r="R15" s="128"/>
      <c r="T15" s="128"/>
      <c r="V15" s="104"/>
      <c r="X15" s="128"/>
      <c r="Z15" s="128"/>
      <c r="AA15" s="137" t="s">
        <v>2602</v>
      </c>
      <c r="AB15" s="128">
        <f>COUNTIFS('Feature Study'!AI:AI,"*Topological Sorting Strategy*",'Feature Study'!G:G,"Approved")</f>
        <v>0</v>
      </c>
      <c r="AF15" s="128"/>
      <c r="AH15" s="128"/>
      <c r="AJ15" s="104"/>
      <c r="AL15" s="128"/>
      <c r="AN15" s="128"/>
      <c r="AP15" s="128"/>
      <c r="AR15" s="104"/>
      <c r="AS15" s="239" t="s">
        <v>2982</v>
      </c>
      <c r="AT15" s="128">
        <f>COUNTIFS('Feature Study'!AX:AX,"*(Benchmarking)*",'Feature Study'!G:G,"Approved")</f>
        <v>1</v>
      </c>
      <c r="AV15" s="128"/>
      <c r="AW15" s="236" t="s">
        <v>3018</v>
      </c>
      <c r="AX15" s="104">
        <f>COUNTIFS('Feature Study'!BB:BB,"*(online collaboration)*",'Feature Study'!G:G,"Approved")</f>
        <v>1</v>
      </c>
    </row>
    <row r="16" spans="1:81" x14ac:dyDescent="0.25">
      <c r="A16" s="104"/>
      <c r="D16" s="104"/>
      <c r="F16" s="104"/>
      <c r="H16" s="128"/>
      <c r="J16" s="128"/>
      <c r="L16" s="128"/>
      <c r="N16" s="128"/>
      <c r="P16" s="128"/>
      <c r="R16" s="128"/>
      <c r="T16" s="128"/>
      <c r="V16" s="104"/>
      <c r="X16" s="128"/>
      <c r="Z16" s="128"/>
      <c r="AA16" s="137" t="s">
        <v>2607</v>
      </c>
      <c r="AB16" s="128">
        <f>COUNTIFS('Feature Study'!AI:AI,"*Conflict Matrix*",'Feature Study'!G:G,"Approved")</f>
        <v>2</v>
      </c>
      <c r="AF16" s="128"/>
      <c r="AH16" s="128"/>
      <c r="AJ16" s="104"/>
      <c r="AL16" s="128"/>
      <c r="AN16" s="128"/>
      <c r="AP16" s="128"/>
      <c r="AR16" s="104"/>
      <c r="AS16" s="138" t="s">
        <v>2983</v>
      </c>
      <c r="AT16" s="128">
        <f>COUNTIFS('Feature Study'!AX:AX,"*(model-specific constraints)*",'Feature Study'!G:G,"Approved")</f>
        <v>5</v>
      </c>
      <c r="AV16" s="128"/>
      <c r="AW16" s="3" t="s">
        <v>3020</v>
      </c>
      <c r="AX16" s="104">
        <f>COUNTIFS('Feature Study'!BB:BB,"*(merge technique)*",'Feature Study'!G:G,"Approved")</f>
        <v>4</v>
      </c>
    </row>
    <row r="17" spans="1:50" x14ac:dyDescent="0.25">
      <c r="A17" s="104"/>
      <c r="D17" s="104"/>
      <c r="F17" s="104"/>
      <c r="H17" s="128"/>
      <c r="J17" s="128"/>
      <c r="L17" s="128"/>
      <c r="N17" s="128"/>
      <c r="P17" s="128"/>
      <c r="R17" s="128"/>
      <c r="T17" s="128"/>
      <c r="V17" s="104"/>
      <c r="X17" s="128"/>
      <c r="Z17" s="128"/>
      <c r="AA17" s="144" t="s">
        <v>1878</v>
      </c>
      <c r="AB17" s="128">
        <f>COUNTIFS('Feature Study'!AI:AI,"*OWL reasoner*",'Feature Study'!G:G,"Approved")</f>
        <v>1</v>
      </c>
      <c r="AF17" s="128"/>
      <c r="AH17" s="128"/>
      <c r="AJ17" s="104"/>
      <c r="AL17" s="128"/>
      <c r="AN17" s="128"/>
      <c r="AP17" s="128"/>
      <c r="AR17" s="104"/>
      <c r="AS17" s="138" t="s">
        <v>2989</v>
      </c>
      <c r="AT17" s="128">
        <f>COUNTIFS('Feature Study'!AX:AX,"*(behavioral semantic conflicts)*",'Feature Study'!G:G,"Approved")</f>
        <v>1</v>
      </c>
      <c r="AV17" s="128"/>
      <c r="AW17" s="138" t="s">
        <v>3022</v>
      </c>
      <c r="AX17" s="104">
        <f>COUNTIFS('Feature Study'!BB:BB,"*(syntactic conflicts)*",'Feature Study'!G:G,"Approved")</f>
        <v>3</v>
      </c>
    </row>
    <row r="18" spans="1:50" x14ac:dyDescent="0.25">
      <c r="A18" s="104"/>
      <c r="D18" s="104"/>
      <c r="F18" s="104"/>
      <c r="H18" s="128"/>
      <c r="J18" s="128"/>
      <c r="L18" s="128"/>
      <c r="N18" s="128"/>
      <c r="P18" s="128"/>
      <c r="R18" s="128"/>
      <c r="T18" s="128"/>
      <c r="V18" s="104"/>
      <c r="X18" s="128"/>
      <c r="Z18" s="128"/>
      <c r="AA18" s="144" t="s">
        <v>2090</v>
      </c>
      <c r="AB18" s="128">
        <f>COUNTIFS('Feature Study'!AI:AI,"*Spin Model Checking*",'Feature Study'!G:G,"Approved")</f>
        <v>1</v>
      </c>
      <c r="AF18" s="128"/>
      <c r="AH18" s="128"/>
      <c r="AJ18" s="104"/>
      <c r="AL18" s="128"/>
      <c r="AN18" s="128"/>
      <c r="AP18" s="128"/>
      <c r="AR18" s="104"/>
      <c r="AS18" s="240" t="s">
        <v>2990</v>
      </c>
      <c r="AT18" s="128">
        <f>COUNTIFS('Feature Study'!AX:AX,"*(change operators)*",'Feature Study'!G:G,"Approved")</f>
        <v>2</v>
      </c>
      <c r="AV18" s="128"/>
      <c r="AW18" s="260" t="s">
        <v>3024</v>
      </c>
      <c r="AX18" s="104">
        <f>COUNTIFS('Feature Study'!BB:BB,"*(recomputation of conflict)*",'Feature Study'!G:G,"Approved")</f>
        <v>2</v>
      </c>
    </row>
    <row r="19" spans="1:50" x14ac:dyDescent="0.25">
      <c r="A19" s="104"/>
      <c r="D19" s="104"/>
      <c r="F19" s="104"/>
      <c r="H19" s="128"/>
      <c r="J19" s="128"/>
      <c r="L19" s="128"/>
      <c r="N19" s="128"/>
      <c r="P19" s="128"/>
      <c r="R19" s="128"/>
      <c r="T19" s="128"/>
      <c r="V19" s="104"/>
      <c r="X19" s="128"/>
      <c r="Z19" s="128"/>
      <c r="AA19" s="138" t="s">
        <v>1772</v>
      </c>
      <c r="AB19" s="128">
        <f>COUNTIFS('Feature Study'!AI:AI,"*Proactive Conflict*",'Feature Study'!G:G,"Approved")</f>
        <v>3</v>
      </c>
      <c r="AF19" s="128"/>
      <c r="AH19" s="128"/>
      <c r="AJ19" s="104"/>
      <c r="AL19" s="128"/>
      <c r="AN19" s="128"/>
      <c r="AP19" s="128"/>
      <c r="AR19" s="104"/>
      <c r="AS19" s="240" t="s">
        <v>3255</v>
      </c>
      <c r="AT19" s="128">
        <f>COUNTIFS('Feature Study'!AX:AX,"*Cascading deletion*",'Feature Study'!G:G,"Approved")</f>
        <v>1</v>
      </c>
      <c r="AV19" s="128"/>
      <c r="AW19" s="3" t="s">
        <v>3025</v>
      </c>
      <c r="AX19" s="104">
        <f>COUNTIFS('Feature Study'!BB:BB,"*(OWL representation)*",'Feature Study'!G:G,"Approved")</f>
        <v>1</v>
      </c>
    </row>
    <row r="20" spans="1:50" x14ac:dyDescent="0.25">
      <c r="A20" s="104"/>
      <c r="D20" s="104"/>
      <c r="F20" s="104"/>
      <c r="H20" s="128"/>
      <c r="J20" s="128"/>
      <c r="L20" s="128"/>
      <c r="N20" s="128"/>
      <c r="P20" s="128"/>
      <c r="R20" s="128"/>
      <c r="T20" s="128"/>
      <c r="V20" s="104"/>
      <c r="X20" s="128"/>
      <c r="Z20" s="128"/>
      <c r="AA20" s="144" t="s">
        <v>2249</v>
      </c>
      <c r="AB20" s="128">
        <f>COUNTIFS('Feature Study'!AI:AI,"*DPF*",'Feature Study'!G:G,"Approved")</f>
        <v>3</v>
      </c>
      <c r="AF20" s="128"/>
      <c r="AH20" s="128"/>
      <c r="AJ20" s="104"/>
      <c r="AL20" s="128"/>
      <c r="AN20" s="128"/>
      <c r="AP20" s="128"/>
      <c r="AR20" s="104"/>
      <c r="AS20" s="289" t="s">
        <v>3652</v>
      </c>
      <c r="AT20" s="128">
        <f>COUNTIFS('Feature Study'!AX:AX,"*specific modeling language*",'Feature Study'!G:G,"Approved")</f>
        <v>4</v>
      </c>
      <c r="AV20" s="128"/>
      <c r="AW20" s="136" t="s">
        <v>3027</v>
      </c>
      <c r="AX20" s="104">
        <f>COUNTIFS('Feature Study'!BB:BB,"*(GECS)*",'Feature Study'!G:G,"Approved")</f>
        <v>6</v>
      </c>
    </row>
    <row r="21" spans="1:50" x14ac:dyDescent="0.25">
      <c r="A21" s="104"/>
      <c r="D21" s="104"/>
      <c r="F21" s="104"/>
      <c r="H21" s="128"/>
      <c r="J21" s="128"/>
      <c r="L21" s="128"/>
      <c r="N21" s="128"/>
      <c r="P21" s="128"/>
      <c r="R21" s="128"/>
      <c r="T21" s="128"/>
      <c r="V21" s="104"/>
      <c r="X21" s="128"/>
      <c r="Z21" s="128"/>
      <c r="AA21" s="136" t="s">
        <v>1740</v>
      </c>
      <c r="AB21" s="128">
        <f>COUNTIFS('Feature Study'!AI:AI,"*Validation Tree*",'Feature Study'!G:G,"Approved")</f>
        <v>1</v>
      </c>
      <c r="AF21" s="128"/>
      <c r="AH21" s="128"/>
      <c r="AJ21" s="104"/>
      <c r="AL21" s="128"/>
      <c r="AN21" s="128"/>
      <c r="AP21" s="128"/>
      <c r="AR21" s="104"/>
      <c r="AS21" s="286" t="s">
        <v>2851</v>
      </c>
      <c r="AT21" s="128">
        <f>COUNTIFS('Feature Study'!AX:AX,"Not Mentioned",'Feature Study'!G:G,"Approved")</f>
        <v>73</v>
      </c>
      <c r="AV21" s="128"/>
      <c r="AW21" s="138" t="s">
        <v>3030</v>
      </c>
      <c r="AX21" s="104">
        <f>COUNTIFS('Feature Study'!BB:BB,"*(consistency preserving)*",'Feature Study'!G:G,"Approved")</f>
        <v>4</v>
      </c>
    </row>
    <row r="22" spans="1:50" x14ac:dyDescent="0.25">
      <c r="A22" s="104"/>
      <c r="D22" s="104"/>
      <c r="F22" s="104"/>
      <c r="H22" s="128"/>
      <c r="J22" s="128"/>
      <c r="L22" s="128"/>
      <c r="N22" s="128"/>
      <c r="P22" s="128"/>
      <c r="R22" s="128"/>
      <c r="T22" s="128"/>
      <c r="V22" s="104"/>
      <c r="X22" s="128"/>
      <c r="Z22" s="128"/>
      <c r="AA22" s="144" t="s">
        <v>3561</v>
      </c>
      <c r="AB22" s="128">
        <f>COUNTIFS('Feature Study'!AI:AI,"*Formal reasoning*",'Feature Study'!G:G,"Approved")</f>
        <v>10</v>
      </c>
      <c r="AF22" s="128"/>
      <c r="AH22" s="128"/>
      <c r="AJ22" s="104"/>
      <c r="AL22" s="128"/>
      <c r="AN22" s="128"/>
      <c r="AP22" s="128"/>
      <c r="AR22" s="104"/>
      <c r="AT22" s="128"/>
      <c r="AV22" s="128"/>
      <c r="AW22" s="138" t="s">
        <v>3033</v>
      </c>
      <c r="AX22" s="104">
        <f>COUNTIFS('Feature Study'!BB:BB,"*(conflict detection scripts)*",'Feature Study'!G:G,"Approved")</f>
        <v>4</v>
      </c>
    </row>
    <row r="23" spans="1:50" x14ac:dyDescent="0.25">
      <c r="A23" s="104"/>
      <c r="D23" s="104"/>
      <c r="F23" s="104"/>
      <c r="H23" s="128"/>
      <c r="J23" s="128"/>
      <c r="L23" s="128"/>
      <c r="N23" s="128"/>
      <c r="P23" s="128"/>
      <c r="R23" s="128"/>
      <c r="T23" s="128"/>
      <c r="V23" s="104"/>
      <c r="X23" s="128"/>
      <c r="Z23" s="128"/>
      <c r="AA23" s="282" t="s">
        <v>2550</v>
      </c>
      <c r="AB23" s="128">
        <f>COUNTIFS('Feature Study'!AI:AI,".",'Feature Study'!G:G,"Approved")</f>
        <v>19</v>
      </c>
      <c r="AF23" s="128"/>
      <c r="AH23" s="128"/>
      <c r="AJ23" s="104"/>
      <c r="AL23" s="128"/>
      <c r="AN23" s="128"/>
      <c r="AP23" s="128"/>
      <c r="AR23" s="104"/>
      <c r="AT23" s="128"/>
      <c r="AV23" s="128"/>
      <c r="AW23" s="3" t="s">
        <v>3034</v>
      </c>
      <c r="AX23" s="104">
        <f>COUNTIFS('Feature Study'!BB:BB,"*(other modeling language)*",'Feature Study'!G:G,"Approved")</f>
        <v>8</v>
      </c>
    </row>
    <row r="24" spans="1:50" x14ac:dyDescent="0.25">
      <c r="A24" s="104"/>
      <c r="D24" s="104"/>
      <c r="F24" s="104"/>
      <c r="H24" s="128"/>
      <c r="J24" s="128"/>
      <c r="L24" s="128"/>
      <c r="N24" s="128"/>
      <c r="P24" s="128"/>
      <c r="R24" s="128"/>
      <c r="T24" s="128"/>
      <c r="V24" s="104"/>
      <c r="X24" s="128"/>
      <c r="Z24" s="128"/>
      <c r="AA24" s="282"/>
      <c r="AB24" s="128"/>
      <c r="AF24" s="128"/>
      <c r="AH24" s="128"/>
      <c r="AJ24" s="104"/>
      <c r="AL24" s="128"/>
      <c r="AN24" s="128"/>
      <c r="AP24" s="128"/>
      <c r="AR24" s="104"/>
      <c r="AT24" s="128"/>
      <c r="AV24" s="128"/>
      <c r="AW24" s="3" t="s">
        <v>3038</v>
      </c>
      <c r="AX24" s="104">
        <f>COUNTIFS('Feature Study'!BB:BB,"*(Conformance checks)*",'Feature Study'!G:G,"Approved")</f>
        <v>1</v>
      </c>
    </row>
    <row r="25" spans="1:50" x14ac:dyDescent="0.25">
      <c r="A25" s="104"/>
      <c r="D25" s="104"/>
      <c r="F25" s="104"/>
      <c r="H25" s="128"/>
      <c r="J25" s="128"/>
      <c r="L25" s="128"/>
      <c r="N25" s="128"/>
      <c r="P25" s="128"/>
      <c r="R25" s="128"/>
      <c r="T25" s="128"/>
      <c r="V25" s="104"/>
      <c r="X25" s="128"/>
      <c r="Z25" s="128"/>
      <c r="AB25" s="128"/>
      <c r="AF25" s="128"/>
      <c r="AH25" s="128"/>
      <c r="AJ25" s="104"/>
      <c r="AL25" s="128"/>
      <c r="AN25" s="128"/>
      <c r="AP25" s="128"/>
      <c r="AR25" s="104"/>
      <c r="AT25" s="128"/>
      <c r="AV25" s="128"/>
      <c r="AW25" s="242" t="s">
        <v>3131</v>
      </c>
      <c r="AX25" s="104">
        <f>COUNTIFS('Feature Study'!BB:BB,"*(Decision Making)*",'Feature Study'!G:G,"Approved")</f>
        <v>1</v>
      </c>
    </row>
    <row r="26" spans="1:50" x14ac:dyDescent="0.25">
      <c r="A26" s="104"/>
      <c r="D26" s="104"/>
      <c r="F26" s="104"/>
      <c r="H26" s="128"/>
      <c r="J26" s="128"/>
      <c r="L26" s="128"/>
      <c r="N26" s="128"/>
      <c r="P26" s="128"/>
      <c r="R26" s="128"/>
      <c r="T26" s="128"/>
      <c r="V26" s="104"/>
      <c r="X26" s="128"/>
      <c r="Z26" s="128"/>
      <c r="AB26" s="128"/>
      <c r="AF26" s="128"/>
      <c r="AH26" s="128"/>
      <c r="AJ26" s="104"/>
      <c r="AL26" s="128"/>
      <c r="AN26" s="128"/>
      <c r="AP26" s="128"/>
      <c r="AR26" s="104"/>
      <c r="AT26" s="128"/>
      <c r="AV26" s="128"/>
      <c r="AW26" s="3" t="s">
        <v>3041</v>
      </c>
      <c r="AX26" s="104">
        <f>COUNTIFS('Feature Study'!BB:BB,"*(categorization of conflicts)*",'Feature Study'!G:G,"Approved")</f>
        <v>1</v>
      </c>
    </row>
    <row r="27" spans="1:50" x14ac:dyDescent="0.25">
      <c r="A27" s="104"/>
      <c r="D27" s="104"/>
      <c r="F27" s="104"/>
      <c r="H27" s="128"/>
      <c r="J27" s="128"/>
      <c r="L27" s="128"/>
      <c r="N27" s="128"/>
      <c r="P27" s="128"/>
      <c r="R27" s="128"/>
      <c r="T27" s="128"/>
      <c r="V27" s="104"/>
      <c r="X27" s="128"/>
      <c r="Z27" s="128"/>
      <c r="AB27" s="128"/>
      <c r="AF27" s="128"/>
      <c r="AH27" s="128"/>
      <c r="AJ27" s="104"/>
      <c r="AL27" s="128"/>
      <c r="AN27" s="128"/>
      <c r="AP27" s="128"/>
      <c r="AR27" s="104"/>
      <c r="AT27" s="128"/>
      <c r="AV27" s="128"/>
      <c r="AW27" s="238" t="s">
        <v>3046</v>
      </c>
      <c r="AX27" s="104">
        <f>COUNTIFS('Feature Study'!BB:BB,"*(Semantics-aware)*",'Feature Study'!G:G,"Approved")</f>
        <v>1</v>
      </c>
    </row>
    <row r="28" spans="1:50" x14ac:dyDescent="0.25">
      <c r="A28" s="104"/>
      <c r="B28" s="138" t="s">
        <v>1644</v>
      </c>
      <c r="D28" s="104"/>
      <c r="E28" s="144" t="s">
        <v>1650</v>
      </c>
      <c r="F28" s="104"/>
      <c r="G28" s="138" t="s">
        <v>2546</v>
      </c>
      <c r="H28" s="128"/>
      <c r="I28" s="138" t="s">
        <v>2546</v>
      </c>
      <c r="J28" s="128"/>
      <c r="K28" s="136" t="s">
        <v>1915</v>
      </c>
      <c r="L28" s="128"/>
      <c r="M28" s="138" t="s">
        <v>2258</v>
      </c>
      <c r="N28" s="128"/>
      <c r="O28" s="137" t="s">
        <v>1686</v>
      </c>
      <c r="P28" s="128"/>
      <c r="Q28" s="136" t="s">
        <v>1877</v>
      </c>
      <c r="R28" s="128"/>
      <c r="S28" s="139" t="s">
        <v>2616</v>
      </c>
      <c r="T28" s="128" t="s">
        <v>2614</v>
      </c>
      <c r="U28" s="138" t="s">
        <v>2208</v>
      </c>
      <c r="V28" s="104"/>
      <c r="W28" s="137" t="s">
        <v>1860</v>
      </c>
      <c r="X28" s="128"/>
      <c r="Y28" s="137" t="s">
        <v>2639</v>
      </c>
      <c r="Z28" s="128"/>
      <c r="AA28" s="138" t="s">
        <v>2641</v>
      </c>
      <c r="AB28" s="128"/>
      <c r="AC28" s="137" t="s">
        <v>1670</v>
      </c>
      <c r="AE28" s="137" t="s">
        <v>2197</v>
      </c>
      <c r="AF28" s="128"/>
      <c r="AG28" s="138" t="s">
        <v>2546</v>
      </c>
      <c r="AH28" s="128"/>
      <c r="AI28" s="138" t="s">
        <v>1801</v>
      </c>
      <c r="AJ28" s="104"/>
      <c r="AK28" s="137" t="s">
        <v>1709</v>
      </c>
      <c r="AL28" s="128"/>
      <c r="AM28" s="136" t="s">
        <v>1693</v>
      </c>
      <c r="AN28" s="128"/>
      <c r="AO28" s="138" t="s">
        <v>1679</v>
      </c>
      <c r="AP28" s="128"/>
      <c r="AQ28" s="138" t="s">
        <v>1677</v>
      </c>
      <c r="AR28" s="104"/>
      <c r="AS28" s="137" t="s">
        <v>2967</v>
      </c>
      <c r="AT28" s="128">
        <f>AT4</f>
        <v>4</v>
      </c>
      <c r="AV28" s="128"/>
      <c r="AW28" s="259" t="s">
        <v>3049</v>
      </c>
      <c r="AX28" s="104">
        <f>COUNTIFS('Feature Study'!BB:BB,"*(composite operations)*",'Feature Study'!G:G,"Approved")</f>
        <v>2</v>
      </c>
    </row>
    <row r="29" spans="1:50" x14ac:dyDescent="0.25">
      <c r="A29" s="104"/>
      <c r="B29" s="137" t="s">
        <v>1645</v>
      </c>
      <c r="D29" s="104"/>
      <c r="E29" s="138" t="s">
        <v>2543</v>
      </c>
      <c r="F29" s="104"/>
      <c r="G29" s="137" t="s">
        <v>2624</v>
      </c>
      <c r="H29" s="128"/>
      <c r="I29" s="137" t="s">
        <v>2624</v>
      </c>
      <c r="J29" s="128"/>
      <c r="K29" s="138" t="s">
        <v>1710</v>
      </c>
      <c r="L29" s="128"/>
      <c r="M29" s="137" t="s">
        <v>2257</v>
      </c>
      <c r="N29" s="128"/>
      <c r="O29" s="138" t="s">
        <v>1685</v>
      </c>
      <c r="P29" s="128"/>
      <c r="Q29" s="137" t="s">
        <v>1723</v>
      </c>
      <c r="R29" s="128"/>
      <c r="S29" s="140" t="s">
        <v>2615</v>
      </c>
      <c r="T29" s="128" t="s">
        <v>2614</v>
      </c>
      <c r="U29" s="136" t="s">
        <v>2620</v>
      </c>
      <c r="V29" s="104"/>
      <c r="W29" s="138" t="s">
        <v>2636</v>
      </c>
      <c r="X29" s="128"/>
      <c r="Y29" s="138" t="s">
        <v>2660</v>
      </c>
      <c r="Z29" s="128"/>
      <c r="AA29" s="137" t="s">
        <v>2640</v>
      </c>
      <c r="AB29" s="128"/>
      <c r="AC29" s="144" t="s">
        <v>1792</v>
      </c>
      <c r="AE29" s="136" t="s">
        <v>2196</v>
      </c>
      <c r="AF29" s="128"/>
      <c r="AG29" s="137" t="s">
        <v>2624</v>
      </c>
      <c r="AH29" s="128"/>
      <c r="AI29" s="137" t="s">
        <v>3679</v>
      </c>
      <c r="AJ29" s="104"/>
      <c r="AK29" s="144" t="s">
        <v>1743</v>
      </c>
      <c r="AL29" s="128"/>
      <c r="AM29" s="138" t="s">
        <v>2568</v>
      </c>
      <c r="AN29" s="128"/>
      <c r="AO29" s="136" t="s">
        <v>2805</v>
      </c>
      <c r="AP29" s="128"/>
      <c r="AQ29" s="136" t="s">
        <v>1682</v>
      </c>
      <c r="AR29" s="104"/>
      <c r="AS29" s="136" t="s">
        <v>2992</v>
      </c>
      <c r="AT29" s="128">
        <f>AT5+AT6+AT14</f>
        <v>6</v>
      </c>
      <c r="AV29" s="128"/>
      <c r="AW29" s="259" t="s">
        <v>3052</v>
      </c>
      <c r="AX29" s="104">
        <f>COUNTIFS('Feature Study'!BB:BB,"*(operation sequence)*",'Feature Study'!G:G,"Approved")</f>
        <v>2</v>
      </c>
    </row>
    <row r="30" spans="1:50" x14ac:dyDescent="0.25">
      <c r="A30" s="104"/>
      <c r="B30" s="136" t="s">
        <v>1711</v>
      </c>
      <c r="D30" s="104"/>
      <c r="E30" s="137" t="s">
        <v>2622</v>
      </c>
      <c r="F30" s="104"/>
      <c r="H30" s="128"/>
      <c r="J30" s="128"/>
      <c r="L30" s="128"/>
      <c r="N30" s="128"/>
      <c r="P30" s="128"/>
      <c r="Q30" s="138" t="s">
        <v>1959</v>
      </c>
      <c r="R30" s="128"/>
      <c r="S30" s="141" t="s">
        <v>2617</v>
      </c>
      <c r="T30" s="128" t="s">
        <v>2614</v>
      </c>
      <c r="U30" s="137" t="s">
        <v>2621</v>
      </c>
      <c r="V30" s="104"/>
      <c r="W30" s="136" t="s">
        <v>2010</v>
      </c>
      <c r="X30" s="128"/>
      <c r="Y30" s="136" t="s">
        <v>2632</v>
      </c>
      <c r="Z30" s="128"/>
      <c r="AA30" s="136" t="s">
        <v>2626</v>
      </c>
      <c r="AB30" s="128"/>
      <c r="AC30" s="138" t="s">
        <v>2260</v>
      </c>
      <c r="AF30" s="128"/>
      <c r="AH30" s="128"/>
      <c r="AI30" s="301" t="s">
        <v>3672</v>
      </c>
      <c r="AJ30" s="104"/>
      <c r="AK30" s="138" t="s">
        <v>1718</v>
      </c>
      <c r="AL30" s="128"/>
      <c r="AM30" s="239" t="s">
        <v>1694</v>
      </c>
      <c r="AN30" s="128"/>
      <c r="AP30" s="128"/>
      <c r="AQ30" s="137" t="s">
        <v>1678</v>
      </c>
      <c r="AR30" s="104"/>
      <c r="AS30" s="239" t="s">
        <v>2991</v>
      </c>
      <c r="AT30" s="128">
        <f>AT8+AT11+AT15</f>
        <v>9</v>
      </c>
      <c r="AV30" s="128"/>
      <c r="AW30" s="238" t="s">
        <v>3056</v>
      </c>
      <c r="AX30" s="104">
        <f>COUNTIFS('Feature Study'!BB:BB,"*(model-specific constraint)*",'Feature Study'!G:G,"Approved")</f>
        <v>1</v>
      </c>
    </row>
    <row r="31" spans="1:50" x14ac:dyDescent="0.25">
      <c r="A31" s="104"/>
      <c r="B31" s="144" t="s">
        <v>2625</v>
      </c>
      <c r="D31" s="104"/>
      <c r="E31" s="136" t="s">
        <v>2623</v>
      </c>
      <c r="F31" s="104"/>
      <c r="H31" s="128"/>
      <c r="J31" s="128"/>
      <c r="L31" s="128"/>
      <c r="N31" s="128"/>
      <c r="P31" s="128"/>
      <c r="R31" s="128"/>
      <c r="T31" s="128"/>
      <c r="V31" s="104"/>
      <c r="W31" s="239" t="s">
        <v>3763</v>
      </c>
      <c r="X31" s="128"/>
      <c r="Y31" s="299" t="s">
        <v>3734</v>
      </c>
      <c r="Z31" s="128"/>
      <c r="AA31" s="144" t="s">
        <v>2642</v>
      </c>
      <c r="AB31" s="128"/>
      <c r="AF31" s="128"/>
      <c r="AH31" s="128"/>
      <c r="AJ31" s="104"/>
      <c r="AK31" s="153"/>
      <c r="AL31" s="128"/>
      <c r="AN31" s="128"/>
      <c r="AP31" s="128"/>
      <c r="AR31" s="104"/>
      <c r="AS31" s="238" t="s">
        <v>3000</v>
      </c>
      <c r="AT31" s="128">
        <f>AT7+AT9</f>
        <v>11</v>
      </c>
      <c r="AV31" s="128"/>
      <c r="AW31" s="236" t="s">
        <v>3058</v>
      </c>
      <c r="AX31" s="104">
        <f>COUNTIFS('Feature Study'!BB:BB,"*(conflict specification)*",'Feature Study'!G:G,"Approved")</f>
        <v>1</v>
      </c>
    </row>
    <row r="32" spans="1:50" x14ac:dyDescent="0.25">
      <c r="A32" s="126"/>
      <c r="B32" s="146" t="s">
        <v>1647</v>
      </c>
      <c r="D32" s="104"/>
      <c r="G32" s="143"/>
      <c r="I32" s="142"/>
      <c r="K32" s="142"/>
      <c r="M32" s="142"/>
      <c r="O32" s="142"/>
      <c r="Q32" s="142"/>
      <c r="S32" s="142"/>
      <c r="U32" s="142"/>
      <c r="V32" s="104"/>
      <c r="Y32" s="300" t="s">
        <v>3745</v>
      </c>
      <c r="AA32" s="142"/>
      <c r="AB32" s="128"/>
      <c r="AG32" s="142"/>
      <c r="AI32" s="142"/>
      <c r="AJ32" s="104"/>
      <c r="AK32" s="153"/>
      <c r="AM32" s="142"/>
      <c r="AN32" s="128"/>
      <c r="AQ32" s="142"/>
      <c r="AR32" s="104"/>
      <c r="AS32" s="138" t="s">
        <v>3127</v>
      </c>
      <c r="AT32" s="128">
        <f>AT16+AT17+AT20</f>
        <v>10</v>
      </c>
      <c r="AV32" s="128"/>
      <c r="AW32" s="277" t="s">
        <v>3060</v>
      </c>
      <c r="AX32" s="104">
        <f>COUNTIFS('Feature Study'!BB:BB,"*(multi-view consistency)*",'Feature Study'!G:G,"Approved")</f>
        <v>1</v>
      </c>
    </row>
    <row r="33" spans="28:50" x14ac:dyDescent="0.25">
      <c r="AD33" s="321"/>
      <c r="AK33" s="237"/>
      <c r="AL33" s="128"/>
      <c r="AN33" s="128"/>
      <c r="AQ33" s="142"/>
      <c r="AR33" s="104"/>
      <c r="AS33" s="240" t="s">
        <v>2999</v>
      </c>
      <c r="AT33" s="128">
        <f>AT10+AT12+AT13+AT18+AT19</f>
        <v>9</v>
      </c>
      <c r="AW33" s="144" t="s">
        <v>3062</v>
      </c>
      <c r="AX33" s="104">
        <f>COUNTIFS('Feature Study'!BB:BB,"*(raise awareness)*",'Feature Study'!G:G,"Approved")</f>
        <v>5</v>
      </c>
    </row>
    <row r="34" spans="28:50" x14ac:dyDescent="0.25">
      <c r="AD34" s="321"/>
      <c r="AW34" s="144" t="s">
        <v>3068</v>
      </c>
      <c r="AX34" s="104">
        <f>COUNTIFS('Feature Study'!BB:BB,"*(feedback during collaboration)*",'Feature Study'!G:G,"Approved")</f>
        <v>3</v>
      </c>
    </row>
    <row r="35" spans="28:50" x14ac:dyDescent="0.25">
      <c r="AD35" s="321"/>
      <c r="AW35" s="236" t="s">
        <v>3087</v>
      </c>
      <c r="AX35" s="104">
        <f>COUNTIFS('Feature Study'!BB:BB,"*(P2P communication)*",'Feature Study'!G:G,"Approved")</f>
        <v>2</v>
      </c>
    </row>
    <row r="36" spans="28:50" x14ac:dyDescent="0.25">
      <c r="AB36" s="3" t="s">
        <v>2614</v>
      </c>
      <c r="AW36" s="236" t="s">
        <v>3567</v>
      </c>
      <c r="AX36" s="104">
        <f>COUNTIFS('Feature Study'!BB:BB,"*Improve consistency checking*",'Feature Study'!G:G,"Approved")</f>
        <v>3</v>
      </c>
    </row>
    <row r="37" spans="28:50" x14ac:dyDescent="0.25">
      <c r="AW37" s="3" t="s">
        <v>2851</v>
      </c>
      <c r="AX37" s="104">
        <f>COUNTIFS('Feature Study'!BB:BB,"Not Mentioned",'Feature Study'!G:G,"Approved")</f>
        <v>10</v>
      </c>
    </row>
    <row r="40" spans="28:50" x14ac:dyDescent="0.25">
      <c r="AW40" s="240" t="s">
        <v>3094</v>
      </c>
      <c r="AX40" s="3">
        <f>AX5+AX9+AX12+AX13</f>
        <v>35</v>
      </c>
    </row>
    <row r="41" spans="28:50" x14ac:dyDescent="0.25">
      <c r="AW41" s="242" t="s">
        <v>3096</v>
      </c>
      <c r="AX41" s="3">
        <f>AX11+AX14+AX25</f>
        <v>25</v>
      </c>
    </row>
    <row r="42" spans="28:50" x14ac:dyDescent="0.25">
      <c r="AW42" s="241" t="s">
        <v>3093</v>
      </c>
      <c r="AX42" s="3">
        <f>AX4+AX8</f>
        <v>34</v>
      </c>
    </row>
    <row r="43" spans="28:50" x14ac:dyDescent="0.25">
      <c r="AW43" s="136" t="s">
        <v>3095</v>
      </c>
      <c r="AX43" s="3">
        <f>AX6+AX20</f>
        <v>14</v>
      </c>
    </row>
    <row r="44" spans="28:50" x14ac:dyDescent="0.25">
      <c r="AW44" s="238" t="s">
        <v>3099</v>
      </c>
      <c r="AX44" s="3">
        <f>AX7+AX27+AX30</f>
        <v>15</v>
      </c>
    </row>
    <row r="45" spans="28:50" x14ac:dyDescent="0.25">
      <c r="AW45" s="138" t="s">
        <v>3132</v>
      </c>
      <c r="AX45" s="3">
        <f>AX17+AX21+AX22</f>
        <v>11</v>
      </c>
    </row>
    <row r="46" spans="28:50" x14ac:dyDescent="0.25">
      <c r="AW46" s="144" t="s">
        <v>3097</v>
      </c>
      <c r="AX46" s="3">
        <f>AX10+AX33+AX34</f>
        <v>9</v>
      </c>
    </row>
    <row r="47" spans="28:50" x14ac:dyDescent="0.25">
      <c r="AW47" s="259" t="s">
        <v>3130</v>
      </c>
      <c r="AX47" s="3">
        <v>4</v>
      </c>
    </row>
    <row r="48" spans="28:50" x14ac:dyDescent="0.25">
      <c r="AW48" s="260" t="s">
        <v>3024</v>
      </c>
      <c r="AX48" s="3">
        <v>2</v>
      </c>
    </row>
  </sheetData>
  <mergeCells count="25">
    <mergeCell ref="B8:B13"/>
    <mergeCell ref="AS2:AT2"/>
    <mergeCell ref="AU2:AV2"/>
    <mergeCell ref="AW2:AX2"/>
    <mergeCell ref="AO2:AP2"/>
    <mergeCell ref="AQ2:AR2"/>
    <mergeCell ref="AI2:AJ2"/>
    <mergeCell ref="AK2:AL2"/>
    <mergeCell ref="AM2:AN2"/>
    <mergeCell ref="AG2:AH2"/>
    <mergeCell ref="AC2:AF2"/>
    <mergeCell ref="Y2:Z2"/>
    <mergeCell ref="K2:L2"/>
    <mergeCell ref="B3:C3"/>
    <mergeCell ref="AA2:AB2"/>
    <mergeCell ref="M2:N2"/>
    <mergeCell ref="Q2:R2"/>
    <mergeCell ref="S2:T2"/>
    <mergeCell ref="U2:V2"/>
    <mergeCell ref="W2:X2"/>
    <mergeCell ref="B2:D2"/>
    <mergeCell ref="E2:F2"/>
    <mergeCell ref="G2:H2"/>
    <mergeCell ref="I2:J2"/>
    <mergeCell ref="O2:P2"/>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FBDC-2422-4C07-96BE-159C34CAA0BB}">
  <dimension ref="A1:E6"/>
  <sheetViews>
    <sheetView zoomScale="130" zoomScaleNormal="130" workbookViewId="0">
      <selection activeCell="E17" sqref="E17"/>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1668</v>
      </c>
      <c r="B2" s="167" t="s">
        <v>2670</v>
      </c>
      <c r="C2" s="176" t="s">
        <v>2666</v>
      </c>
    </row>
    <row r="3" spans="1:5" x14ac:dyDescent="0.25">
      <c r="A3" s="168" t="s">
        <v>1801</v>
      </c>
      <c r="B3" s="199">
        <f>COUNTIF('Approach Classification'!BY3:BY72,"Yes")</f>
        <v>11</v>
      </c>
      <c r="C3" s="212">
        <f>B3/E1</f>
        <v>0.15942028985507245</v>
      </c>
    </row>
    <row r="4" spans="1:5" x14ac:dyDescent="0.25">
      <c r="A4" s="169" t="s">
        <v>3679</v>
      </c>
      <c r="B4" s="199">
        <f>COUNTIF('Approach Classification'!BZ3:BZ72,"Yes")</f>
        <v>13</v>
      </c>
      <c r="C4" s="212">
        <f>B4/E1</f>
        <v>0.18840579710144928</v>
      </c>
    </row>
    <row r="5" spans="1:5" x14ac:dyDescent="0.25">
      <c r="A5" s="170" t="s">
        <v>3672</v>
      </c>
      <c r="B5" s="199">
        <f>COUNTIF('Approach Classification'!CA2:CA52,"Yes")</f>
        <v>18</v>
      </c>
      <c r="C5" s="212">
        <f>B5/E1</f>
        <v>0.2608695652173913</v>
      </c>
    </row>
    <row r="6" spans="1:5" x14ac:dyDescent="0.25">
      <c r="A6" s="170" t="s">
        <v>2831</v>
      </c>
      <c r="B6" s="199">
        <f>COUNTIF('Approach Classification'!CB3:CB72,"NA")</f>
        <v>22</v>
      </c>
      <c r="C6" s="212">
        <f>B6/E1</f>
        <v>0.3188405797101449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A75D-BC5D-48F7-8074-2359C1A0FE29}">
  <dimension ref="A1:E9"/>
  <sheetViews>
    <sheetView zoomScale="130" zoomScaleNormal="130" workbookViewId="0">
      <selection activeCell="B8" sqref="B8"/>
    </sheetView>
  </sheetViews>
  <sheetFormatPr defaultRowHeight="15" x14ac:dyDescent="0.25"/>
  <cols>
    <col min="1" max="1" width="33" style="166" customWidth="1"/>
    <col min="2" max="2" width="9.28515625" style="258" customWidth="1"/>
    <col min="3" max="3" width="7.7109375" style="174" customWidth="1"/>
    <col min="4" max="4" width="10.42578125" style="258" customWidth="1"/>
    <col min="5" max="13" width="9.140625" style="258"/>
    <col min="14" max="14" width="8.7109375" style="258" customWidth="1"/>
    <col min="15" max="16384" width="9.140625" style="258"/>
  </cols>
  <sheetData>
    <row r="1" spans="1:5" x14ac:dyDescent="0.25">
      <c r="D1" s="258" t="s">
        <v>3128</v>
      </c>
      <c r="E1" s="258">
        <v>105</v>
      </c>
    </row>
    <row r="2" spans="1:5" x14ac:dyDescent="0.25">
      <c r="A2" s="167" t="s">
        <v>3124</v>
      </c>
      <c r="B2" s="167" t="s">
        <v>2670</v>
      </c>
      <c r="C2" s="176" t="s">
        <v>2666</v>
      </c>
    </row>
    <row r="3" spans="1:5" x14ac:dyDescent="0.25">
      <c r="A3" s="291" t="s">
        <v>1906</v>
      </c>
      <c r="B3" s="258">
        <f>'Feature Classification'!AT28</f>
        <v>4</v>
      </c>
      <c r="C3" s="212">
        <f>B3/E1</f>
        <v>3.8095238095238099E-2</v>
      </c>
    </row>
    <row r="4" spans="1:5" x14ac:dyDescent="0.25">
      <c r="A4" s="292" t="s">
        <v>3125</v>
      </c>
      <c r="B4" s="258">
        <f>'Feature Classification'!AT29</f>
        <v>6</v>
      </c>
      <c r="C4" s="212">
        <f>B4/E1</f>
        <v>5.7142857142857141E-2</v>
      </c>
    </row>
    <row r="5" spans="1:5" x14ac:dyDescent="0.25">
      <c r="A5" s="292" t="s">
        <v>1638</v>
      </c>
      <c r="B5" s="258">
        <f>'Feature Classification'!AT30</f>
        <v>9</v>
      </c>
      <c r="C5" s="212">
        <f>B5/E1</f>
        <v>8.5714285714285715E-2</v>
      </c>
    </row>
    <row r="6" spans="1:5" x14ac:dyDescent="0.25">
      <c r="A6" s="293" t="s">
        <v>3139</v>
      </c>
      <c r="B6" s="258">
        <f>'Feature Classification'!AT33</f>
        <v>9</v>
      </c>
      <c r="C6" s="212">
        <f>B6/E1</f>
        <v>8.5714285714285715E-2</v>
      </c>
    </row>
    <row r="7" spans="1:5" x14ac:dyDescent="0.25">
      <c r="A7" s="290" t="s">
        <v>3140</v>
      </c>
      <c r="B7" s="258">
        <f>'Feature Classification'!AT32</f>
        <v>10</v>
      </c>
      <c r="C7" s="212">
        <f>B7/E1</f>
        <v>9.5238095238095233E-2</v>
      </c>
    </row>
    <row r="8" spans="1:5" x14ac:dyDescent="0.25">
      <c r="A8" s="290" t="s">
        <v>2567</v>
      </c>
      <c r="B8" s="258">
        <f>'Feature Classification'!AT31</f>
        <v>11</v>
      </c>
      <c r="C8" s="212">
        <f>B8/E1</f>
        <v>0.10476190476190476</v>
      </c>
    </row>
    <row r="9" spans="1:5" x14ac:dyDescent="0.25">
      <c r="A9" s="171" t="s">
        <v>3126</v>
      </c>
      <c r="B9" s="258">
        <f>'Feature Classification'!AT21</f>
        <v>73</v>
      </c>
      <c r="C9" s="212">
        <f>B9/E1</f>
        <v>0.69523809523809521</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A28C-E2CD-41E1-B1AF-CF866FE5D879}">
  <dimension ref="A1:E22"/>
  <sheetViews>
    <sheetView zoomScale="130" zoomScaleNormal="130" workbookViewId="0">
      <selection activeCell="B3" sqref="B3"/>
    </sheetView>
  </sheetViews>
  <sheetFormatPr defaultRowHeight="15" x14ac:dyDescent="0.25"/>
  <cols>
    <col min="1" max="1" width="33" style="166" customWidth="1"/>
    <col min="2" max="2" width="9.28515625" style="258" customWidth="1"/>
    <col min="3" max="3" width="7.7109375" style="174" customWidth="1"/>
    <col min="4" max="4" width="10.42578125" style="258" customWidth="1"/>
    <col min="5" max="13" width="9.140625" style="258"/>
    <col min="14" max="14" width="8.7109375" style="258" customWidth="1"/>
    <col min="15" max="16384" width="9.140625" style="258"/>
  </cols>
  <sheetData>
    <row r="1" spans="1:5" x14ac:dyDescent="0.25">
      <c r="D1" s="258" t="s">
        <v>3128</v>
      </c>
      <c r="E1" s="258">
        <v>105</v>
      </c>
    </row>
    <row r="2" spans="1:5" x14ac:dyDescent="0.25">
      <c r="A2" s="167" t="s">
        <v>3129</v>
      </c>
      <c r="B2" s="167" t="s">
        <v>2670</v>
      </c>
      <c r="C2" s="176" t="s">
        <v>2666</v>
      </c>
    </row>
    <row r="3" spans="1:5" x14ac:dyDescent="0.25">
      <c r="A3" s="168" t="s">
        <v>1638</v>
      </c>
      <c r="B3" s="258">
        <f>'Feature Classification'!AX40</f>
        <v>35</v>
      </c>
      <c r="C3" s="212">
        <f>B3/E1</f>
        <v>0.33333333333333331</v>
      </c>
    </row>
    <row r="4" spans="1:5" x14ac:dyDescent="0.25">
      <c r="A4" s="292" t="s">
        <v>3134</v>
      </c>
      <c r="B4" s="258">
        <f>'Feature Classification'!AX42</f>
        <v>34</v>
      </c>
      <c r="C4" s="212">
        <f>B4/E1</f>
        <v>0.32380952380952382</v>
      </c>
    </row>
    <row r="5" spans="1:5" x14ac:dyDescent="0.25">
      <c r="A5" s="292" t="s">
        <v>3133</v>
      </c>
      <c r="B5" s="258">
        <f>'Feature Classification'!AX41</f>
        <v>25</v>
      </c>
      <c r="C5" s="212">
        <f>B5/E1</f>
        <v>0.23809523809523808</v>
      </c>
    </row>
    <row r="6" spans="1:5" x14ac:dyDescent="0.25">
      <c r="A6" s="170" t="s">
        <v>3125</v>
      </c>
      <c r="B6" s="258">
        <f>'Feature Classification'!AX43</f>
        <v>14</v>
      </c>
      <c r="C6" s="212">
        <f>B6/E1</f>
        <v>0.13333333333333333</v>
      </c>
    </row>
    <row r="7" spans="1:5" x14ac:dyDescent="0.25">
      <c r="A7" s="171" t="s">
        <v>3136</v>
      </c>
      <c r="B7" s="258">
        <f>'Feature Classification'!AX44</f>
        <v>15</v>
      </c>
      <c r="C7" s="212">
        <f>B7/E1</f>
        <v>0.14285714285714285</v>
      </c>
    </row>
    <row r="8" spans="1:5" x14ac:dyDescent="0.25">
      <c r="A8" s="171" t="s">
        <v>3137</v>
      </c>
      <c r="B8" s="258">
        <f>'Feature Classification'!AX45</f>
        <v>11</v>
      </c>
      <c r="C8" s="212">
        <f>B8/$E$1</f>
        <v>0.10476190476190476</v>
      </c>
    </row>
    <row r="9" spans="1:5" x14ac:dyDescent="0.25">
      <c r="A9" s="171" t="s">
        <v>3135</v>
      </c>
      <c r="B9" s="258">
        <f>'Feature Classification'!AX46</f>
        <v>9</v>
      </c>
      <c r="C9" s="212">
        <f>B9/$E$1</f>
        <v>8.5714285714285715E-2</v>
      </c>
    </row>
    <row r="10" spans="1:5" x14ac:dyDescent="0.25">
      <c r="A10" s="290" t="s">
        <v>3657</v>
      </c>
      <c r="B10" s="258">
        <f>'Feature Classification'!AX23</f>
        <v>8</v>
      </c>
      <c r="C10" s="212">
        <f>B10/$E$1</f>
        <v>7.6190476190476197E-2</v>
      </c>
    </row>
    <row r="11" spans="1:5" x14ac:dyDescent="0.25">
      <c r="A11" s="290" t="s">
        <v>3138</v>
      </c>
      <c r="B11" s="258">
        <f>'Feature Classification'!AX47</f>
        <v>4</v>
      </c>
      <c r="C11" s="212">
        <f>B11/$E$1</f>
        <v>3.8095238095238099E-2</v>
      </c>
    </row>
    <row r="12" spans="1:5" s="286" customFormat="1" x14ac:dyDescent="0.25">
      <c r="A12" s="171" t="s">
        <v>3126</v>
      </c>
      <c r="B12" s="286">
        <f>'Feature Classification'!AX37</f>
        <v>10</v>
      </c>
      <c r="C12" s="212">
        <f>B12/$E$1</f>
        <v>9.5238095238095233E-2</v>
      </c>
    </row>
    <row r="15" spans="1:5" x14ac:dyDescent="0.25">
      <c r="A15" s="290"/>
    </row>
    <row r="16" spans="1:5" x14ac:dyDescent="0.25">
      <c r="A16" s="290"/>
    </row>
    <row r="17" spans="1:1" x14ac:dyDescent="0.25">
      <c r="A17" s="290"/>
    </row>
    <row r="18" spans="1:1" x14ac:dyDescent="0.25">
      <c r="A18" s="171"/>
    </row>
    <row r="19" spans="1:1" x14ac:dyDescent="0.25">
      <c r="A19" s="171"/>
    </row>
    <row r="20" spans="1:1" x14ac:dyDescent="0.25">
      <c r="A20" s="171"/>
    </row>
    <row r="21" spans="1:1" x14ac:dyDescent="0.25">
      <c r="A21" s="171"/>
    </row>
    <row r="22" spans="1:1" x14ac:dyDescent="0.25">
      <c r="A22" s="17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L291"/>
  <sheetViews>
    <sheetView zoomScaleNormal="100" workbookViewId="0">
      <pane xSplit="4" ySplit="5" topLeftCell="E6" activePane="bottomRight" state="frozen"/>
      <selection pane="topRight" activeCell="E1" sqref="E1"/>
      <selection pane="bottomLeft" activeCell="A6" sqref="A6"/>
      <selection pane="bottomRight" activeCell="L7" sqref="L7"/>
    </sheetView>
  </sheetViews>
  <sheetFormatPr defaultRowHeight="15" x14ac:dyDescent="0.25"/>
  <cols>
    <col min="1" max="1" width="9.140625" style="126"/>
    <col min="2" max="2" width="10.140625" style="3" customWidth="1"/>
    <col min="3" max="3" width="55" style="3" customWidth="1"/>
    <col min="4" max="4" width="8.85546875" style="3" customWidth="1"/>
    <col min="5" max="5" width="15.7109375" style="3" customWidth="1"/>
    <col min="6" max="6" width="9.5703125" style="3" customWidth="1"/>
    <col min="7" max="7" width="11.42578125" style="3" customWidth="1"/>
    <col min="8" max="8" width="7.28515625" customWidth="1"/>
    <col min="9" max="10" width="7" customWidth="1"/>
    <col min="11" max="11" width="11.140625" customWidth="1"/>
    <col min="12" max="12" width="12.85546875" customWidth="1"/>
    <col min="13" max="13" width="32" customWidth="1"/>
    <col min="14" max="14" width="11.28515625" hidden="1" customWidth="1"/>
    <col min="15" max="15" width="10.85546875" customWidth="1"/>
    <col min="16" max="16" width="12.85546875" hidden="1" customWidth="1"/>
    <col min="17" max="17" width="12.28515625" customWidth="1"/>
    <col min="18" max="19" width="12.5703125" customWidth="1"/>
    <col min="20" max="20" width="59" customWidth="1"/>
    <col min="21" max="21" width="14" style="71" customWidth="1"/>
    <col min="22" max="23" width="13.42578125" style="71" customWidth="1"/>
    <col min="24" max="26" width="13.42578125" customWidth="1"/>
    <col min="27" max="27" width="15.7109375" customWidth="1"/>
    <col min="28" max="28" width="16.28515625" customWidth="1"/>
    <col min="29" max="29" width="15.28515625" customWidth="1"/>
    <col min="30" max="30" width="47" customWidth="1"/>
    <col min="31" max="31" width="13.85546875" customWidth="1"/>
    <col min="32" max="32" width="28.85546875" customWidth="1"/>
    <col min="33" max="33" width="13.5703125" customWidth="1"/>
    <col min="34" max="34" width="36.28515625" customWidth="1"/>
    <col min="35" max="35" width="18" customWidth="1"/>
    <col min="36" max="36" width="47.42578125" customWidth="1"/>
    <col min="37" max="37" width="15.28515625" style="3" customWidth="1"/>
    <col min="38" max="38" width="16.42578125" customWidth="1"/>
    <col min="39" max="39" width="36.5703125" customWidth="1"/>
    <col min="40" max="40" width="16.85546875" style="84" hidden="1" customWidth="1"/>
    <col min="41" max="41" width="36.5703125" style="85" hidden="1" customWidth="1"/>
    <col min="42" max="42" width="13.85546875" customWidth="1"/>
    <col min="43" max="43" width="40.5703125" customWidth="1"/>
    <col min="44" max="44" width="11.5703125" customWidth="1"/>
    <col min="45" max="45" width="11" customWidth="1"/>
    <col min="46" max="46" width="24.42578125" customWidth="1"/>
    <col min="47" max="47" width="13.28515625" customWidth="1"/>
    <col min="48" max="48" width="11.7109375" customWidth="1"/>
    <col min="49" max="49" width="20.28515625" customWidth="1"/>
    <col min="50" max="50" width="28.7109375" style="209" customWidth="1"/>
    <col min="51" max="51" width="44.85546875" customWidth="1"/>
    <col min="52" max="52" width="22.140625" style="209" customWidth="1"/>
    <col min="53" max="53" width="35.42578125" customWidth="1"/>
    <col min="54" max="54" width="31.85546875" style="209" customWidth="1"/>
    <col min="55" max="55" width="66.7109375" customWidth="1"/>
    <col min="57" max="57" width="82.42578125" customWidth="1"/>
    <col min="58" max="58" width="11.28515625" customWidth="1"/>
    <col min="59" max="59" width="43.28515625" style="31" customWidth="1"/>
    <col min="60" max="61" width="10.42578125" customWidth="1"/>
    <col min="62" max="63" width="10.140625" customWidth="1"/>
    <col min="64" max="64" width="34.42578125" customWidth="1"/>
  </cols>
  <sheetData>
    <row r="1" spans="1:64" s="2" customFormat="1" ht="36" x14ac:dyDescent="0.25">
      <c r="A1" s="377" t="s">
        <v>2536</v>
      </c>
      <c r="B1" s="383" t="s">
        <v>1616</v>
      </c>
      <c r="C1" s="377" t="s">
        <v>1</v>
      </c>
      <c r="D1" s="47"/>
      <c r="E1" s="383" t="s">
        <v>2082</v>
      </c>
      <c r="F1" s="383" t="s">
        <v>1676</v>
      </c>
      <c r="G1" s="383" t="s">
        <v>2531</v>
      </c>
      <c r="H1" s="34" t="s">
        <v>1644</v>
      </c>
      <c r="I1" s="20" t="s">
        <v>1645</v>
      </c>
      <c r="J1" s="20" t="s">
        <v>1711</v>
      </c>
      <c r="K1" s="20" t="s">
        <v>1646</v>
      </c>
      <c r="L1" s="20" t="s">
        <v>1647</v>
      </c>
      <c r="M1" s="38" t="s">
        <v>1648</v>
      </c>
      <c r="N1" s="34" t="s">
        <v>1650</v>
      </c>
      <c r="O1" s="20" t="s">
        <v>2543</v>
      </c>
      <c r="P1" s="20" t="s">
        <v>1738</v>
      </c>
      <c r="Q1" s="20" t="s">
        <v>1651</v>
      </c>
      <c r="R1" s="20" t="s">
        <v>1652</v>
      </c>
      <c r="S1" s="20" t="s">
        <v>2545</v>
      </c>
      <c r="T1" s="38" t="s">
        <v>1648</v>
      </c>
      <c r="U1" s="34" t="s">
        <v>1688</v>
      </c>
      <c r="V1" s="34" t="s">
        <v>2143</v>
      </c>
      <c r="W1" s="34" t="s">
        <v>1906</v>
      </c>
      <c r="X1" s="20" t="s">
        <v>1999</v>
      </c>
      <c r="Y1" s="20" t="s">
        <v>2548</v>
      </c>
      <c r="Z1" s="20" t="s">
        <v>1684</v>
      </c>
      <c r="AA1" s="20" t="s">
        <v>1747</v>
      </c>
      <c r="AB1" s="20" t="s">
        <v>1948</v>
      </c>
      <c r="AC1" s="20" t="s">
        <v>1696</v>
      </c>
      <c r="AD1" s="38" t="s">
        <v>1648</v>
      </c>
      <c r="AE1" s="34" t="s">
        <v>2484</v>
      </c>
      <c r="AF1" s="38" t="s">
        <v>1648</v>
      </c>
      <c r="AG1" s="34" t="s">
        <v>2093</v>
      </c>
      <c r="AH1" s="38" t="s">
        <v>1664</v>
      </c>
      <c r="AI1" s="34" t="s">
        <v>1731</v>
      </c>
      <c r="AJ1" s="38" t="s">
        <v>1648</v>
      </c>
      <c r="AK1" s="94" t="s">
        <v>2516</v>
      </c>
      <c r="AL1" s="34" t="s">
        <v>1732</v>
      </c>
      <c r="AM1" s="38" t="s">
        <v>1648</v>
      </c>
      <c r="AN1" s="34" t="s">
        <v>2092</v>
      </c>
      <c r="AO1" s="86"/>
      <c r="AP1" s="87" t="s">
        <v>2485</v>
      </c>
      <c r="AQ1" s="38" t="s">
        <v>1664</v>
      </c>
      <c r="AR1" s="34" t="s">
        <v>1673</v>
      </c>
      <c r="AS1" s="20" t="s">
        <v>1695</v>
      </c>
      <c r="AT1" s="38" t="s">
        <v>1648</v>
      </c>
      <c r="AU1" s="34" t="s">
        <v>3</v>
      </c>
      <c r="AV1" s="20" t="s">
        <v>1676</v>
      </c>
      <c r="AW1" s="38" t="s">
        <v>1648</v>
      </c>
      <c r="AX1" s="211" t="s">
        <v>2074</v>
      </c>
      <c r="AY1" s="211" t="s">
        <v>1648</v>
      </c>
      <c r="AZ1" s="20" t="s">
        <v>2835</v>
      </c>
      <c r="BA1" s="210" t="s">
        <v>1648</v>
      </c>
      <c r="BB1" s="210" t="s">
        <v>2836</v>
      </c>
      <c r="BC1" s="38" t="s">
        <v>1648</v>
      </c>
      <c r="BD1"/>
      <c r="BE1" s="54" t="s">
        <v>2064</v>
      </c>
      <c r="BF1"/>
      <c r="BH1"/>
      <c r="BI1"/>
      <c r="BJ1"/>
      <c r="BK1"/>
      <c r="BL1"/>
    </row>
    <row r="2" spans="1:64" s="2" customFormat="1" hidden="1" x14ac:dyDescent="0.25">
      <c r="A2" s="377"/>
      <c r="B2" s="383"/>
      <c r="C2" s="377" t="s">
        <v>1</v>
      </c>
      <c r="D2" s="47" t="s">
        <v>0</v>
      </c>
      <c r="E2" s="383"/>
      <c r="F2" s="383"/>
      <c r="G2" s="383"/>
      <c r="H2" s="379" t="s">
        <v>1642</v>
      </c>
      <c r="I2" s="379"/>
      <c r="J2" s="379"/>
      <c r="K2" s="379"/>
      <c r="L2" s="379"/>
      <c r="M2" s="380"/>
      <c r="N2" s="379" t="s">
        <v>1649</v>
      </c>
      <c r="O2" s="379"/>
      <c r="P2" s="379"/>
      <c r="Q2" s="379"/>
      <c r="R2" s="379"/>
      <c r="S2" s="379"/>
      <c r="T2" s="380"/>
      <c r="U2" s="379" t="s">
        <v>1654</v>
      </c>
      <c r="V2" s="379"/>
      <c r="W2" s="379"/>
      <c r="X2" s="379"/>
      <c r="Y2" s="379"/>
      <c r="Z2" s="379"/>
      <c r="AA2" s="379"/>
      <c r="AB2" s="379"/>
      <c r="AC2" s="379"/>
      <c r="AD2" s="380"/>
      <c r="AE2" s="375" t="s">
        <v>1662</v>
      </c>
      <c r="AF2" s="376"/>
      <c r="AG2" s="375" t="s">
        <v>1663</v>
      </c>
      <c r="AH2" s="376"/>
      <c r="AI2" s="375" t="s">
        <v>1666</v>
      </c>
      <c r="AJ2" s="376"/>
      <c r="AK2" s="91"/>
      <c r="AL2" s="375" t="s">
        <v>1683</v>
      </c>
      <c r="AM2" s="376"/>
      <c r="AN2" s="79"/>
      <c r="AO2" s="79"/>
      <c r="AP2" s="375" t="s">
        <v>1668</v>
      </c>
      <c r="AQ2" s="376"/>
      <c r="AR2" s="375" t="s">
        <v>1672</v>
      </c>
      <c r="AS2" s="375"/>
      <c r="AT2" s="376"/>
      <c r="AU2" s="375" t="s">
        <v>1675</v>
      </c>
      <c r="AV2" s="375"/>
      <c r="AW2" s="376"/>
      <c r="AX2" s="374" t="s">
        <v>2837</v>
      </c>
      <c r="AY2" s="375"/>
      <c r="AZ2" s="375"/>
      <c r="BA2" s="375"/>
      <c r="BB2" s="375"/>
      <c r="BC2" s="376"/>
      <c r="BD2"/>
      <c r="BE2" s="69"/>
      <c r="BF2"/>
      <c r="BG2" s="35" t="s">
        <v>1703</v>
      </c>
      <c r="BH2"/>
      <c r="BI2"/>
      <c r="BJ2"/>
      <c r="BK2"/>
      <c r="BL2"/>
    </row>
    <row r="3" spans="1:64" s="2" customFormat="1" hidden="1" x14ac:dyDescent="0.25">
      <c r="A3" s="377"/>
      <c r="B3" s="383"/>
      <c r="C3" s="377"/>
      <c r="D3" s="47"/>
      <c r="E3" s="383"/>
      <c r="F3" s="383"/>
      <c r="G3" s="383"/>
      <c r="H3" s="381"/>
      <c r="I3" s="381"/>
      <c r="J3" s="381"/>
      <c r="K3" s="381"/>
      <c r="L3" s="381"/>
      <c r="M3" s="382"/>
      <c r="N3" s="381"/>
      <c r="O3" s="381"/>
      <c r="P3" s="381"/>
      <c r="Q3" s="381"/>
      <c r="R3" s="381"/>
      <c r="S3" s="381"/>
      <c r="T3" s="382"/>
      <c r="U3" s="381"/>
      <c r="V3" s="381"/>
      <c r="W3" s="381"/>
      <c r="X3" s="381"/>
      <c r="Y3" s="381"/>
      <c r="Z3" s="381"/>
      <c r="AA3" s="381"/>
      <c r="AB3" s="381"/>
      <c r="AC3" s="381"/>
      <c r="AD3" s="382"/>
      <c r="AE3" s="375" t="s">
        <v>1661</v>
      </c>
      <c r="AF3" s="375"/>
      <c r="AG3" s="375"/>
      <c r="AH3" s="375"/>
      <c r="AI3" s="375"/>
      <c r="AJ3" s="375"/>
      <c r="AK3" s="375"/>
      <c r="AL3" s="375"/>
      <c r="AM3" s="375"/>
      <c r="AN3" s="375"/>
      <c r="AO3" s="375"/>
      <c r="AP3" s="375"/>
      <c r="AQ3" s="376"/>
      <c r="AR3" s="375" t="s">
        <v>1671</v>
      </c>
      <c r="AS3" s="375"/>
      <c r="AT3" s="375"/>
      <c r="AU3" s="375"/>
      <c r="AV3" s="375"/>
      <c r="AW3" s="376"/>
      <c r="AX3" s="200"/>
      <c r="AY3" s="211"/>
      <c r="AZ3" s="20"/>
      <c r="BA3" s="210"/>
      <c r="BB3" s="210"/>
      <c r="BC3" s="38"/>
      <c r="BD3"/>
      <c r="BE3" s="69"/>
      <c r="BF3"/>
      <c r="BG3" s="32" t="s">
        <v>1702</v>
      </c>
      <c r="BH3"/>
      <c r="BI3"/>
      <c r="BJ3"/>
      <c r="BK3"/>
      <c r="BL3"/>
    </row>
    <row r="4" spans="1:64" s="2" customFormat="1" ht="15.75" hidden="1" thickBot="1" x14ac:dyDescent="0.3">
      <c r="A4" s="378"/>
      <c r="B4" s="384"/>
      <c r="C4" s="378"/>
      <c r="D4" s="48"/>
      <c r="E4" s="384"/>
      <c r="F4" s="384"/>
      <c r="G4" s="384"/>
      <c r="H4" s="372" t="s">
        <v>1641</v>
      </c>
      <c r="I4" s="372"/>
      <c r="J4" s="372"/>
      <c r="K4" s="372"/>
      <c r="L4" s="372"/>
      <c r="M4" s="373"/>
      <c r="N4" s="372" t="s">
        <v>1643</v>
      </c>
      <c r="O4" s="372"/>
      <c r="P4" s="372"/>
      <c r="Q4" s="372"/>
      <c r="R4" s="372"/>
      <c r="S4" s="372"/>
      <c r="T4" s="373"/>
      <c r="U4" s="372" t="s">
        <v>1653</v>
      </c>
      <c r="V4" s="372"/>
      <c r="W4" s="372"/>
      <c r="X4" s="372"/>
      <c r="Y4" s="372"/>
      <c r="Z4" s="372"/>
      <c r="AA4" s="372"/>
      <c r="AB4" s="372"/>
      <c r="AC4" s="372"/>
      <c r="AD4" s="373"/>
      <c r="AE4" s="372" t="s">
        <v>1655</v>
      </c>
      <c r="AF4" s="373"/>
      <c r="AG4" s="372" t="s">
        <v>1656</v>
      </c>
      <c r="AH4" s="373"/>
      <c r="AI4" s="372" t="s">
        <v>1657</v>
      </c>
      <c r="AJ4" s="373"/>
      <c r="AK4" s="92"/>
      <c r="AL4" s="372" t="s">
        <v>1658</v>
      </c>
      <c r="AM4" s="373"/>
      <c r="AN4" s="80"/>
      <c r="AO4" s="80"/>
      <c r="AP4" s="372" t="s">
        <v>1659</v>
      </c>
      <c r="AQ4" s="373"/>
      <c r="AR4" s="372" t="s">
        <v>1660</v>
      </c>
      <c r="AS4" s="372"/>
      <c r="AT4" s="373"/>
      <c r="AU4" s="372" t="s">
        <v>1674</v>
      </c>
      <c r="AV4" s="372"/>
      <c r="AW4" s="373"/>
      <c r="AX4" s="371" t="s">
        <v>2834</v>
      </c>
      <c r="AY4" s="372"/>
      <c r="AZ4" s="372"/>
      <c r="BA4" s="372"/>
      <c r="BB4" s="372"/>
      <c r="BC4" s="373"/>
      <c r="BD4"/>
      <c r="BE4" s="69"/>
      <c r="BF4"/>
      <c r="BG4" s="32" t="s">
        <v>1701</v>
      </c>
      <c r="BH4"/>
      <c r="BI4"/>
      <c r="BJ4"/>
      <c r="BK4"/>
      <c r="BL4"/>
    </row>
    <row r="5" spans="1:64" ht="45.75" hidden="1" customHeight="1" thickTop="1" x14ac:dyDescent="0.25">
      <c r="A5"/>
      <c r="B5" s="50">
        <f>ROW('Initial Search'!2:2)</f>
        <v>2</v>
      </c>
      <c r="C5" s="46" t="str">
        <f>'Initial Search'!D2</f>
        <v>New approach for model merging and transformation</v>
      </c>
      <c r="D5" s="49">
        <f>'Initial Search'!C2</f>
        <v>2012</v>
      </c>
      <c r="E5" s="49" t="str">
        <f>'Initial Search'!O2</f>
        <v>Thakare &amp; Dube</v>
      </c>
      <c r="F5" s="44" t="str">
        <f>'Initial Search'!M2</f>
        <v>Rejected</v>
      </c>
      <c r="G5" s="44">
        <f>'Initial Search'!N2</f>
        <v>0</v>
      </c>
      <c r="H5" s="41"/>
      <c r="I5" s="42" t="s">
        <v>1623</v>
      </c>
      <c r="J5" s="42"/>
      <c r="K5" s="42"/>
      <c r="L5" s="67"/>
      <c r="M5" s="43" t="s">
        <v>1705</v>
      </c>
      <c r="N5" s="41"/>
      <c r="O5" s="42"/>
      <c r="P5" s="42"/>
      <c r="Q5" s="42"/>
      <c r="R5" s="42"/>
      <c r="S5" s="42"/>
      <c r="T5" s="43" t="s">
        <v>1704</v>
      </c>
      <c r="U5" s="45" t="s">
        <v>1700</v>
      </c>
      <c r="V5" s="45"/>
      <c r="W5" s="45"/>
      <c r="X5" s="42" t="s">
        <v>1915</v>
      </c>
      <c r="Y5" s="42"/>
      <c r="Z5" s="42" t="s">
        <v>1686</v>
      </c>
      <c r="AA5" s="42" t="s">
        <v>1778</v>
      </c>
      <c r="AB5" s="42" t="s">
        <v>1670</v>
      </c>
      <c r="AC5" s="42" t="s">
        <v>1698</v>
      </c>
      <c r="AD5" s="43" t="s">
        <v>1713</v>
      </c>
      <c r="AE5" s="41" t="s">
        <v>1778</v>
      </c>
      <c r="AF5" s="43"/>
      <c r="AG5" s="41" t="s">
        <v>1778</v>
      </c>
      <c r="AH5" s="43"/>
      <c r="AI5" s="45" t="s">
        <v>1717</v>
      </c>
      <c r="AJ5" s="43" t="s">
        <v>1708</v>
      </c>
      <c r="AK5" s="82"/>
      <c r="AL5" s="283" t="s">
        <v>1670</v>
      </c>
      <c r="AM5" s="43"/>
      <c r="AN5" s="82"/>
      <c r="AO5" s="82"/>
      <c r="AP5" s="283" t="s">
        <v>1778</v>
      </c>
      <c r="AQ5" s="43"/>
      <c r="AR5" s="45" t="s">
        <v>1709</v>
      </c>
      <c r="AS5" s="42" t="s">
        <v>1778</v>
      </c>
      <c r="AT5" s="43"/>
      <c r="AU5" s="41" t="s">
        <v>1778</v>
      </c>
      <c r="AV5" s="42" t="s">
        <v>1778</v>
      </c>
      <c r="AW5" s="43" t="s">
        <v>1680</v>
      </c>
      <c r="AX5" s="207"/>
      <c r="AY5" s="207"/>
      <c r="AZ5" s="208"/>
      <c r="BA5" s="223"/>
      <c r="BB5" s="223"/>
      <c r="BC5" s="43"/>
      <c r="BE5" s="69"/>
      <c r="BG5" s="32" t="s">
        <v>1956</v>
      </c>
    </row>
    <row r="6" spans="1:64" ht="147.75" customHeight="1" x14ac:dyDescent="0.25">
      <c r="A6" s="149">
        <v>1</v>
      </c>
      <c r="B6" s="50">
        <f>ROW('Initial Search'!90:90)</f>
        <v>90</v>
      </c>
      <c r="C6" s="46" t="str">
        <f>'Initial Search'!D90</f>
        <v>Distributed Collaborative Model Editing Framework for Domain Specific Modeling Tools</v>
      </c>
      <c r="D6" s="49">
        <f>'Initial Search'!C90</f>
        <v>2011</v>
      </c>
      <c r="E6" s="49" t="str">
        <f>'Initial Search'!O90</f>
        <v>DiCoMEF</v>
      </c>
      <c r="F6" s="44" t="str">
        <f>'Initial Search'!M90</f>
        <v>Accepted</v>
      </c>
      <c r="G6" s="44" t="str">
        <f>'Initial Search'!N3</f>
        <v>Approved</v>
      </c>
      <c r="H6" s="41"/>
      <c r="I6" s="42"/>
      <c r="J6" s="42" t="s">
        <v>1623</v>
      </c>
      <c r="K6" s="42"/>
      <c r="L6" s="67"/>
      <c r="M6" s="43" t="s">
        <v>1721</v>
      </c>
      <c r="N6" s="41"/>
      <c r="O6" s="42"/>
      <c r="P6" s="42" t="s">
        <v>1623</v>
      </c>
      <c r="Q6" s="42"/>
      <c r="R6" s="42"/>
      <c r="S6" s="42"/>
      <c r="T6" s="43" t="s">
        <v>1725</v>
      </c>
      <c r="U6" s="45" t="s">
        <v>1728</v>
      </c>
      <c r="V6" s="45"/>
      <c r="W6" s="45"/>
      <c r="X6" s="42" t="s">
        <v>1710</v>
      </c>
      <c r="Y6" s="42" t="s">
        <v>2258</v>
      </c>
      <c r="Z6" s="42" t="s">
        <v>1686</v>
      </c>
      <c r="AA6" s="42" t="s">
        <v>1723</v>
      </c>
      <c r="AB6" s="42" t="s">
        <v>1712</v>
      </c>
      <c r="AC6" s="42" t="s">
        <v>1698</v>
      </c>
      <c r="AD6" s="43" t="s">
        <v>1724</v>
      </c>
      <c r="AE6" s="41" t="s">
        <v>1778</v>
      </c>
      <c r="AF6" s="43"/>
      <c r="AG6" s="41" t="s">
        <v>1778</v>
      </c>
      <c r="AH6" s="43"/>
      <c r="AI6" s="45" t="s">
        <v>2458</v>
      </c>
      <c r="AJ6" s="43" t="s">
        <v>1726</v>
      </c>
      <c r="AK6" s="95" t="s">
        <v>2197</v>
      </c>
      <c r="AL6" s="89" t="s">
        <v>1670</v>
      </c>
      <c r="AM6" s="43"/>
      <c r="AN6" s="41" t="s">
        <v>1778</v>
      </c>
      <c r="AO6" s="88"/>
      <c r="AP6" s="89" t="s">
        <v>1778</v>
      </c>
      <c r="AQ6" s="43"/>
      <c r="AR6" s="45" t="s">
        <v>1709</v>
      </c>
      <c r="AS6" s="42" t="s">
        <v>1693</v>
      </c>
      <c r="AT6" s="43" t="s">
        <v>1727</v>
      </c>
      <c r="AU6" s="41"/>
      <c r="AV6" s="42"/>
      <c r="AW6" s="43"/>
      <c r="AX6" s="39" t="s">
        <v>2851</v>
      </c>
      <c r="AY6" s="207"/>
      <c r="AZ6" s="53" t="s">
        <v>2851</v>
      </c>
      <c r="BA6" s="88"/>
      <c r="BB6" s="224" t="s">
        <v>3001</v>
      </c>
      <c r="BC6" s="37" t="s">
        <v>2850</v>
      </c>
      <c r="BE6" s="69"/>
      <c r="BG6" s="32" t="s">
        <v>1955</v>
      </c>
    </row>
    <row r="7" spans="1:64" ht="149.25" customHeight="1" x14ac:dyDescent="0.25">
      <c r="A7" s="150">
        <v>1</v>
      </c>
      <c r="B7" s="51">
        <f>ROW('Initial Search'!3:3)</f>
        <v>3</v>
      </c>
      <c r="C7" s="46" t="str">
        <f>'Initial Search'!D3</f>
        <v>Collaborative editing of EMF/Ecore meta-models and models conflict detection, reconciliation, and merging in DiCoMEF</v>
      </c>
      <c r="D7" s="49">
        <f>'Initial Search'!C3</f>
        <v>2014</v>
      </c>
      <c r="E7" s="49" t="str">
        <f>'Initial Search'!O3</f>
        <v>DiCoMEF</v>
      </c>
      <c r="F7" s="44" t="str">
        <f>'Initial Search'!M3</f>
        <v>Accepted</v>
      </c>
      <c r="G7" s="44" t="str">
        <f>'Initial Search'!N4</f>
        <v>Approved</v>
      </c>
      <c r="H7" s="36"/>
      <c r="I7" s="29"/>
      <c r="J7" s="29" t="s">
        <v>1623</v>
      </c>
      <c r="K7" s="29"/>
      <c r="L7" s="53"/>
      <c r="M7" s="37"/>
      <c r="N7" s="36"/>
      <c r="O7" s="29"/>
      <c r="P7" s="29" t="s">
        <v>1623</v>
      </c>
      <c r="Q7" s="29"/>
      <c r="R7" s="29"/>
      <c r="S7" s="29"/>
      <c r="T7" s="37" t="s">
        <v>1715</v>
      </c>
      <c r="U7" s="39" t="s">
        <v>1729</v>
      </c>
      <c r="V7" s="39"/>
      <c r="W7" s="39"/>
      <c r="X7" s="29" t="s">
        <v>1710</v>
      </c>
      <c r="Y7" s="42" t="s">
        <v>2258</v>
      </c>
      <c r="Z7" s="29" t="s">
        <v>1686</v>
      </c>
      <c r="AA7" s="29" t="s">
        <v>1723</v>
      </c>
      <c r="AB7" s="29" t="s">
        <v>1712</v>
      </c>
      <c r="AC7" s="29" t="s">
        <v>1698</v>
      </c>
      <c r="AD7" s="43" t="s">
        <v>1714</v>
      </c>
      <c r="AE7" s="36" t="s">
        <v>1778</v>
      </c>
      <c r="AF7" s="37"/>
      <c r="AG7" s="36" t="s">
        <v>1778</v>
      </c>
      <c r="AH7" s="37"/>
      <c r="AI7" s="39" t="s">
        <v>2458</v>
      </c>
      <c r="AJ7" s="37" t="s">
        <v>1716</v>
      </c>
      <c r="AK7" s="96" t="s">
        <v>2197</v>
      </c>
      <c r="AL7" s="36" t="s">
        <v>1670</v>
      </c>
      <c r="AM7" s="37" t="s">
        <v>3753</v>
      </c>
      <c r="AN7" s="36" t="s">
        <v>1778</v>
      </c>
      <c r="AO7" s="37"/>
      <c r="AP7" s="36" t="s">
        <v>1778</v>
      </c>
      <c r="AQ7" s="37"/>
      <c r="AR7" s="39" t="s">
        <v>1743</v>
      </c>
      <c r="AS7" s="29" t="s">
        <v>1693</v>
      </c>
      <c r="AT7" s="37" t="s">
        <v>1719</v>
      </c>
      <c r="AU7" s="36" t="s">
        <v>1766</v>
      </c>
      <c r="AV7" s="29" t="s">
        <v>1682</v>
      </c>
      <c r="AW7" s="37" t="s">
        <v>1720</v>
      </c>
      <c r="AX7" s="39" t="s">
        <v>2966</v>
      </c>
      <c r="AY7" s="205" t="s">
        <v>2853</v>
      </c>
      <c r="AZ7" s="53" t="s">
        <v>2851</v>
      </c>
      <c r="BA7" s="88"/>
      <c r="BB7" s="224" t="s">
        <v>3003</v>
      </c>
      <c r="BC7" s="37" t="s">
        <v>2854</v>
      </c>
      <c r="BE7" s="69"/>
      <c r="BG7" s="32" t="s">
        <v>1957</v>
      </c>
    </row>
    <row r="8" spans="1:64" ht="151.5" customHeight="1" x14ac:dyDescent="0.25">
      <c r="A8" s="150">
        <v>1</v>
      </c>
      <c r="B8" s="51">
        <f>ROW('Initial Search'!171:171)</f>
        <v>171</v>
      </c>
      <c r="C8" s="46" t="str">
        <f>'Initial Search'!D171</f>
        <v>Collaborative editing of EMF/Ecore meta-models and models: Conflict detection, reconciliation, and merging in DiCoMEF</v>
      </c>
      <c r="D8" s="49">
        <f>'Initial Search'!C171</f>
        <v>2015</v>
      </c>
      <c r="E8" s="49" t="str">
        <f>'Initial Search'!O171</f>
        <v>DiCoMEF</v>
      </c>
      <c r="F8" s="44" t="str">
        <f>'Initial Search'!M171</f>
        <v>Accepted</v>
      </c>
      <c r="G8" s="44" t="str">
        <f>'Initial Search'!N171</f>
        <v>Approved</v>
      </c>
      <c r="H8" s="36"/>
      <c r="I8" s="29"/>
      <c r="J8" s="29" t="s">
        <v>1623</v>
      </c>
      <c r="K8" s="29"/>
      <c r="L8" s="53"/>
      <c r="M8" s="37"/>
      <c r="N8" s="36"/>
      <c r="O8" s="29" t="s">
        <v>1623</v>
      </c>
      <c r="P8" s="29" t="s">
        <v>1623</v>
      </c>
      <c r="Q8" s="29" t="s">
        <v>1623</v>
      </c>
      <c r="R8" s="29"/>
      <c r="S8" s="53"/>
      <c r="T8" s="37" t="s">
        <v>1735</v>
      </c>
      <c r="U8" s="39" t="s">
        <v>1730</v>
      </c>
      <c r="V8" s="39" t="s">
        <v>1623</v>
      </c>
      <c r="W8" s="39"/>
      <c r="X8" s="29" t="s">
        <v>1710</v>
      </c>
      <c r="Y8" s="42" t="s">
        <v>2258</v>
      </c>
      <c r="Z8" s="29" t="s">
        <v>1686</v>
      </c>
      <c r="AA8" s="29" t="s">
        <v>1723</v>
      </c>
      <c r="AB8" s="29" t="s">
        <v>1712</v>
      </c>
      <c r="AC8" s="29" t="s">
        <v>1698</v>
      </c>
      <c r="AD8" s="43" t="s">
        <v>1733</v>
      </c>
      <c r="AE8" s="36" t="s">
        <v>3762</v>
      </c>
      <c r="AF8" s="37" t="s">
        <v>3757</v>
      </c>
      <c r="AG8" s="36" t="s">
        <v>1778</v>
      </c>
      <c r="AH8" s="37"/>
      <c r="AI8" s="39" t="s">
        <v>2588</v>
      </c>
      <c r="AJ8" s="37" t="s">
        <v>2596</v>
      </c>
      <c r="AK8" s="96" t="s">
        <v>2197</v>
      </c>
      <c r="AL8" s="39" t="s">
        <v>1670</v>
      </c>
      <c r="AM8" s="37" t="s">
        <v>1734</v>
      </c>
      <c r="AN8" s="36" t="s">
        <v>1778</v>
      </c>
      <c r="AO8" s="37"/>
      <c r="AP8" s="36" t="s">
        <v>2179</v>
      </c>
      <c r="AQ8" s="37"/>
      <c r="AR8" s="39" t="s">
        <v>1718</v>
      </c>
      <c r="AS8" s="29" t="s">
        <v>1693</v>
      </c>
      <c r="AT8" s="37" t="s">
        <v>1719</v>
      </c>
      <c r="AU8" s="36" t="s">
        <v>1766</v>
      </c>
      <c r="AV8" s="29" t="s">
        <v>1682</v>
      </c>
      <c r="AW8" s="37" t="s">
        <v>1720</v>
      </c>
      <c r="AX8" s="39" t="s">
        <v>2970</v>
      </c>
      <c r="AY8" s="205" t="s">
        <v>2856</v>
      </c>
      <c r="AZ8" s="53" t="s">
        <v>2851</v>
      </c>
      <c r="BA8" s="88"/>
      <c r="BB8" s="224" t="s">
        <v>3005</v>
      </c>
      <c r="BC8" s="37" t="s">
        <v>2858</v>
      </c>
      <c r="BE8" s="69" t="s">
        <v>2855</v>
      </c>
    </row>
    <row r="9" spans="1:64" ht="30" hidden="1" x14ac:dyDescent="0.25">
      <c r="A9"/>
      <c r="B9" s="51">
        <f>ROW('Initial Search'!26:26)</f>
        <v>26</v>
      </c>
      <c r="C9" s="46" t="str">
        <f>'Initial Search'!D26</f>
        <v>RuCORD: Rule-based composite operation recovering and detection to support cooperative edition of (Meta)models</v>
      </c>
      <c r="D9" s="49">
        <f>'Initial Search'!C26</f>
        <v>2015</v>
      </c>
      <c r="E9" s="49" t="str">
        <f>'Initial Search'!O26</f>
        <v>RuCORD</v>
      </c>
      <c r="F9" s="44" t="str">
        <f>'Initial Search'!M26</f>
        <v>Rejected</v>
      </c>
      <c r="G9" s="44">
        <f>'Initial Search'!N26</f>
        <v>0</v>
      </c>
      <c r="H9" s="36"/>
      <c r="I9" s="29"/>
      <c r="J9" s="29" t="s">
        <v>1623</v>
      </c>
      <c r="K9" s="29"/>
      <c r="L9" s="53"/>
      <c r="M9" s="37"/>
      <c r="N9" s="36"/>
      <c r="O9" s="29"/>
      <c r="P9" s="29"/>
      <c r="Q9" s="29"/>
      <c r="R9" s="29"/>
      <c r="S9" s="29"/>
      <c r="T9" s="37"/>
      <c r="U9" s="39" t="s">
        <v>1778</v>
      </c>
      <c r="V9" s="39"/>
      <c r="W9" s="39"/>
      <c r="X9" s="29" t="s">
        <v>1778</v>
      </c>
      <c r="Y9" s="29"/>
      <c r="Z9" s="29" t="s">
        <v>1686</v>
      </c>
      <c r="AA9" s="29" t="s">
        <v>1723</v>
      </c>
      <c r="AB9" s="29" t="s">
        <v>1778</v>
      </c>
      <c r="AC9" s="29" t="s">
        <v>1778</v>
      </c>
      <c r="AD9" s="43" t="s">
        <v>1736</v>
      </c>
      <c r="AE9" s="36" t="s">
        <v>1778</v>
      </c>
      <c r="AF9" s="37"/>
      <c r="AG9" s="36" t="s">
        <v>1778</v>
      </c>
      <c r="AH9" s="37"/>
      <c r="AI9" s="36" t="s">
        <v>1778</v>
      </c>
      <c r="AJ9" s="37"/>
      <c r="AK9" s="83"/>
      <c r="AL9" s="36" t="s">
        <v>1778</v>
      </c>
      <c r="AM9" s="37"/>
      <c r="AN9" s="83"/>
      <c r="AO9" s="83"/>
      <c r="AP9" s="36" t="s">
        <v>1778</v>
      </c>
      <c r="AQ9" s="37"/>
      <c r="AR9" s="39" t="s">
        <v>1778</v>
      </c>
      <c r="AS9" s="29" t="s">
        <v>1778</v>
      </c>
      <c r="AT9" s="37"/>
      <c r="AU9" s="36" t="s">
        <v>1778</v>
      </c>
      <c r="AV9" s="29" t="s">
        <v>1778</v>
      </c>
      <c r="AW9" s="37"/>
      <c r="AX9" s="205"/>
      <c r="AY9" s="205"/>
      <c r="AZ9" s="204"/>
      <c r="BA9" s="88"/>
      <c r="BB9" s="88"/>
      <c r="BC9" s="37"/>
      <c r="BE9" s="69"/>
    </row>
    <row r="10" spans="1:64" ht="153" x14ac:dyDescent="0.25">
      <c r="A10" s="149">
        <v>2</v>
      </c>
      <c r="B10" s="51">
        <f>ROW('Initial Search'!4:4)</f>
        <v>4</v>
      </c>
      <c r="C10" s="46" t="str">
        <f>'Initial Search'!D4</f>
        <v>Composite-based conflict resolution in merging versions of UML models</v>
      </c>
      <c r="D10" s="49">
        <f>'Initial Search'!C4</f>
        <v>2016</v>
      </c>
      <c r="E10" s="49" t="str">
        <f>'Initial Search'!O4</f>
        <v>Chong et al.</v>
      </c>
      <c r="F10" s="44" t="str">
        <f>'Initial Search'!M4</f>
        <v>Accepted</v>
      </c>
      <c r="G10" s="44" t="str">
        <f>'Initial Search'!N4</f>
        <v>Approved</v>
      </c>
      <c r="H10" s="36"/>
      <c r="I10" s="29" t="s">
        <v>1623</v>
      </c>
      <c r="J10" s="29"/>
      <c r="K10" s="29"/>
      <c r="L10" s="53"/>
      <c r="M10" s="37" t="s">
        <v>1746</v>
      </c>
      <c r="N10" s="36"/>
      <c r="O10" s="29" t="s">
        <v>1623</v>
      </c>
      <c r="P10" s="29" t="s">
        <v>1623</v>
      </c>
      <c r="Q10" s="29"/>
      <c r="R10" s="29"/>
      <c r="S10" s="29"/>
      <c r="T10" s="37" t="s">
        <v>1742</v>
      </c>
      <c r="U10" s="39" t="s">
        <v>1778</v>
      </c>
      <c r="V10" s="39"/>
      <c r="W10" s="39" t="s">
        <v>1623</v>
      </c>
      <c r="X10" s="29" t="s">
        <v>1915</v>
      </c>
      <c r="Y10" s="42" t="s">
        <v>2258</v>
      </c>
      <c r="Z10" s="29" t="s">
        <v>1686</v>
      </c>
      <c r="AA10" s="29" t="s">
        <v>1723</v>
      </c>
      <c r="AB10" s="53" t="s">
        <v>2681</v>
      </c>
      <c r="AC10" s="29" t="s">
        <v>1699</v>
      </c>
      <c r="AD10" s="37" t="s">
        <v>1739</v>
      </c>
      <c r="AE10" s="36" t="s">
        <v>3763</v>
      </c>
      <c r="AF10" s="37" t="s">
        <v>3758</v>
      </c>
      <c r="AG10" s="36" t="s">
        <v>1778</v>
      </c>
      <c r="AH10" s="37"/>
      <c r="AI10" s="36" t="s">
        <v>1740</v>
      </c>
      <c r="AJ10" s="37" t="s">
        <v>1741</v>
      </c>
      <c r="AK10" s="96" t="s">
        <v>2197</v>
      </c>
      <c r="AL10" s="39" t="s">
        <v>1792</v>
      </c>
      <c r="AM10" s="37" t="s">
        <v>2574</v>
      </c>
      <c r="AN10" s="41" t="s">
        <v>1778</v>
      </c>
      <c r="AO10" s="37"/>
      <c r="AP10" s="36" t="s">
        <v>2146</v>
      </c>
      <c r="AQ10" s="37"/>
      <c r="AR10" s="39" t="s">
        <v>1743</v>
      </c>
      <c r="AS10" s="29" t="s">
        <v>1693</v>
      </c>
      <c r="AT10" s="37" t="s">
        <v>1744</v>
      </c>
      <c r="AU10" s="36" t="s">
        <v>1778</v>
      </c>
      <c r="AV10" s="29" t="s">
        <v>1778</v>
      </c>
      <c r="AW10" s="37"/>
      <c r="AX10" s="39" t="s">
        <v>2851</v>
      </c>
      <c r="AY10" s="205"/>
      <c r="AZ10" s="53" t="s">
        <v>2851</v>
      </c>
      <c r="BA10" s="88"/>
      <c r="BB10" s="224" t="s">
        <v>3008</v>
      </c>
      <c r="BC10" s="37" t="s">
        <v>2859</v>
      </c>
      <c r="BE10" s="69"/>
    </row>
    <row r="11" spans="1:64" ht="178.5" x14ac:dyDescent="0.25">
      <c r="A11" s="148">
        <v>3</v>
      </c>
      <c r="B11" s="51">
        <f>ROW('Initial Search'!6:6)</f>
        <v>6</v>
      </c>
      <c r="C11" s="46" t="str">
        <f>'Initial Search'!D6</f>
        <v>Operation-based conflict detection and resolution</v>
      </c>
      <c r="D11" s="49">
        <f>'Initial Search'!C6</f>
        <v>2009</v>
      </c>
      <c r="E11" s="49" t="str">
        <f>'Initial Search'!O6</f>
        <v>SCM (UniCase+)</v>
      </c>
      <c r="F11" s="40" t="str">
        <f>'Initial Search'!M6</f>
        <v>Accepted</v>
      </c>
      <c r="G11" s="44" t="str">
        <f>'Initial Search'!N8</f>
        <v>Approved</v>
      </c>
      <c r="H11" s="36"/>
      <c r="I11" s="29" t="s">
        <v>1623</v>
      </c>
      <c r="J11" s="29"/>
      <c r="K11" s="29"/>
      <c r="L11" s="53"/>
      <c r="M11" s="37"/>
      <c r="N11" s="36"/>
      <c r="O11" s="29" t="s">
        <v>1623</v>
      </c>
      <c r="P11" s="29" t="s">
        <v>1623</v>
      </c>
      <c r="Q11" s="29"/>
      <c r="R11" s="29"/>
      <c r="S11" s="29"/>
      <c r="T11" s="37" t="s">
        <v>1752</v>
      </c>
      <c r="U11" s="39" t="s">
        <v>1757</v>
      </c>
      <c r="V11" s="39"/>
      <c r="W11" s="39"/>
      <c r="X11" s="29" t="s">
        <v>1915</v>
      </c>
      <c r="Y11" s="42" t="s">
        <v>2258</v>
      </c>
      <c r="Z11" s="29" t="s">
        <v>1686</v>
      </c>
      <c r="AA11" s="29" t="s">
        <v>1723</v>
      </c>
      <c r="AB11" s="29" t="s">
        <v>1749</v>
      </c>
      <c r="AC11" s="29" t="s">
        <v>1698</v>
      </c>
      <c r="AD11" s="37" t="s">
        <v>1750</v>
      </c>
      <c r="AE11" s="36" t="s">
        <v>3762</v>
      </c>
      <c r="AF11" s="37" t="s">
        <v>3759</v>
      </c>
      <c r="AG11" s="36" t="s">
        <v>1778</v>
      </c>
      <c r="AH11" s="37"/>
      <c r="AI11" s="39" t="s">
        <v>1833</v>
      </c>
      <c r="AJ11" s="37" t="s">
        <v>2610</v>
      </c>
      <c r="AK11" s="96" t="s">
        <v>2196</v>
      </c>
      <c r="AL11" s="39" t="s">
        <v>1792</v>
      </c>
      <c r="AM11" s="37" t="s">
        <v>2573</v>
      </c>
      <c r="AN11" s="36" t="s">
        <v>1778</v>
      </c>
      <c r="AO11" s="37"/>
      <c r="AP11" s="36" t="s">
        <v>1801</v>
      </c>
      <c r="AQ11" s="37" t="s">
        <v>1753</v>
      </c>
      <c r="AR11" s="39" t="s">
        <v>1755</v>
      </c>
      <c r="AS11" s="29" t="s">
        <v>1693</v>
      </c>
      <c r="AT11" s="37" t="s">
        <v>1748</v>
      </c>
      <c r="AU11" s="36" t="s">
        <v>1766</v>
      </c>
      <c r="AV11" s="29" t="s">
        <v>1682</v>
      </c>
      <c r="AW11" s="37" t="s">
        <v>1754</v>
      </c>
      <c r="AX11" s="39" t="s">
        <v>2971</v>
      </c>
      <c r="AY11" s="205" t="s">
        <v>2861</v>
      </c>
      <c r="AZ11" s="53" t="s">
        <v>2851</v>
      </c>
      <c r="BA11" s="88"/>
      <c r="BB11" s="224" t="s">
        <v>3009</v>
      </c>
      <c r="BC11" s="37" t="s">
        <v>2862</v>
      </c>
      <c r="BE11" s="70" t="s">
        <v>1793</v>
      </c>
    </row>
    <row r="12" spans="1:64" ht="76.5" hidden="1" x14ac:dyDescent="0.25">
      <c r="A12"/>
      <c r="B12" s="51">
        <f>ROW('Initial Search'!16:16)</f>
        <v>16</v>
      </c>
      <c r="C12" s="46" t="str">
        <f>'Initial Search'!D16</f>
        <v>Comparing State- and Operation-Based Change Tracking on Models</v>
      </c>
      <c r="D12" s="49">
        <f>'Initial Search'!C16</f>
        <v>2010</v>
      </c>
      <c r="E12" s="49" t="str">
        <f>'Initial Search'!O16</f>
        <v>SCM (UniCase+)</v>
      </c>
      <c r="F12" s="40" t="str">
        <f>'Initial Search'!M16</f>
        <v>Rejected</v>
      </c>
      <c r="G12" s="44">
        <f>'Initial Search'!N9</f>
        <v>0</v>
      </c>
      <c r="H12" s="36"/>
      <c r="I12" s="29"/>
      <c r="J12" s="29"/>
      <c r="K12" s="29"/>
      <c r="L12" s="53"/>
      <c r="M12" s="37"/>
      <c r="N12" s="36"/>
      <c r="O12" s="29"/>
      <c r="P12" s="29"/>
      <c r="Q12" s="29"/>
      <c r="R12" s="29"/>
      <c r="S12" s="29"/>
      <c r="T12" s="37"/>
      <c r="U12" s="39" t="s">
        <v>1778</v>
      </c>
      <c r="V12" s="76"/>
      <c r="W12" s="76"/>
      <c r="X12" s="30" t="s">
        <v>1778</v>
      </c>
      <c r="Y12" s="30"/>
      <c r="Z12" s="29" t="s">
        <v>1778</v>
      </c>
      <c r="AA12" s="29" t="s">
        <v>1778</v>
      </c>
      <c r="AB12" s="29" t="s">
        <v>1778</v>
      </c>
      <c r="AC12" s="29" t="s">
        <v>1778</v>
      </c>
      <c r="AD12" s="37" t="s">
        <v>1758</v>
      </c>
      <c r="AE12" s="36" t="s">
        <v>1778</v>
      </c>
      <c r="AF12" s="37"/>
      <c r="AG12" s="36" t="s">
        <v>1778</v>
      </c>
      <c r="AH12" s="37"/>
      <c r="AI12" s="36" t="s">
        <v>1778</v>
      </c>
      <c r="AJ12" s="37"/>
      <c r="AK12" s="83"/>
      <c r="AL12" s="36" t="s">
        <v>1778</v>
      </c>
      <c r="AM12" s="37"/>
      <c r="AN12" s="39"/>
      <c r="AO12" s="83"/>
      <c r="AP12" s="36" t="s">
        <v>1778</v>
      </c>
      <c r="AQ12" s="37"/>
      <c r="AR12" s="39" t="s">
        <v>1778</v>
      </c>
      <c r="AS12" s="29" t="s">
        <v>1778</v>
      </c>
      <c r="AT12" s="37"/>
      <c r="AU12" s="36" t="s">
        <v>1778</v>
      </c>
      <c r="AV12" s="29" t="s">
        <v>1778</v>
      </c>
      <c r="AW12" s="37"/>
      <c r="AX12" s="205"/>
      <c r="AY12" s="205"/>
      <c r="AZ12" s="204"/>
      <c r="BA12" s="88"/>
      <c r="BB12" s="88"/>
      <c r="BC12" s="37"/>
      <c r="BE12" s="70" t="s">
        <v>1759</v>
      </c>
    </row>
    <row r="13" spans="1:64" ht="102" x14ac:dyDescent="0.25">
      <c r="A13" s="148">
        <v>3</v>
      </c>
      <c r="B13" s="51">
        <f>ROW('Initial Search'!113:113)</f>
        <v>113</v>
      </c>
      <c r="C13" s="46" t="str">
        <f>'Initial Search'!D113</f>
        <v>Operation-based conflict detection</v>
      </c>
      <c r="D13" s="49">
        <f>'Initial Search'!C113</f>
        <v>2010</v>
      </c>
      <c r="E13" s="49" t="str">
        <f>'Initial Search'!O113</f>
        <v>SCM (UniCase+)</v>
      </c>
      <c r="F13" s="40" t="str">
        <f>'Initial Search'!M113</f>
        <v>Accepted</v>
      </c>
      <c r="G13" s="44" t="str">
        <f>'Initial Search'!N10</f>
        <v>Approved</v>
      </c>
      <c r="H13" s="39" t="s">
        <v>1623</v>
      </c>
      <c r="I13" s="29"/>
      <c r="J13" s="53"/>
      <c r="K13" s="29"/>
      <c r="L13" s="53"/>
      <c r="M13" s="37" t="s">
        <v>2532</v>
      </c>
      <c r="N13" s="36"/>
      <c r="O13" s="29" t="s">
        <v>1623</v>
      </c>
      <c r="P13" s="29" t="s">
        <v>1623</v>
      </c>
      <c r="Q13" s="29"/>
      <c r="R13" s="29"/>
      <c r="S13" s="29"/>
      <c r="T13" s="37" t="s">
        <v>1764</v>
      </c>
      <c r="U13" s="39" t="s">
        <v>1761</v>
      </c>
      <c r="V13" s="39"/>
      <c r="W13" s="39"/>
      <c r="X13" s="29" t="s">
        <v>1915</v>
      </c>
      <c r="Y13" s="29" t="s">
        <v>2258</v>
      </c>
      <c r="Z13" s="29" t="s">
        <v>1686</v>
      </c>
      <c r="AA13" s="29" t="s">
        <v>1723</v>
      </c>
      <c r="AB13" s="29" t="s">
        <v>1778</v>
      </c>
      <c r="AC13" s="29" t="s">
        <v>1698</v>
      </c>
      <c r="AD13" s="37" t="s">
        <v>1760</v>
      </c>
      <c r="AE13" s="36" t="s">
        <v>1778</v>
      </c>
      <c r="AF13" s="37"/>
      <c r="AG13" s="36" t="s">
        <v>1778</v>
      </c>
      <c r="AH13" s="37"/>
      <c r="AI13" s="39" t="s">
        <v>2680</v>
      </c>
      <c r="AJ13" s="37" t="s">
        <v>1762</v>
      </c>
      <c r="AK13" s="96" t="s">
        <v>2196</v>
      </c>
      <c r="AL13" s="36" t="s">
        <v>1792</v>
      </c>
      <c r="AM13" s="37"/>
      <c r="AN13" s="39" t="s">
        <v>1778</v>
      </c>
      <c r="AO13" s="37"/>
      <c r="AP13" s="36" t="s">
        <v>1801</v>
      </c>
      <c r="AQ13" s="37"/>
      <c r="AR13" s="39" t="s">
        <v>1765</v>
      </c>
      <c r="AS13" s="29" t="s">
        <v>1693</v>
      </c>
      <c r="AT13" s="37" t="s">
        <v>1748</v>
      </c>
      <c r="AU13" s="36" t="s">
        <v>1766</v>
      </c>
      <c r="AV13" s="29" t="s">
        <v>1677</v>
      </c>
      <c r="AW13" s="64" t="s">
        <v>1767</v>
      </c>
      <c r="AX13" s="39" t="s">
        <v>2851</v>
      </c>
      <c r="AY13" s="206"/>
      <c r="AZ13" s="53" t="s">
        <v>2864</v>
      </c>
      <c r="BA13" s="88" t="s">
        <v>2863</v>
      </c>
      <c r="BB13" s="224" t="s">
        <v>2851</v>
      </c>
      <c r="BC13" s="64"/>
      <c r="BE13" s="70"/>
    </row>
    <row r="14" spans="1:64" ht="102" hidden="1" x14ac:dyDescent="0.25">
      <c r="A14" s="148">
        <v>3</v>
      </c>
      <c r="B14" s="51">
        <f>ROW('Initial Search'!148:148)</f>
        <v>148</v>
      </c>
      <c r="C14" s="46" t="str">
        <f>'Initial Search'!D148</f>
        <v>Collaborative model merging</v>
      </c>
      <c r="D14" s="49">
        <f>'Initial Search'!C148</f>
        <v>2010</v>
      </c>
      <c r="E14" s="49" t="str">
        <f>'Initial Search'!O148</f>
        <v>SCM (UniCase+)</v>
      </c>
      <c r="F14" s="40" t="str">
        <f>'Initial Search'!M148</f>
        <v>Accepted</v>
      </c>
      <c r="G14" s="44" t="str">
        <f>'Initial Search'!N148</f>
        <v>Disapproved</v>
      </c>
      <c r="H14" s="39" t="s">
        <v>1623</v>
      </c>
      <c r="I14" s="29"/>
      <c r="J14" s="29"/>
      <c r="K14" s="29"/>
      <c r="L14" s="53"/>
      <c r="M14" s="37" t="s">
        <v>2532</v>
      </c>
      <c r="N14" s="36"/>
      <c r="O14" s="29" t="s">
        <v>1623</v>
      </c>
      <c r="P14" s="29" t="s">
        <v>1623</v>
      </c>
      <c r="Q14" s="29"/>
      <c r="R14" s="29"/>
      <c r="S14" s="29"/>
      <c r="T14" s="37"/>
      <c r="U14" s="39" t="s">
        <v>1768</v>
      </c>
      <c r="V14" s="76"/>
      <c r="W14" s="76"/>
      <c r="X14" s="30" t="s">
        <v>1915</v>
      </c>
      <c r="Y14" s="42" t="s">
        <v>2258</v>
      </c>
      <c r="Z14" s="29" t="s">
        <v>1686</v>
      </c>
      <c r="AA14" s="29" t="s">
        <v>1723</v>
      </c>
      <c r="AB14" s="29" t="s">
        <v>1778</v>
      </c>
      <c r="AC14" s="29" t="s">
        <v>1698</v>
      </c>
      <c r="AD14" s="37" t="s">
        <v>1769</v>
      </c>
      <c r="AE14" s="36" t="s">
        <v>1778</v>
      </c>
      <c r="AF14" s="37"/>
      <c r="AG14" s="36" t="s">
        <v>1778</v>
      </c>
      <c r="AH14" s="37"/>
      <c r="AI14" s="39" t="s">
        <v>1833</v>
      </c>
      <c r="AJ14" s="37" t="s">
        <v>1751</v>
      </c>
      <c r="AK14" s="96" t="s">
        <v>2196</v>
      </c>
      <c r="AL14" s="36" t="s">
        <v>1792</v>
      </c>
      <c r="AM14" s="37"/>
      <c r="AN14" s="39" t="s">
        <v>1778</v>
      </c>
      <c r="AO14" s="37"/>
      <c r="AP14" s="36" t="s">
        <v>1801</v>
      </c>
      <c r="AQ14" s="37" t="s">
        <v>2682</v>
      </c>
      <c r="AR14" s="39" t="s">
        <v>1743</v>
      </c>
      <c r="AS14" s="29" t="s">
        <v>1778</v>
      </c>
      <c r="AT14" s="37"/>
      <c r="AU14" s="36" t="s">
        <v>1778</v>
      </c>
      <c r="AV14" s="29" t="s">
        <v>1778</v>
      </c>
      <c r="AW14" s="37"/>
      <c r="AX14" s="39" t="s">
        <v>2851</v>
      </c>
      <c r="AY14" s="205"/>
      <c r="AZ14" s="53" t="s">
        <v>2864</v>
      </c>
      <c r="BA14" s="88" t="s">
        <v>2863</v>
      </c>
      <c r="BB14" s="224" t="s">
        <v>2851</v>
      </c>
      <c r="BC14" s="37"/>
      <c r="BE14" s="70"/>
    </row>
    <row r="15" spans="1:64" ht="63.75" hidden="1" x14ac:dyDescent="0.25">
      <c r="A15"/>
      <c r="B15" s="51">
        <f>ROW('Initial Search'!9:9)</f>
        <v>9</v>
      </c>
      <c r="C15" s="46" t="str">
        <f>'Initial Search'!D9</f>
        <v>EMFStore: a model repository for EMF models</v>
      </c>
      <c r="D15" s="49">
        <f>'Initial Search'!C9</f>
        <v>2010</v>
      </c>
      <c r="E15" s="49" t="str">
        <f>'Initial Search'!O9</f>
        <v>EMFStore</v>
      </c>
      <c r="F15" s="40" t="str">
        <f>'Initial Search'!M9</f>
        <v>Rejected</v>
      </c>
      <c r="G15" s="44">
        <f>'Initial Search'!N12</f>
        <v>0</v>
      </c>
      <c r="H15" s="36"/>
      <c r="I15" s="29"/>
      <c r="J15" s="29"/>
      <c r="K15" s="29"/>
      <c r="L15" s="53"/>
      <c r="M15" s="37"/>
      <c r="N15" s="36"/>
      <c r="O15" s="29"/>
      <c r="P15" s="29"/>
      <c r="Q15" s="29"/>
      <c r="R15" s="29"/>
      <c r="S15" s="29"/>
      <c r="T15" s="37"/>
      <c r="U15" s="39" t="s">
        <v>1757</v>
      </c>
      <c r="V15" s="39"/>
      <c r="W15" s="39"/>
      <c r="X15" s="29" t="s">
        <v>1778</v>
      </c>
      <c r="Y15" s="29"/>
      <c r="Z15" s="29" t="s">
        <v>1778</v>
      </c>
      <c r="AA15" s="29" t="s">
        <v>1778</v>
      </c>
      <c r="AB15" s="29" t="s">
        <v>1778</v>
      </c>
      <c r="AC15" s="29" t="s">
        <v>1778</v>
      </c>
      <c r="AD15" s="37"/>
      <c r="AE15" s="36" t="s">
        <v>1778</v>
      </c>
      <c r="AF15" s="37"/>
      <c r="AG15" s="36" t="s">
        <v>1778</v>
      </c>
      <c r="AH15" s="37"/>
      <c r="AI15" s="36" t="s">
        <v>1623</v>
      </c>
      <c r="AJ15" s="37"/>
      <c r="AK15" s="83"/>
      <c r="AL15" s="36" t="s">
        <v>1778</v>
      </c>
      <c r="AM15" s="37"/>
      <c r="AN15" s="36"/>
      <c r="AO15" s="83"/>
      <c r="AP15" s="36" t="s">
        <v>1778</v>
      </c>
      <c r="AQ15" s="37"/>
      <c r="AR15" s="39" t="s">
        <v>1778</v>
      </c>
      <c r="AS15" s="29" t="s">
        <v>1778</v>
      </c>
      <c r="AT15" s="37"/>
      <c r="AU15" s="36" t="s">
        <v>1778</v>
      </c>
      <c r="AV15" s="29" t="s">
        <v>1778</v>
      </c>
      <c r="AW15" s="37"/>
      <c r="AX15" s="205"/>
      <c r="AY15" s="205"/>
      <c r="AZ15" s="204"/>
      <c r="BA15" s="88"/>
      <c r="BB15" s="88"/>
      <c r="BC15" s="37"/>
      <c r="BE15" s="69"/>
    </row>
    <row r="16" spans="1:64" ht="30" hidden="1" x14ac:dyDescent="0.25">
      <c r="A16"/>
      <c r="B16" s="51">
        <f>ROW('Initial Search'!7:7)</f>
        <v>7</v>
      </c>
      <c r="C16" s="46" t="str">
        <f>'Initial Search'!D7</f>
        <v>Using Stakeholder Analysis for Improving Statechart Merging in Software Requirement Management</v>
      </c>
      <c r="D16" s="49">
        <f>'Initial Search'!C7</f>
        <v>2008</v>
      </c>
      <c r="E16" s="49" t="str">
        <f>'Initial Search'!O7</f>
        <v>Cheng &amp; Liu</v>
      </c>
      <c r="F16" s="40" t="str">
        <f>'Initial Search'!M7</f>
        <v>Rejected</v>
      </c>
      <c r="G16" s="44">
        <f>'Initial Search'!N13</f>
        <v>0</v>
      </c>
      <c r="H16" s="36"/>
      <c r="I16" s="29"/>
      <c r="J16" s="29"/>
      <c r="K16" s="29" t="s">
        <v>1770</v>
      </c>
      <c r="L16" s="68"/>
      <c r="M16" s="37"/>
      <c r="N16" s="36"/>
      <c r="O16" s="29"/>
      <c r="P16" s="29"/>
      <c r="Q16" s="29"/>
      <c r="R16" s="29"/>
      <c r="S16" s="29"/>
      <c r="T16" s="37"/>
      <c r="U16" s="39" t="s">
        <v>1778</v>
      </c>
      <c r="V16" s="39"/>
      <c r="W16" s="39"/>
      <c r="X16" s="29" t="s">
        <v>1778</v>
      </c>
      <c r="Y16" s="29"/>
      <c r="Z16" s="29" t="s">
        <v>1778</v>
      </c>
      <c r="AA16" s="29" t="s">
        <v>1778</v>
      </c>
      <c r="AB16" s="29" t="s">
        <v>1778</v>
      </c>
      <c r="AC16" s="29" t="s">
        <v>1778</v>
      </c>
      <c r="AD16" s="37"/>
      <c r="AE16" s="36" t="s">
        <v>1778</v>
      </c>
      <c r="AF16" s="37"/>
      <c r="AG16" s="36" t="s">
        <v>1778</v>
      </c>
      <c r="AH16" s="37"/>
      <c r="AI16" s="36" t="s">
        <v>1778</v>
      </c>
      <c r="AJ16" s="37"/>
      <c r="AK16" s="83"/>
      <c r="AL16" s="36" t="s">
        <v>1778</v>
      </c>
      <c r="AM16" s="37"/>
      <c r="AN16" s="41"/>
      <c r="AO16" s="83"/>
      <c r="AP16" s="36" t="s">
        <v>1778</v>
      </c>
      <c r="AQ16" s="37"/>
      <c r="AR16" s="39" t="s">
        <v>1778</v>
      </c>
      <c r="AS16" s="29" t="s">
        <v>1778</v>
      </c>
      <c r="AT16" s="37"/>
      <c r="AU16" s="36" t="s">
        <v>1778</v>
      </c>
      <c r="AV16" s="29" t="s">
        <v>1778</v>
      </c>
      <c r="AW16" s="37"/>
      <c r="AX16" s="205"/>
      <c r="AY16" s="205"/>
      <c r="AZ16" s="204"/>
      <c r="BA16" s="88"/>
      <c r="BB16" s="88"/>
      <c r="BC16" s="37"/>
      <c r="BE16" s="69"/>
    </row>
    <row r="17" spans="1:59" ht="153" x14ac:dyDescent="0.25">
      <c r="A17" s="149">
        <v>4</v>
      </c>
      <c r="B17" s="51">
        <f>ROW('Initial Search'!8:8)</f>
        <v>8</v>
      </c>
      <c r="C17" s="46" t="str">
        <f>'Initial Search'!D8</f>
        <v>Collaborative-Design Conflicts: Costs and Solutions</v>
      </c>
      <c r="D17" s="49">
        <f>'Initial Search'!C8</f>
        <v>2018</v>
      </c>
      <c r="E17" s="49" t="str">
        <f>'Initial Search'!O8</f>
        <v>FLAME</v>
      </c>
      <c r="F17" s="40" t="str">
        <f>'Initial Search'!M8</f>
        <v>Accepted</v>
      </c>
      <c r="G17" s="44" t="str">
        <f>'Initial Search'!N14</f>
        <v>Approved</v>
      </c>
      <c r="H17" s="39" t="s">
        <v>1623</v>
      </c>
      <c r="I17" s="29"/>
      <c r="J17" s="29"/>
      <c r="K17" s="65"/>
      <c r="L17" s="53" t="s">
        <v>1782</v>
      </c>
      <c r="M17" s="66" t="s">
        <v>2532</v>
      </c>
      <c r="N17" s="36"/>
      <c r="O17" s="29" t="s">
        <v>1623</v>
      </c>
      <c r="P17" s="29"/>
      <c r="Q17" s="29"/>
      <c r="R17" s="29"/>
      <c r="S17" s="29"/>
      <c r="T17" s="37" t="s">
        <v>1775</v>
      </c>
      <c r="U17" s="39" t="s">
        <v>1772</v>
      </c>
      <c r="V17" s="39"/>
      <c r="W17" s="39"/>
      <c r="X17" s="29" t="s">
        <v>1710</v>
      </c>
      <c r="Y17" s="42" t="s">
        <v>2258</v>
      </c>
      <c r="Z17" s="53" t="s">
        <v>1685</v>
      </c>
      <c r="AA17" s="29" t="s">
        <v>1723</v>
      </c>
      <c r="AB17" s="29" t="s">
        <v>1778</v>
      </c>
      <c r="AC17" s="53" t="s">
        <v>1698</v>
      </c>
      <c r="AD17" s="37" t="s">
        <v>2558</v>
      </c>
      <c r="AE17" s="36" t="s">
        <v>1778</v>
      </c>
      <c r="AF17" s="37"/>
      <c r="AG17" s="36" t="s">
        <v>1778</v>
      </c>
      <c r="AH17" s="37"/>
      <c r="AI17" s="39" t="s">
        <v>1771</v>
      </c>
      <c r="AJ17" s="37" t="s">
        <v>1774</v>
      </c>
      <c r="AK17" s="96" t="s">
        <v>2197</v>
      </c>
      <c r="AL17" s="36" t="s">
        <v>1670</v>
      </c>
      <c r="AM17" s="37"/>
      <c r="AN17" s="36" t="s">
        <v>1778</v>
      </c>
      <c r="AO17" s="37"/>
      <c r="AP17" s="36" t="s">
        <v>1778</v>
      </c>
      <c r="AQ17" s="37"/>
      <c r="AR17" s="39" t="s">
        <v>1765</v>
      </c>
      <c r="AS17" s="29" t="s">
        <v>1693</v>
      </c>
      <c r="AT17" s="37"/>
      <c r="AU17" s="36" t="s">
        <v>1766</v>
      </c>
      <c r="AV17" s="29" t="s">
        <v>1677</v>
      </c>
      <c r="AW17" s="64" t="s">
        <v>1773</v>
      </c>
      <c r="AX17" s="39" t="s">
        <v>2851</v>
      </c>
      <c r="AY17" s="205"/>
      <c r="AZ17" s="53" t="s">
        <v>2851</v>
      </c>
      <c r="BA17" s="88"/>
      <c r="BB17" s="224" t="s">
        <v>3012</v>
      </c>
      <c r="BC17" s="37" t="s">
        <v>2871</v>
      </c>
      <c r="BE17" s="69"/>
    </row>
    <row r="18" spans="1:59" ht="153" x14ac:dyDescent="0.25">
      <c r="A18" s="150">
        <v>4</v>
      </c>
      <c r="B18" s="51">
        <f>ROW('Initial Search'!14:14)</f>
        <v>14</v>
      </c>
      <c r="C18" s="46" t="str">
        <f>'Initial Search'!D14</f>
        <v>Proactive Detection of Higher-Order Software Design Conflicts</v>
      </c>
      <c r="D18" s="49">
        <f>'Initial Search'!C14</f>
        <v>2015</v>
      </c>
      <c r="E18" s="49" t="str">
        <f>'Initial Search'!O14</f>
        <v>FLAME</v>
      </c>
      <c r="F18" s="40" t="str">
        <f>'Initial Search'!M14</f>
        <v>Accepted</v>
      </c>
      <c r="G18" s="44" t="str">
        <f>'Initial Search'!N14</f>
        <v>Approved</v>
      </c>
      <c r="H18" s="39" t="s">
        <v>1623</v>
      </c>
      <c r="I18" s="29"/>
      <c r="J18" s="29"/>
      <c r="K18" s="29"/>
      <c r="L18" s="67" t="s">
        <v>1782</v>
      </c>
      <c r="M18" s="37" t="s">
        <v>2532</v>
      </c>
      <c r="N18" s="36"/>
      <c r="O18" s="29" t="s">
        <v>1623</v>
      </c>
      <c r="P18" s="29"/>
      <c r="Q18" s="29"/>
      <c r="R18" s="29"/>
      <c r="S18" s="29"/>
      <c r="T18" s="37" t="s">
        <v>1776</v>
      </c>
      <c r="U18" s="39" t="s">
        <v>1772</v>
      </c>
      <c r="V18" s="39"/>
      <c r="W18" s="39"/>
      <c r="X18" s="29" t="s">
        <v>1710</v>
      </c>
      <c r="Y18" s="42" t="s">
        <v>2258</v>
      </c>
      <c r="Z18" s="53" t="s">
        <v>1778</v>
      </c>
      <c r="AA18" s="29" t="s">
        <v>1723</v>
      </c>
      <c r="AB18" s="29" t="s">
        <v>1778</v>
      </c>
      <c r="AC18" s="53" t="s">
        <v>1698</v>
      </c>
      <c r="AD18" s="37" t="s">
        <v>2559</v>
      </c>
      <c r="AE18" s="36" t="s">
        <v>1778</v>
      </c>
      <c r="AF18" s="37"/>
      <c r="AG18" s="36" t="s">
        <v>1778</v>
      </c>
      <c r="AH18" s="37"/>
      <c r="AI18" s="39" t="s">
        <v>1771</v>
      </c>
      <c r="AJ18" s="37" t="s">
        <v>1777</v>
      </c>
      <c r="AK18" s="96"/>
      <c r="AL18" s="36" t="s">
        <v>1670</v>
      </c>
      <c r="AM18" s="37"/>
      <c r="AN18" s="39" t="s">
        <v>1778</v>
      </c>
      <c r="AO18" s="37"/>
      <c r="AP18" s="36" t="s">
        <v>1778</v>
      </c>
      <c r="AQ18" s="37"/>
      <c r="AR18" s="39" t="s">
        <v>1765</v>
      </c>
      <c r="AS18" s="29" t="s">
        <v>1693</v>
      </c>
      <c r="AT18" s="37" t="s">
        <v>1780</v>
      </c>
      <c r="AU18" s="36" t="s">
        <v>1766</v>
      </c>
      <c r="AV18" s="29" t="s">
        <v>1677</v>
      </c>
      <c r="AW18" s="37" t="s">
        <v>1781</v>
      </c>
      <c r="AX18" s="39" t="s">
        <v>2973</v>
      </c>
      <c r="AY18" s="205" t="s">
        <v>2865</v>
      </c>
      <c r="AZ18" s="53" t="s">
        <v>2867</v>
      </c>
      <c r="BA18" s="88" t="s">
        <v>2866</v>
      </c>
      <c r="BB18" s="224" t="s">
        <v>2851</v>
      </c>
      <c r="BC18" s="37"/>
      <c r="BE18" s="70" t="s">
        <v>1779</v>
      </c>
    </row>
    <row r="19" spans="1:59" ht="140.25" x14ac:dyDescent="0.25">
      <c r="A19" s="148">
        <v>4</v>
      </c>
      <c r="B19" s="51">
        <f>ROW('Initial Search'!86:86)</f>
        <v>86</v>
      </c>
      <c r="C19" s="46" t="str">
        <f>'Initial Search'!D86</f>
        <v>Continuous Analysis of Collaborative Design</v>
      </c>
      <c r="D19" s="49">
        <f>'Initial Search'!C86</f>
        <v>2017</v>
      </c>
      <c r="E19" s="49" t="str">
        <f>'Initial Search'!O86</f>
        <v>FLAME</v>
      </c>
      <c r="F19" s="40" t="str">
        <f>'Initial Search'!M86</f>
        <v>Accepted</v>
      </c>
      <c r="G19" s="44" t="str">
        <f>'Initial Search'!N86</f>
        <v>Approved</v>
      </c>
      <c r="H19" s="39" t="s">
        <v>1623</v>
      </c>
      <c r="I19" s="29"/>
      <c r="J19" s="29"/>
      <c r="K19" s="29"/>
      <c r="L19" s="53" t="s">
        <v>1782</v>
      </c>
      <c r="M19" s="37" t="s">
        <v>2533</v>
      </c>
      <c r="N19" s="36"/>
      <c r="O19" s="29" t="s">
        <v>1623</v>
      </c>
      <c r="P19" s="29"/>
      <c r="Q19" s="29"/>
      <c r="R19" s="29"/>
      <c r="S19" s="29"/>
      <c r="T19" s="37" t="s">
        <v>1784</v>
      </c>
      <c r="U19" s="39" t="s">
        <v>1772</v>
      </c>
      <c r="V19" s="39"/>
      <c r="W19" s="39"/>
      <c r="X19" s="29" t="s">
        <v>1710</v>
      </c>
      <c r="Y19" s="42" t="s">
        <v>2258</v>
      </c>
      <c r="Z19" s="53" t="s">
        <v>1685</v>
      </c>
      <c r="AA19" s="29" t="s">
        <v>1723</v>
      </c>
      <c r="AB19" s="29" t="s">
        <v>1785</v>
      </c>
      <c r="AC19" s="53" t="s">
        <v>2683</v>
      </c>
      <c r="AD19" s="37" t="s">
        <v>2560</v>
      </c>
      <c r="AE19" s="36" t="s">
        <v>3763</v>
      </c>
      <c r="AF19" s="37" t="s">
        <v>3760</v>
      </c>
      <c r="AG19" s="36" t="s">
        <v>1778</v>
      </c>
      <c r="AH19" s="37"/>
      <c r="AI19" s="39" t="s">
        <v>1771</v>
      </c>
      <c r="AJ19" s="37"/>
      <c r="AK19" s="96" t="s">
        <v>2197</v>
      </c>
      <c r="AL19" s="36" t="s">
        <v>1670</v>
      </c>
      <c r="AM19" s="37"/>
      <c r="AN19" s="39" t="s">
        <v>1778</v>
      </c>
      <c r="AO19" s="37"/>
      <c r="AP19" s="36" t="s">
        <v>1801</v>
      </c>
      <c r="AQ19" s="37" t="s">
        <v>2587</v>
      </c>
      <c r="AR19" s="39" t="s">
        <v>1718</v>
      </c>
      <c r="AS19" s="29" t="s">
        <v>1693</v>
      </c>
      <c r="AT19" s="37"/>
      <c r="AU19" s="36" t="s">
        <v>1766</v>
      </c>
      <c r="AV19" s="29" t="s">
        <v>1677</v>
      </c>
      <c r="AW19" s="37" t="s">
        <v>1680</v>
      </c>
      <c r="AX19" s="39" t="s">
        <v>2974</v>
      </c>
      <c r="AY19" s="205" t="s">
        <v>2868</v>
      </c>
      <c r="AZ19" s="53" t="s">
        <v>2870</v>
      </c>
      <c r="BA19" s="88" t="s">
        <v>2869</v>
      </c>
      <c r="BB19" s="224" t="s">
        <v>2851</v>
      </c>
      <c r="BC19" s="37"/>
      <c r="BE19" s="70" t="s">
        <v>1783</v>
      </c>
    </row>
    <row r="20" spans="1:59" ht="51" hidden="1" x14ac:dyDescent="0.25">
      <c r="A20"/>
      <c r="B20" s="51">
        <f>ROW('Initial Search'!127:127)</f>
        <v>127</v>
      </c>
      <c r="C20" s="46" t="str">
        <f>'Initial Search'!D127</f>
        <v>CoDesign: a highly extensible collaborative software modeling framework</v>
      </c>
      <c r="D20" s="49">
        <f>'Initial Search'!C127</f>
        <v>2010</v>
      </c>
      <c r="E20" s="49" t="str">
        <f>'Initial Search'!O127</f>
        <v>CoDesign</v>
      </c>
      <c r="F20" s="40" t="str">
        <f>'Initial Search'!M127</f>
        <v>Rejected</v>
      </c>
      <c r="G20" s="44">
        <f>'Initial Search'!N127</f>
        <v>0</v>
      </c>
      <c r="H20" s="39" t="s">
        <v>1763</v>
      </c>
      <c r="I20" s="29"/>
      <c r="J20" s="29"/>
      <c r="K20" s="29"/>
      <c r="L20" s="53" t="s">
        <v>1782</v>
      </c>
      <c r="M20" s="37"/>
      <c r="N20" s="36"/>
      <c r="O20" s="29"/>
      <c r="P20" s="29"/>
      <c r="Q20" s="29"/>
      <c r="R20" s="29"/>
      <c r="S20" s="29"/>
      <c r="T20" s="37" t="s">
        <v>1788</v>
      </c>
      <c r="U20" s="39" t="s">
        <v>1778</v>
      </c>
      <c r="V20" s="39"/>
      <c r="W20" s="39"/>
      <c r="X20" s="29" t="s">
        <v>1710</v>
      </c>
      <c r="Y20" s="29"/>
      <c r="Z20" s="29" t="s">
        <v>1778</v>
      </c>
      <c r="AA20" s="29" t="s">
        <v>1778</v>
      </c>
      <c r="AB20" s="29" t="s">
        <v>1785</v>
      </c>
      <c r="AC20" s="29" t="s">
        <v>1778</v>
      </c>
      <c r="AD20" s="37" t="s">
        <v>1786</v>
      </c>
      <c r="AE20" s="36" t="s">
        <v>1778</v>
      </c>
      <c r="AF20" s="37"/>
      <c r="AG20" s="36" t="s">
        <v>1778</v>
      </c>
      <c r="AH20" s="37"/>
      <c r="AI20" s="39" t="s">
        <v>1789</v>
      </c>
      <c r="AJ20" s="37"/>
      <c r="AK20" s="83"/>
      <c r="AL20" s="36" t="s">
        <v>1778</v>
      </c>
      <c r="AM20" s="37"/>
      <c r="AN20" s="39"/>
      <c r="AO20" s="83"/>
      <c r="AP20" s="36" t="s">
        <v>1778</v>
      </c>
      <c r="AQ20" s="37"/>
      <c r="AR20" s="39" t="s">
        <v>1778</v>
      </c>
      <c r="AS20" s="29" t="s">
        <v>1778</v>
      </c>
      <c r="AT20" s="37"/>
      <c r="AU20" s="36" t="s">
        <v>1778</v>
      </c>
      <c r="AV20" s="29" t="s">
        <v>1778</v>
      </c>
      <c r="AW20" s="37"/>
      <c r="AX20" s="205"/>
      <c r="AY20" s="205"/>
      <c r="AZ20" s="204"/>
      <c r="BA20" s="88"/>
      <c r="BB20" s="88"/>
      <c r="BC20" s="37"/>
      <c r="BE20" s="70" t="s">
        <v>1787</v>
      </c>
    </row>
    <row r="21" spans="1:59" ht="89.25" x14ac:dyDescent="0.25">
      <c r="A21" s="147">
        <v>5</v>
      </c>
      <c r="B21" s="51">
        <f>ROW('Initial Search'!10:10)</f>
        <v>10</v>
      </c>
      <c r="C21" s="46" t="str">
        <f>'Initial Search'!D10</f>
        <v>Inconsistency Resolution in Merging Versions of Architectural Models</v>
      </c>
      <c r="D21" s="49">
        <f>'Initial Search'!C10</f>
        <v>2014</v>
      </c>
      <c r="E21" s="49" t="str">
        <f>'Initial Search'!O10</f>
        <v>Dam et al.</v>
      </c>
      <c r="F21" s="40" t="str">
        <f>'Initial Search'!M10</f>
        <v>Accepted</v>
      </c>
      <c r="G21" s="44" t="str">
        <f>'Initial Search'!N86</f>
        <v>Approved</v>
      </c>
      <c r="H21" s="39" t="s">
        <v>1623</v>
      </c>
      <c r="I21" s="29"/>
      <c r="J21" s="29"/>
      <c r="K21" s="29"/>
      <c r="L21" s="53" t="s">
        <v>1791</v>
      </c>
      <c r="M21" s="37" t="s">
        <v>2534</v>
      </c>
      <c r="N21" s="36"/>
      <c r="O21" s="29" t="s">
        <v>1623</v>
      </c>
      <c r="P21" s="29"/>
      <c r="Q21" s="29" t="s">
        <v>1623</v>
      </c>
      <c r="R21" s="29"/>
      <c r="S21" s="29"/>
      <c r="T21" s="37"/>
      <c r="U21" s="39" t="s">
        <v>1796</v>
      </c>
      <c r="V21" s="39"/>
      <c r="W21" s="39" t="s">
        <v>1623</v>
      </c>
      <c r="X21" s="29" t="s">
        <v>1915</v>
      </c>
      <c r="Y21" s="42" t="s">
        <v>2258</v>
      </c>
      <c r="Z21" s="29" t="s">
        <v>1686</v>
      </c>
      <c r="AA21" s="29" t="s">
        <v>1723</v>
      </c>
      <c r="AB21" s="29" t="s">
        <v>1712</v>
      </c>
      <c r="AC21" s="29" t="s">
        <v>1699</v>
      </c>
      <c r="AD21" s="37" t="s">
        <v>1795</v>
      </c>
      <c r="AE21" s="36" t="s">
        <v>3763</v>
      </c>
      <c r="AF21" s="37" t="s">
        <v>3761</v>
      </c>
      <c r="AG21" s="36" t="s">
        <v>1778</v>
      </c>
      <c r="AH21" s="37"/>
      <c r="AI21" s="39" t="s">
        <v>1798</v>
      </c>
      <c r="AJ21" s="37"/>
      <c r="AK21" s="96"/>
      <c r="AL21" s="36" t="s">
        <v>1792</v>
      </c>
      <c r="AM21" s="37" t="s">
        <v>1797</v>
      </c>
      <c r="AN21" s="36" t="s">
        <v>1778</v>
      </c>
      <c r="AO21" s="37"/>
      <c r="AP21" s="36" t="s">
        <v>1778</v>
      </c>
      <c r="AQ21" s="37"/>
      <c r="AR21" s="39" t="s">
        <v>1743</v>
      </c>
      <c r="AS21" s="29" t="s">
        <v>1693</v>
      </c>
      <c r="AT21" s="37" t="s">
        <v>1799</v>
      </c>
      <c r="AU21" s="36" t="s">
        <v>1800</v>
      </c>
      <c r="AV21" s="29" t="s">
        <v>1778</v>
      </c>
      <c r="AW21" s="37"/>
      <c r="AX21" s="39" t="s">
        <v>2851</v>
      </c>
      <c r="AY21" s="205"/>
      <c r="AZ21" s="53" t="s">
        <v>2851</v>
      </c>
      <c r="BA21" s="88"/>
      <c r="BB21" s="224" t="s">
        <v>3015</v>
      </c>
      <c r="BC21" s="37" t="s">
        <v>2877</v>
      </c>
      <c r="BE21" s="70" t="s">
        <v>1794</v>
      </c>
    </row>
    <row r="22" spans="1:59" ht="178.5" customHeight="1" x14ac:dyDescent="0.25">
      <c r="A22" s="147">
        <v>5</v>
      </c>
      <c r="B22" s="51">
        <f>ROW('Initial Search'!172:172)</f>
        <v>172</v>
      </c>
      <c r="C22" s="46" t="str">
        <f>'Initial Search'!D172</f>
        <v>Consistent merging of model versions</v>
      </c>
      <c r="D22" s="49">
        <f>'Initial Search'!C172</f>
        <v>2016</v>
      </c>
      <c r="E22" s="49" t="str">
        <f>'Initial Search'!O172</f>
        <v>Dam et al.</v>
      </c>
      <c r="F22" s="40" t="str">
        <f>'Initial Search'!M172</f>
        <v>Accepted</v>
      </c>
      <c r="G22" s="44" t="str">
        <f>'Initial Search'!N19</f>
        <v>Approved</v>
      </c>
      <c r="H22" s="39" t="s">
        <v>1623</v>
      </c>
      <c r="I22" s="29"/>
      <c r="J22" s="29"/>
      <c r="K22" s="29"/>
      <c r="L22" s="53"/>
      <c r="M22" s="37" t="s">
        <v>2532</v>
      </c>
      <c r="N22" s="36"/>
      <c r="O22" s="29" t="s">
        <v>1623</v>
      </c>
      <c r="P22" s="29"/>
      <c r="Q22" s="29" t="s">
        <v>1623</v>
      </c>
      <c r="R22" s="29"/>
      <c r="S22" s="29"/>
      <c r="T22" s="37" t="s">
        <v>1803</v>
      </c>
      <c r="U22" s="39" t="s">
        <v>1778</v>
      </c>
      <c r="V22" s="39" t="s">
        <v>1623</v>
      </c>
      <c r="W22" s="39" t="s">
        <v>1623</v>
      </c>
      <c r="X22" s="29" t="s">
        <v>1915</v>
      </c>
      <c r="Y22" s="42" t="s">
        <v>2258</v>
      </c>
      <c r="Z22" s="29" t="s">
        <v>1686</v>
      </c>
      <c r="AA22" s="53" t="s">
        <v>1959</v>
      </c>
      <c r="AB22" s="29" t="s">
        <v>1712</v>
      </c>
      <c r="AC22" s="53" t="s">
        <v>2562</v>
      </c>
      <c r="AD22" s="37" t="s">
        <v>2561</v>
      </c>
      <c r="AE22" s="36" t="s">
        <v>3763</v>
      </c>
      <c r="AF22" s="37" t="s">
        <v>3764</v>
      </c>
      <c r="AG22" s="36" t="s">
        <v>1778</v>
      </c>
      <c r="AH22" s="37"/>
      <c r="AI22" s="39" t="s">
        <v>1798</v>
      </c>
      <c r="AJ22" s="37" t="s">
        <v>2598</v>
      </c>
      <c r="AK22" s="96"/>
      <c r="AL22" s="39" t="s">
        <v>1792</v>
      </c>
      <c r="AM22" s="37" t="s">
        <v>2572</v>
      </c>
      <c r="AN22" s="41" t="s">
        <v>1778</v>
      </c>
      <c r="AO22" s="37"/>
      <c r="AP22" s="36" t="s">
        <v>1801</v>
      </c>
      <c r="AQ22" s="37"/>
      <c r="AR22" s="39" t="s">
        <v>1718</v>
      </c>
      <c r="AS22" s="29" t="s">
        <v>1693</v>
      </c>
      <c r="AT22" s="37" t="s">
        <v>1799</v>
      </c>
      <c r="AU22" s="36" t="s">
        <v>1800</v>
      </c>
      <c r="AV22" s="29" t="s">
        <v>1682</v>
      </c>
      <c r="AW22" s="37"/>
      <c r="AX22" s="39" t="s">
        <v>2851</v>
      </c>
      <c r="AY22" s="205"/>
      <c r="AZ22" s="53" t="s">
        <v>2851</v>
      </c>
      <c r="BA22" s="88"/>
      <c r="BB22" s="224" t="s">
        <v>3225</v>
      </c>
      <c r="BC22" s="37" t="s">
        <v>2878</v>
      </c>
      <c r="BE22" s="70" t="s">
        <v>1802</v>
      </c>
    </row>
    <row r="23" spans="1:59" ht="63.75" x14ac:dyDescent="0.25">
      <c r="A23" s="147">
        <v>6</v>
      </c>
      <c r="B23" s="51">
        <f>ROW('Initial Search'!11:11)</f>
        <v>11</v>
      </c>
      <c r="C23" s="46" t="str">
        <f>'Initial Search'!D11</f>
        <v>Handling Concurrent Changes in Collaborative Process Model Development: A Change-Pattern Based Approach</v>
      </c>
      <c r="D23" s="49">
        <f>'Initial Search'!C11</f>
        <v>2013</v>
      </c>
      <c r="E23" s="49" t="str">
        <f>'Initial Search'!O11</f>
        <v>xoWiki</v>
      </c>
      <c r="F23" s="40" t="str">
        <f>'Initial Search'!M11</f>
        <v>Accepted</v>
      </c>
      <c r="G23" s="44" t="str">
        <f>'Initial Search'!N20</f>
        <v>Approved</v>
      </c>
      <c r="H23" s="39"/>
      <c r="I23" s="29"/>
      <c r="J23" s="29"/>
      <c r="K23" s="29" t="s">
        <v>1623</v>
      </c>
      <c r="L23" s="53"/>
      <c r="M23" s="37" t="s">
        <v>2198</v>
      </c>
      <c r="N23" s="36"/>
      <c r="O23" s="29" t="s">
        <v>1623</v>
      </c>
      <c r="P23" s="29"/>
      <c r="Q23" s="29" t="s">
        <v>1623</v>
      </c>
      <c r="R23" s="29"/>
      <c r="S23" s="29"/>
      <c r="T23" s="37"/>
      <c r="U23" s="39" t="s">
        <v>1805</v>
      </c>
      <c r="V23" s="39"/>
      <c r="W23" s="39"/>
      <c r="X23" s="29" t="s">
        <v>1915</v>
      </c>
      <c r="Y23" s="29" t="s">
        <v>2258</v>
      </c>
      <c r="Z23" s="29" t="s">
        <v>1686</v>
      </c>
      <c r="AA23" s="29" t="s">
        <v>1723</v>
      </c>
      <c r="AB23" s="29" t="s">
        <v>1785</v>
      </c>
      <c r="AC23" s="29" t="s">
        <v>1698</v>
      </c>
      <c r="AD23" s="37" t="s">
        <v>1804</v>
      </c>
      <c r="AE23" s="36" t="s">
        <v>3763</v>
      </c>
      <c r="AF23" s="37" t="s">
        <v>3766</v>
      </c>
      <c r="AG23" s="36" t="s">
        <v>1778</v>
      </c>
      <c r="AH23" s="37"/>
      <c r="AI23" s="36" t="s">
        <v>1806</v>
      </c>
      <c r="AJ23" s="37" t="s">
        <v>3220</v>
      </c>
      <c r="AK23" s="96" t="s">
        <v>2197</v>
      </c>
      <c r="AL23" s="36" t="s">
        <v>1792</v>
      </c>
      <c r="AM23" s="37" t="s">
        <v>3223</v>
      </c>
      <c r="AN23" s="36" t="s">
        <v>1778</v>
      </c>
      <c r="AO23" s="37"/>
      <c r="AP23" s="36" t="s">
        <v>1801</v>
      </c>
      <c r="AQ23" s="37" t="s">
        <v>3222</v>
      </c>
      <c r="AR23" s="39" t="s">
        <v>1743</v>
      </c>
      <c r="AS23" s="29" t="s">
        <v>1693</v>
      </c>
      <c r="AT23" s="37" t="s">
        <v>1807</v>
      </c>
      <c r="AU23" s="36" t="s">
        <v>1766</v>
      </c>
      <c r="AV23" s="29"/>
      <c r="AW23" s="37"/>
      <c r="AX23" s="39" t="s">
        <v>3226</v>
      </c>
      <c r="AY23" s="205" t="s">
        <v>3221</v>
      </c>
      <c r="AZ23" s="53" t="s">
        <v>2851</v>
      </c>
      <c r="BA23" s="88"/>
      <c r="BB23" s="224" t="s">
        <v>3253</v>
      </c>
      <c r="BC23" s="37" t="s">
        <v>3224</v>
      </c>
      <c r="BE23" s="69"/>
    </row>
    <row r="24" spans="1:59" ht="51" hidden="1" x14ac:dyDescent="0.25">
      <c r="A24"/>
      <c r="B24" s="51">
        <f>ROW('Initial Search'!12:12)</f>
        <v>12</v>
      </c>
      <c r="C24" s="46" t="str">
        <f>'Initial Search'!D12</f>
        <v>Evaluating the efficiency of using a search-based automated model merge technique</v>
      </c>
      <c r="D24" s="49">
        <f>'Initial Search'!C12</f>
        <v>2018</v>
      </c>
      <c r="E24" s="49" t="str">
        <f>'Initial Search'!O12</f>
        <v>MONDO</v>
      </c>
      <c r="F24" s="40" t="str">
        <f>'Initial Search'!M12</f>
        <v>Rejected</v>
      </c>
      <c r="G24" s="44">
        <f>'Initial Search'!N21</f>
        <v>0</v>
      </c>
      <c r="H24" s="39" t="s">
        <v>1623</v>
      </c>
      <c r="I24" s="29"/>
      <c r="J24" s="29"/>
      <c r="K24" s="29"/>
      <c r="L24" s="53"/>
      <c r="M24" s="37"/>
      <c r="N24" s="36"/>
      <c r="O24" s="29"/>
      <c r="P24" s="29"/>
      <c r="Q24" s="29"/>
      <c r="R24" s="29"/>
      <c r="S24" s="29"/>
      <c r="T24" s="37"/>
      <c r="U24" s="39" t="s">
        <v>1815</v>
      </c>
      <c r="V24" s="39"/>
      <c r="W24" s="39"/>
      <c r="X24" s="29"/>
      <c r="Y24" s="29"/>
      <c r="Z24" s="29"/>
      <c r="AA24" s="29" t="s">
        <v>1778</v>
      </c>
      <c r="AB24" s="29" t="s">
        <v>1778</v>
      </c>
      <c r="AC24" s="29" t="s">
        <v>1778</v>
      </c>
      <c r="AD24" s="37" t="s">
        <v>1808</v>
      </c>
      <c r="AE24" s="36"/>
      <c r="AF24" s="37"/>
      <c r="AG24" s="36" t="s">
        <v>1778</v>
      </c>
      <c r="AH24" s="37"/>
      <c r="AI24" s="39" t="s">
        <v>1810</v>
      </c>
      <c r="AJ24" s="37" t="s">
        <v>1809</v>
      </c>
      <c r="AK24" s="83"/>
      <c r="AL24" s="36" t="s">
        <v>1792</v>
      </c>
      <c r="AM24" s="37" t="s">
        <v>1811</v>
      </c>
      <c r="AN24" s="39"/>
      <c r="AO24" s="83"/>
      <c r="AP24" s="36" t="s">
        <v>1778</v>
      </c>
      <c r="AQ24" s="37"/>
      <c r="AR24" s="39" t="s">
        <v>1778</v>
      </c>
      <c r="AS24" s="29"/>
      <c r="AT24" s="37"/>
      <c r="AU24" s="36" t="s">
        <v>1778</v>
      </c>
      <c r="AV24" s="29"/>
      <c r="AW24" s="37"/>
      <c r="AX24" s="205"/>
      <c r="AY24" s="205"/>
      <c r="AZ24" s="204"/>
      <c r="BA24" s="88"/>
      <c r="BB24" s="88"/>
      <c r="BC24" s="37"/>
      <c r="BE24" s="70" t="s">
        <v>1812</v>
      </c>
    </row>
    <row r="25" spans="1:59" ht="51" hidden="1" x14ac:dyDescent="0.25">
      <c r="A25"/>
      <c r="B25" s="51">
        <f>ROW('Initial Search'!91:91)</f>
        <v>91</v>
      </c>
      <c r="C25" s="46" t="str">
        <f>'Initial Search'!D91</f>
        <v>Secure Views for Collaborative Modeling</v>
      </c>
      <c r="D25" s="49">
        <f>'Initial Search'!C91</f>
        <v>2018</v>
      </c>
      <c r="E25" s="49" t="str">
        <f>'Initial Search'!O91</f>
        <v>MONDO</v>
      </c>
      <c r="F25" s="40" t="str">
        <f>'Initial Search'!M91</f>
        <v>Rejected</v>
      </c>
      <c r="G25" s="44">
        <f>'Initial Search'!N22</f>
        <v>0</v>
      </c>
      <c r="H25" s="39" t="s">
        <v>1623</v>
      </c>
      <c r="I25" s="29"/>
      <c r="J25" s="29"/>
      <c r="K25" s="29"/>
      <c r="L25" s="53"/>
      <c r="M25" s="37"/>
      <c r="N25" s="36"/>
      <c r="O25" s="29"/>
      <c r="P25" s="29"/>
      <c r="Q25" s="29"/>
      <c r="R25" s="29"/>
      <c r="S25" s="29"/>
      <c r="T25" s="37"/>
      <c r="U25" s="39" t="s">
        <v>1816</v>
      </c>
      <c r="V25" s="39"/>
      <c r="W25" s="39"/>
      <c r="X25" s="29"/>
      <c r="Y25" s="29"/>
      <c r="Z25" s="29"/>
      <c r="AA25" s="29" t="s">
        <v>1778</v>
      </c>
      <c r="AB25" s="29" t="s">
        <v>1778</v>
      </c>
      <c r="AC25" s="29" t="s">
        <v>1778</v>
      </c>
      <c r="AD25" s="37" t="s">
        <v>1813</v>
      </c>
      <c r="AE25" s="36"/>
      <c r="AF25" s="37"/>
      <c r="AG25" s="39" t="s">
        <v>1814</v>
      </c>
      <c r="AH25" s="37" t="s">
        <v>1821</v>
      </c>
      <c r="AI25" s="36" t="s">
        <v>1778</v>
      </c>
      <c r="AJ25" s="37"/>
      <c r="AK25" s="83"/>
      <c r="AL25" s="36" t="s">
        <v>1778</v>
      </c>
      <c r="AM25" s="37"/>
      <c r="AN25" s="39"/>
      <c r="AO25" s="83"/>
      <c r="AP25" s="36" t="s">
        <v>1778</v>
      </c>
      <c r="AQ25" s="37"/>
      <c r="AR25" s="39" t="s">
        <v>1778</v>
      </c>
      <c r="AS25" s="29"/>
      <c r="AT25" s="37"/>
      <c r="AU25" s="36" t="s">
        <v>1778</v>
      </c>
      <c r="AV25" s="29"/>
      <c r="AW25" s="37"/>
      <c r="AX25" s="205"/>
      <c r="AY25" s="205"/>
      <c r="AZ25" s="204"/>
      <c r="BA25" s="88"/>
      <c r="BB25" s="88"/>
      <c r="BC25" s="37"/>
      <c r="BE25" s="69"/>
    </row>
    <row r="26" spans="1:59" ht="165.75" x14ac:dyDescent="0.25">
      <c r="A26" s="148">
        <v>7</v>
      </c>
      <c r="B26" s="51">
        <f>ROW('Initial Search'!104:104)</f>
        <v>104</v>
      </c>
      <c r="C26" s="46" t="str">
        <f>'Initial Search'!D104</f>
        <v>Property-based locking in collaborative modeling</v>
      </c>
      <c r="D26" s="49">
        <f>'Initial Search'!C104</f>
        <v>2017</v>
      </c>
      <c r="E26" s="49" t="str">
        <f>'Initial Search'!O104</f>
        <v>MONDO</v>
      </c>
      <c r="F26" s="40" t="str">
        <f>'Initial Search'!M104</f>
        <v>Accepted</v>
      </c>
      <c r="G26" s="44" t="str">
        <f>'Initial Search'!N104</f>
        <v>Approved</v>
      </c>
      <c r="H26" s="39" t="s">
        <v>1623</v>
      </c>
      <c r="I26" s="29"/>
      <c r="J26" s="29"/>
      <c r="K26" s="29"/>
      <c r="L26" s="53"/>
      <c r="M26" s="37"/>
      <c r="N26" s="36"/>
      <c r="O26" s="29" t="s">
        <v>1623</v>
      </c>
      <c r="P26" s="29" t="s">
        <v>1623</v>
      </c>
      <c r="Q26" s="29" t="s">
        <v>1623</v>
      </c>
      <c r="R26" s="29"/>
      <c r="S26" s="29"/>
      <c r="T26" s="37" t="s">
        <v>1823</v>
      </c>
      <c r="U26" s="39" t="s">
        <v>1819</v>
      </c>
      <c r="V26" s="53"/>
      <c r="W26" s="39" t="s">
        <v>1623</v>
      </c>
      <c r="X26" s="36" t="s">
        <v>1915</v>
      </c>
      <c r="Y26" s="30" t="s">
        <v>2257</v>
      </c>
      <c r="Z26" s="29" t="s">
        <v>1686</v>
      </c>
      <c r="AA26" s="29" t="s">
        <v>1723</v>
      </c>
      <c r="AB26" s="29" t="s">
        <v>1778</v>
      </c>
      <c r="AC26" s="53" t="s">
        <v>1778</v>
      </c>
      <c r="AD26" s="37" t="s">
        <v>1824</v>
      </c>
      <c r="AE26" s="36" t="s">
        <v>3763</v>
      </c>
      <c r="AF26" s="37" t="s">
        <v>3767</v>
      </c>
      <c r="AG26" s="39" t="s">
        <v>1778</v>
      </c>
      <c r="AH26" s="37"/>
      <c r="AI26" s="36" t="s">
        <v>1778</v>
      </c>
      <c r="AJ26" s="37"/>
      <c r="AK26" s="96"/>
      <c r="AL26" s="36" t="s">
        <v>1778</v>
      </c>
      <c r="AM26" s="37"/>
      <c r="AN26" s="39" t="s">
        <v>1778</v>
      </c>
      <c r="AO26" s="37"/>
      <c r="AP26" s="36" t="s">
        <v>1778</v>
      </c>
      <c r="AQ26" s="37"/>
      <c r="AR26" s="39" t="s">
        <v>1743</v>
      </c>
      <c r="AS26" s="29" t="s">
        <v>1693</v>
      </c>
      <c r="AT26" s="37" t="s">
        <v>1825</v>
      </c>
      <c r="AU26" s="36" t="s">
        <v>1766</v>
      </c>
      <c r="AV26" s="29" t="s">
        <v>1677</v>
      </c>
      <c r="AW26" s="37"/>
      <c r="AX26" s="39" t="s">
        <v>2976</v>
      </c>
      <c r="AY26" s="205" t="s">
        <v>2880</v>
      </c>
      <c r="AZ26" s="53" t="s">
        <v>2851</v>
      </c>
      <c r="BA26" s="88"/>
      <c r="BB26" s="224" t="s">
        <v>3017</v>
      </c>
      <c r="BC26" s="37" t="s">
        <v>2881</v>
      </c>
      <c r="BE26" s="69"/>
    </row>
    <row r="27" spans="1:59" ht="38.25" hidden="1" x14ac:dyDescent="0.25">
      <c r="A27"/>
      <c r="B27" s="51">
        <f>ROW('Initial Search'!146:146)</f>
        <v>146</v>
      </c>
      <c r="C27" s="46" t="str">
        <f>'Initial Search'!D146</f>
        <v>The MONDO collaboration framework: secure collaborative modeling over existing version control systems</v>
      </c>
      <c r="D27" s="49">
        <f>'Initial Search'!C146</f>
        <v>2017</v>
      </c>
      <c r="E27" s="49" t="str">
        <f>'Initial Search'!O146</f>
        <v>MONDO</v>
      </c>
      <c r="F27" s="40" t="str">
        <f>'Initial Search'!M146</f>
        <v>Rejected</v>
      </c>
      <c r="G27" s="44">
        <f>'Initial Search'!N24</f>
        <v>0</v>
      </c>
      <c r="H27" s="39" t="s">
        <v>1623</v>
      </c>
      <c r="I27" s="29"/>
      <c r="J27" s="29"/>
      <c r="K27" s="29"/>
      <c r="L27" s="53"/>
      <c r="M27" s="37"/>
      <c r="N27" s="36"/>
      <c r="O27" s="29"/>
      <c r="P27" s="29"/>
      <c r="Q27" s="29"/>
      <c r="R27" s="29"/>
      <c r="S27" s="29"/>
      <c r="T27" s="37" t="s">
        <v>1833</v>
      </c>
      <c r="U27" s="39" t="s">
        <v>1827</v>
      </c>
      <c r="V27" s="39"/>
      <c r="W27" s="39"/>
      <c r="X27" s="29" t="s">
        <v>1915</v>
      </c>
      <c r="Y27" s="29"/>
      <c r="Z27" s="29" t="s">
        <v>1687</v>
      </c>
      <c r="AA27" s="29" t="s">
        <v>1723</v>
      </c>
      <c r="AB27" s="29" t="s">
        <v>1778</v>
      </c>
      <c r="AC27" s="53" t="s">
        <v>1828</v>
      </c>
      <c r="AD27" s="37" t="s">
        <v>1826</v>
      </c>
      <c r="AE27" s="36"/>
      <c r="AF27" s="37"/>
      <c r="AG27" s="36" t="s">
        <v>1832</v>
      </c>
      <c r="AH27" s="37"/>
      <c r="AI27" s="39" t="s">
        <v>1831</v>
      </c>
      <c r="AJ27" s="37" t="s">
        <v>1829</v>
      </c>
      <c r="AK27" s="83"/>
      <c r="AL27" s="36" t="s">
        <v>1792</v>
      </c>
      <c r="AM27" s="37" t="s">
        <v>1830</v>
      </c>
      <c r="AN27" s="36"/>
      <c r="AO27" s="83"/>
      <c r="AP27" s="36" t="s">
        <v>1778</v>
      </c>
      <c r="AQ27" s="37"/>
      <c r="AR27" s="39" t="s">
        <v>1743</v>
      </c>
      <c r="AS27" s="29" t="s">
        <v>1693</v>
      </c>
      <c r="AT27" s="37" t="s">
        <v>1825</v>
      </c>
      <c r="AU27" s="36" t="s">
        <v>1766</v>
      </c>
      <c r="AV27" s="29" t="s">
        <v>1677</v>
      </c>
      <c r="AW27" s="37"/>
      <c r="AX27" s="205"/>
      <c r="AY27" s="205"/>
      <c r="AZ27" s="204"/>
      <c r="BA27" s="88"/>
      <c r="BB27" s="88"/>
      <c r="BC27" s="37"/>
      <c r="BE27" s="69"/>
    </row>
    <row r="28" spans="1:59" ht="114.75" hidden="1" x14ac:dyDescent="0.25">
      <c r="A28"/>
      <c r="B28" s="51">
        <f>ROW('Initial Search'!227:227)</f>
        <v>227</v>
      </c>
      <c r="C28" s="46" t="str">
        <f>'Initial Search'!D228</f>
        <v>Scalable modeling technologies in the wild: an experience report on wind turbines control applications development</v>
      </c>
      <c r="D28" s="49">
        <f>'Initial Search'!C228</f>
        <v>2020</v>
      </c>
      <c r="E28" s="49" t="str">
        <f>'Initial Search'!O228</f>
        <v>MONDO</v>
      </c>
      <c r="F28" s="40" t="str">
        <f>'Initial Search'!M228</f>
        <v>Rejected</v>
      </c>
      <c r="G28" s="44">
        <f>'Initial Search'!N25</f>
        <v>0</v>
      </c>
      <c r="H28" s="39" t="s">
        <v>1623</v>
      </c>
      <c r="I28" s="29"/>
      <c r="J28" s="29"/>
      <c r="K28" s="29"/>
      <c r="L28" s="53"/>
      <c r="M28" s="37" t="s">
        <v>1837</v>
      </c>
      <c r="N28" s="36"/>
      <c r="O28" s="29"/>
      <c r="P28" s="29"/>
      <c r="Q28" s="29"/>
      <c r="R28" s="29"/>
      <c r="S28" s="29"/>
      <c r="T28" s="37" t="s">
        <v>1840</v>
      </c>
      <c r="U28" s="39" t="s">
        <v>1841</v>
      </c>
      <c r="V28" s="39"/>
      <c r="W28" s="39"/>
      <c r="X28" s="29" t="s">
        <v>1915</v>
      </c>
      <c r="Y28" s="29"/>
      <c r="Z28" s="29" t="s">
        <v>1687</v>
      </c>
      <c r="AA28" s="29" t="s">
        <v>1723</v>
      </c>
      <c r="AB28" s="29" t="s">
        <v>1778</v>
      </c>
      <c r="AC28" s="29" t="s">
        <v>1699</v>
      </c>
      <c r="AD28" s="37" t="s">
        <v>1835</v>
      </c>
      <c r="AE28" s="36"/>
      <c r="AF28" s="37"/>
      <c r="AG28" s="39" t="s">
        <v>1834</v>
      </c>
      <c r="AH28" s="37"/>
      <c r="AI28" s="39" t="s">
        <v>1831</v>
      </c>
      <c r="AJ28" s="37" t="s">
        <v>1838</v>
      </c>
      <c r="AK28" s="83"/>
      <c r="AL28" s="36" t="s">
        <v>1792</v>
      </c>
      <c r="AM28" s="37" t="s">
        <v>1839</v>
      </c>
      <c r="AN28" s="41"/>
      <c r="AO28" s="37"/>
      <c r="AP28" s="36" t="s">
        <v>1778</v>
      </c>
      <c r="AQ28" s="37"/>
      <c r="AR28" s="39" t="s">
        <v>1765</v>
      </c>
      <c r="AS28" s="53" t="s">
        <v>1848</v>
      </c>
      <c r="AT28" s="37" t="s">
        <v>1836</v>
      </c>
      <c r="AU28" s="36" t="s">
        <v>1766</v>
      </c>
      <c r="AV28" s="29" t="s">
        <v>1677</v>
      </c>
      <c r="AW28" s="37"/>
      <c r="AX28" s="205"/>
      <c r="AY28" s="205"/>
      <c r="AZ28" s="204"/>
      <c r="BA28" s="88"/>
      <c r="BB28" s="88"/>
      <c r="BC28" s="37"/>
      <c r="BE28" s="69"/>
    </row>
    <row r="29" spans="1:59" ht="153" x14ac:dyDescent="0.25">
      <c r="A29" s="148">
        <v>7</v>
      </c>
      <c r="B29" s="51">
        <f>ROW('Initial Search'!235:235)</f>
        <v>235</v>
      </c>
      <c r="C29" s="46" t="str">
        <f>'Initial Search'!D235</f>
        <v>Automated Model Merge by Design Space Exploration</v>
      </c>
      <c r="D29" s="49">
        <f>'Initial Search'!C235</f>
        <v>2016</v>
      </c>
      <c r="E29" s="49" t="str">
        <f>'Initial Search'!O235</f>
        <v>MONDO</v>
      </c>
      <c r="F29" s="40" t="str">
        <f>'Initial Search'!M235</f>
        <v>Accepted</v>
      </c>
      <c r="G29" s="44" t="str">
        <f>'Initial Search'!N235</f>
        <v>Approved</v>
      </c>
      <c r="H29" s="39" t="s">
        <v>1623</v>
      </c>
      <c r="I29" s="29"/>
      <c r="J29" s="29"/>
      <c r="K29" s="29"/>
      <c r="L29" s="53"/>
      <c r="M29" s="37" t="s">
        <v>1846</v>
      </c>
      <c r="N29" s="36"/>
      <c r="O29" s="29" t="s">
        <v>1623</v>
      </c>
      <c r="P29" s="29" t="s">
        <v>1623</v>
      </c>
      <c r="Q29" s="29"/>
      <c r="R29" s="29"/>
      <c r="S29" s="29"/>
      <c r="T29" s="37" t="s">
        <v>1845</v>
      </c>
      <c r="U29" s="39" t="s">
        <v>1842</v>
      </c>
      <c r="V29" s="39"/>
      <c r="W29" s="39" t="s">
        <v>1623</v>
      </c>
      <c r="X29" s="29" t="s">
        <v>1915</v>
      </c>
      <c r="Y29" s="42" t="s">
        <v>2258</v>
      </c>
      <c r="Z29" s="29" t="s">
        <v>1687</v>
      </c>
      <c r="AA29" s="53" t="s">
        <v>1959</v>
      </c>
      <c r="AB29" s="53" t="s">
        <v>1843</v>
      </c>
      <c r="AC29" s="29" t="s">
        <v>1699</v>
      </c>
      <c r="AD29" s="37" t="s">
        <v>2552</v>
      </c>
      <c r="AE29" s="36" t="s">
        <v>3763</v>
      </c>
      <c r="AF29" s="37" t="s">
        <v>3765</v>
      </c>
      <c r="AG29" s="36" t="s">
        <v>1822</v>
      </c>
      <c r="AH29" s="37" t="s">
        <v>1820</v>
      </c>
      <c r="AI29" s="39" t="s">
        <v>2588</v>
      </c>
      <c r="AJ29" s="37" t="s">
        <v>1844</v>
      </c>
      <c r="AK29" s="96" t="s">
        <v>2197</v>
      </c>
      <c r="AL29" s="39" t="s">
        <v>2260</v>
      </c>
      <c r="AM29" s="37" t="s">
        <v>3787</v>
      </c>
      <c r="AN29" s="36" t="s">
        <v>1778</v>
      </c>
      <c r="AO29" s="37"/>
      <c r="AP29" s="36" t="s">
        <v>1778</v>
      </c>
      <c r="AQ29" s="37"/>
      <c r="AR29" s="39" t="s">
        <v>1765</v>
      </c>
      <c r="AS29" s="29" t="s">
        <v>1693</v>
      </c>
      <c r="AT29" s="37" t="s">
        <v>1836</v>
      </c>
      <c r="AU29" s="36" t="s">
        <v>1766</v>
      </c>
      <c r="AV29" s="29"/>
      <c r="AW29" s="37"/>
      <c r="AX29" s="39" t="s">
        <v>2851</v>
      </c>
      <c r="AY29" s="205"/>
      <c r="AZ29" s="53" t="s">
        <v>2851</v>
      </c>
      <c r="BA29" s="88"/>
      <c r="BB29" s="224" t="s">
        <v>3019</v>
      </c>
      <c r="BC29" s="37" t="s">
        <v>2879</v>
      </c>
      <c r="BE29" s="70" t="s">
        <v>1847</v>
      </c>
    </row>
    <row r="30" spans="1:59" ht="102" hidden="1" x14ac:dyDescent="0.25">
      <c r="A30"/>
      <c r="B30" s="51">
        <f>ROW('Initial Search'!243:243)</f>
        <v>243</v>
      </c>
      <c r="C30" s="46" t="str">
        <f>'Initial Search'!D244</f>
        <v>Enforcing fine-grained access control for secure collaborative modelling using bidirectional transformations</v>
      </c>
      <c r="D30" s="49">
        <f>'Initial Search'!C244</f>
        <v>2017</v>
      </c>
      <c r="E30" s="49" t="str">
        <f>'Initial Search'!O244</f>
        <v>MONDO</v>
      </c>
      <c r="F30" s="40" t="str">
        <f>'Initial Search'!M244</f>
        <v>Rejected</v>
      </c>
      <c r="G30" s="44">
        <f>'Initial Search'!N27</f>
        <v>0</v>
      </c>
      <c r="H30" s="39" t="s">
        <v>1623</v>
      </c>
      <c r="I30" s="29"/>
      <c r="J30" s="29"/>
      <c r="K30" s="29"/>
      <c r="L30" s="53"/>
      <c r="M30" s="37" t="s">
        <v>1849</v>
      </c>
      <c r="N30" s="36"/>
      <c r="O30" s="29"/>
      <c r="P30" s="29"/>
      <c r="Q30" s="29"/>
      <c r="R30" s="29"/>
      <c r="S30" s="29"/>
      <c r="T30" s="37" t="s">
        <v>1853</v>
      </c>
      <c r="U30" s="39" t="s">
        <v>1852</v>
      </c>
      <c r="V30" s="39"/>
      <c r="W30" s="39"/>
      <c r="X30" s="29" t="s">
        <v>1915</v>
      </c>
      <c r="Y30" s="29"/>
      <c r="Z30" s="29" t="s">
        <v>1687</v>
      </c>
      <c r="AA30" s="29" t="s">
        <v>1778</v>
      </c>
      <c r="AB30" s="29" t="s">
        <v>1778</v>
      </c>
      <c r="AC30" s="29" t="s">
        <v>1778</v>
      </c>
      <c r="AD30" s="37" t="s">
        <v>1850</v>
      </c>
      <c r="AE30" s="36"/>
      <c r="AF30" s="37"/>
      <c r="AG30" s="36" t="s">
        <v>1854</v>
      </c>
      <c r="AH30" s="37"/>
      <c r="AI30" s="36" t="s">
        <v>1778</v>
      </c>
      <c r="AJ30" s="37"/>
      <c r="AK30" s="83"/>
      <c r="AL30" s="36" t="s">
        <v>1778</v>
      </c>
      <c r="AM30" s="37"/>
      <c r="AN30" s="39"/>
      <c r="AO30" s="83"/>
      <c r="AP30" s="36" t="s">
        <v>1778</v>
      </c>
      <c r="AQ30" s="37"/>
      <c r="AR30" s="39" t="s">
        <v>1743</v>
      </c>
      <c r="AS30" s="53" t="s">
        <v>1848</v>
      </c>
      <c r="AT30" s="37"/>
      <c r="AU30" s="36" t="s">
        <v>1766</v>
      </c>
      <c r="AV30" s="29" t="s">
        <v>1677</v>
      </c>
      <c r="AW30" s="37"/>
      <c r="AX30" s="205"/>
      <c r="AY30" s="205"/>
      <c r="AZ30" s="204"/>
      <c r="BA30" s="88"/>
      <c r="BB30" s="88"/>
      <c r="BC30" s="37"/>
      <c r="BE30" s="70" t="s">
        <v>1851</v>
      </c>
    </row>
    <row r="31" spans="1:59" ht="127.5" hidden="1" x14ac:dyDescent="0.25">
      <c r="A31"/>
      <c r="B31" s="51">
        <f>ROW('Initial Search'!15:15)</f>
        <v>15</v>
      </c>
      <c r="C31" s="46" t="str">
        <f>'Initial Search'!D15</f>
        <v>Detection of Semantically Equivalent Fragments for Business Process Model Change Management</v>
      </c>
      <c r="D31" s="49">
        <f>'Initial Search'!C15</f>
        <v>2010</v>
      </c>
      <c r="E31" s="49" t="str">
        <f>'Initial Search'!O15</f>
        <v>Gerth et al.</v>
      </c>
      <c r="F31" s="40" t="str">
        <f>'Initial Search'!M15</f>
        <v>Rejected</v>
      </c>
      <c r="G31" s="44">
        <f>'Initial Search'!N28</f>
        <v>0</v>
      </c>
      <c r="H31" s="39"/>
      <c r="I31" s="29"/>
      <c r="J31" s="29"/>
      <c r="K31" s="29" t="s">
        <v>1623</v>
      </c>
      <c r="L31" s="53"/>
      <c r="M31" s="37" t="s">
        <v>1855</v>
      </c>
      <c r="N31" s="36"/>
      <c r="O31" s="29"/>
      <c r="P31" s="29"/>
      <c r="Q31" s="29"/>
      <c r="R31" s="29"/>
      <c r="S31" s="29" t="s">
        <v>1623</v>
      </c>
      <c r="T31" s="37" t="s">
        <v>1858</v>
      </c>
      <c r="U31" s="39" t="s">
        <v>1861</v>
      </c>
      <c r="V31" s="39"/>
      <c r="W31" s="39"/>
      <c r="X31" s="29" t="s">
        <v>1778</v>
      </c>
      <c r="Y31" s="29"/>
      <c r="Z31" s="29" t="s">
        <v>1778</v>
      </c>
      <c r="AA31" s="29" t="s">
        <v>1778</v>
      </c>
      <c r="AB31" s="29" t="s">
        <v>1857</v>
      </c>
      <c r="AC31" s="29" t="s">
        <v>1698</v>
      </c>
      <c r="AD31" s="37" t="s">
        <v>1856</v>
      </c>
      <c r="AE31" s="36"/>
      <c r="AF31" s="37"/>
      <c r="AG31" s="36" t="s">
        <v>1778</v>
      </c>
      <c r="AH31" s="37"/>
      <c r="AI31" s="36" t="s">
        <v>1778</v>
      </c>
      <c r="AJ31" s="37"/>
      <c r="AK31" s="83"/>
      <c r="AL31" s="36" t="s">
        <v>1778</v>
      </c>
      <c r="AM31" s="37"/>
      <c r="AN31" s="39"/>
      <c r="AO31" s="83"/>
      <c r="AP31" s="36" t="s">
        <v>1778</v>
      </c>
      <c r="AQ31" s="37"/>
      <c r="AR31" s="39" t="s">
        <v>1778</v>
      </c>
      <c r="AS31" s="29" t="s">
        <v>1778</v>
      </c>
      <c r="AT31" s="37"/>
      <c r="AU31" s="36" t="s">
        <v>1778</v>
      </c>
      <c r="AV31" s="29" t="s">
        <v>1778</v>
      </c>
      <c r="AW31" s="37"/>
      <c r="AX31" s="205"/>
      <c r="AY31" s="205"/>
      <c r="AZ31" s="204"/>
      <c r="BA31" s="88"/>
      <c r="BB31" s="88"/>
      <c r="BC31" s="37"/>
      <c r="BE31" s="69"/>
    </row>
    <row r="32" spans="1:59" ht="178.5" x14ac:dyDescent="0.25">
      <c r="A32" s="149">
        <v>8</v>
      </c>
      <c r="B32" s="51">
        <f>ROW('Initial Search'!224:224)</f>
        <v>224</v>
      </c>
      <c r="C32" s="46" t="str">
        <f>'Initial Search'!D224</f>
        <v>Detection and resolution of conflicting change operations in version management of process models</v>
      </c>
      <c r="D32" s="49">
        <f>'Initial Search'!C224</f>
        <v>2013</v>
      </c>
      <c r="E32" s="49" t="str">
        <f>'Initial Search'!O224</f>
        <v>Gerth et al.</v>
      </c>
      <c r="F32" s="40" t="str">
        <f>'Initial Search'!M224</f>
        <v>Accepted</v>
      </c>
      <c r="G32" s="44" t="str">
        <f>'Initial Search'!N224</f>
        <v>Approved</v>
      </c>
      <c r="H32" s="39"/>
      <c r="I32" s="29"/>
      <c r="J32" s="29"/>
      <c r="K32" s="29" t="s">
        <v>1623</v>
      </c>
      <c r="L32" s="53"/>
      <c r="M32" s="37" t="s">
        <v>1855</v>
      </c>
      <c r="N32" s="36"/>
      <c r="O32" s="29" t="s">
        <v>1623</v>
      </c>
      <c r="P32" s="29"/>
      <c r="Q32" s="29"/>
      <c r="R32" s="29"/>
      <c r="S32" s="29" t="s">
        <v>1623</v>
      </c>
      <c r="T32" s="37" t="s">
        <v>1864</v>
      </c>
      <c r="U32" s="39" t="s">
        <v>1860</v>
      </c>
      <c r="V32" s="39" t="s">
        <v>1623</v>
      </c>
      <c r="W32" s="39" t="s">
        <v>1623</v>
      </c>
      <c r="X32" s="29" t="s">
        <v>1915</v>
      </c>
      <c r="Y32" s="42" t="s">
        <v>2258</v>
      </c>
      <c r="Z32" s="29" t="s">
        <v>1686</v>
      </c>
      <c r="AA32" s="53" t="s">
        <v>1723</v>
      </c>
      <c r="AB32" s="29" t="s">
        <v>1863</v>
      </c>
      <c r="AC32" s="29" t="s">
        <v>1699</v>
      </c>
      <c r="AD32" s="37" t="s">
        <v>2551</v>
      </c>
      <c r="AE32" s="36" t="s">
        <v>3762</v>
      </c>
      <c r="AF32" s="37" t="s">
        <v>3769</v>
      </c>
      <c r="AG32" s="36" t="s">
        <v>1778</v>
      </c>
      <c r="AH32" s="37"/>
      <c r="AI32" s="39" t="s">
        <v>2607</v>
      </c>
      <c r="AJ32" s="37" t="s">
        <v>2606</v>
      </c>
      <c r="AK32" s="96"/>
      <c r="AL32" s="39" t="s">
        <v>2260</v>
      </c>
      <c r="AM32" s="37" t="s">
        <v>1865</v>
      </c>
      <c r="AN32" s="39" t="s">
        <v>1778</v>
      </c>
      <c r="AO32" s="37"/>
      <c r="AP32" s="36" t="s">
        <v>1778</v>
      </c>
      <c r="AQ32" s="37"/>
      <c r="AR32" s="39" t="s">
        <v>1709</v>
      </c>
      <c r="AS32" s="29" t="s">
        <v>1778</v>
      </c>
      <c r="AT32" s="37"/>
      <c r="AU32" s="36" t="s">
        <v>1778</v>
      </c>
      <c r="AV32" s="29" t="s">
        <v>1778</v>
      </c>
      <c r="AW32" s="37"/>
      <c r="AX32" s="39" t="s">
        <v>2851</v>
      </c>
      <c r="AY32" s="205"/>
      <c r="AZ32" s="53" t="s">
        <v>2887</v>
      </c>
      <c r="BA32" s="88" t="s">
        <v>2886</v>
      </c>
      <c r="BB32" s="224" t="s">
        <v>3021</v>
      </c>
      <c r="BC32" s="37" t="s">
        <v>2888</v>
      </c>
      <c r="BE32" s="70" t="s">
        <v>1868</v>
      </c>
      <c r="BG32" s="72" t="s">
        <v>1862</v>
      </c>
    </row>
    <row r="33" spans="1:57" ht="89.25" x14ac:dyDescent="0.25">
      <c r="A33" s="149">
        <v>8</v>
      </c>
      <c r="B33" s="51">
        <f>ROW('Initial Search'!239:239)</f>
        <v>239</v>
      </c>
      <c r="C33" s="46" t="str">
        <f>'Initial Search'!D239</f>
        <v>Precise Detection of Conflicting Change Operations Using Process Model Terms</v>
      </c>
      <c r="D33" s="49">
        <f>'Initial Search'!C239</f>
        <v>2010</v>
      </c>
      <c r="E33" s="49" t="str">
        <f>'Initial Search'!O239</f>
        <v>Gerth et al.</v>
      </c>
      <c r="F33" s="40" t="str">
        <f>'Initial Search'!M239</f>
        <v>Accepted</v>
      </c>
      <c r="G33" s="44" t="str">
        <f>'Initial Search'!N30</f>
        <v>Approved</v>
      </c>
      <c r="H33" s="39"/>
      <c r="I33" s="29"/>
      <c r="J33" s="29"/>
      <c r="K33" s="29" t="s">
        <v>1623</v>
      </c>
      <c r="L33" s="53"/>
      <c r="M33" s="37" t="s">
        <v>1855</v>
      </c>
      <c r="N33" s="36"/>
      <c r="O33" s="29" t="s">
        <v>1623</v>
      </c>
      <c r="P33" s="29"/>
      <c r="Q33" s="29"/>
      <c r="R33" s="29"/>
      <c r="S33" s="29" t="s">
        <v>1623</v>
      </c>
      <c r="T33" s="37"/>
      <c r="U33" s="39" t="s">
        <v>1860</v>
      </c>
      <c r="V33" s="39"/>
      <c r="W33" s="39"/>
      <c r="X33" s="29" t="s">
        <v>1915</v>
      </c>
      <c r="Y33" s="42" t="s">
        <v>2258</v>
      </c>
      <c r="Z33" s="29" t="s">
        <v>1686</v>
      </c>
      <c r="AA33" s="29" t="s">
        <v>1723</v>
      </c>
      <c r="AB33" s="29" t="s">
        <v>1863</v>
      </c>
      <c r="AC33" s="29" t="s">
        <v>1699</v>
      </c>
      <c r="AD33" s="37" t="s">
        <v>1867</v>
      </c>
      <c r="AE33" s="36" t="s">
        <v>1778</v>
      </c>
      <c r="AF33" s="37"/>
      <c r="AG33" s="36" t="s">
        <v>1778</v>
      </c>
      <c r="AH33" s="37"/>
      <c r="AI33" s="39" t="s">
        <v>2607</v>
      </c>
      <c r="AJ33" s="37" t="s">
        <v>1869</v>
      </c>
      <c r="AK33" s="96"/>
      <c r="AL33" s="36" t="s">
        <v>1778</v>
      </c>
      <c r="AM33" s="37"/>
      <c r="AN33" s="36" t="s">
        <v>1778</v>
      </c>
      <c r="AO33" s="37"/>
      <c r="AP33" s="36" t="s">
        <v>1778</v>
      </c>
      <c r="AQ33" s="37"/>
      <c r="AR33" s="39" t="s">
        <v>1709</v>
      </c>
      <c r="AS33" s="29" t="s">
        <v>1778</v>
      </c>
      <c r="AT33" s="37"/>
      <c r="AU33" s="36" t="s">
        <v>1778</v>
      </c>
      <c r="AV33" s="29" t="s">
        <v>1778</v>
      </c>
      <c r="AW33" s="37"/>
      <c r="AX33" s="39" t="s">
        <v>2851</v>
      </c>
      <c r="AY33" s="205"/>
      <c r="AZ33" s="53" t="s">
        <v>2885</v>
      </c>
      <c r="BA33" s="88" t="s">
        <v>2884</v>
      </c>
      <c r="BB33" s="224" t="s">
        <v>3021</v>
      </c>
      <c r="BC33" s="37" t="s">
        <v>2883</v>
      </c>
      <c r="BE33" s="70" t="s">
        <v>1868</v>
      </c>
    </row>
    <row r="34" spans="1:57" ht="38.25" hidden="1" x14ac:dyDescent="0.25">
      <c r="A34"/>
      <c r="B34" s="51">
        <f>ROW('Initial Search'!244:244)</f>
        <v>244</v>
      </c>
      <c r="C34" s="46" t="str">
        <f>'Initial Search'!D245</f>
        <v>Dynamic Computation of Change Operations in Version Management of Business Process Models</v>
      </c>
      <c r="D34" s="49">
        <f>'Initial Search'!C245</f>
        <v>2010</v>
      </c>
      <c r="E34" s="49" t="str">
        <f>'Initial Search'!O245</f>
        <v>Gerth et al.</v>
      </c>
      <c r="F34" s="40" t="str">
        <f>'Initial Search'!M245</f>
        <v>Rejected</v>
      </c>
      <c r="G34" s="44">
        <f>'Initial Search'!N31</f>
        <v>0</v>
      </c>
      <c r="H34" s="39"/>
      <c r="I34" s="29"/>
      <c r="J34" s="29"/>
      <c r="K34" s="29" t="s">
        <v>1623</v>
      </c>
      <c r="L34" s="53"/>
      <c r="M34" s="37" t="s">
        <v>1855</v>
      </c>
      <c r="N34" s="36"/>
      <c r="O34" s="29" t="s">
        <v>1623</v>
      </c>
      <c r="P34" s="29"/>
      <c r="Q34" s="29"/>
      <c r="R34" s="29"/>
      <c r="S34" s="29"/>
      <c r="T34" s="37"/>
      <c r="U34" s="39" t="s">
        <v>1860</v>
      </c>
      <c r="V34" s="39"/>
      <c r="W34" s="39"/>
      <c r="X34" s="29" t="s">
        <v>1778</v>
      </c>
      <c r="Y34" s="29"/>
      <c r="Z34" s="29" t="s">
        <v>1686</v>
      </c>
      <c r="AA34" s="29" t="s">
        <v>1866</v>
      </c>
      <c r="AB34" s="29" t="s">
        <v>1863</v>
      </c>
      <c r="AC34" s="29" t="s">
        <v>1699</v>
      </c>
      <c r="AD34" s="37"/>
      <c r="AE34" s="36" t="s">
        <v>1778</v>
      </c>
      <c r="AF34" s="37"/>
      <c r="AG34" s="36" t="s">
        <v>1778</v>
      </c>
      <c r="AH34" s="37"/>
      <c r="AI34" s="39" t="s">
        <v>1871</v>
      </c>
      <c r="AJ34" s="37" t="s">
        <v>1870</v>
      </c>
      <c r="AK34" s="83"/>
      <c r="AL34" s="36" t="s">
        <v>1778</v>
      </c>
      <c r="AM34" s="37"/>
      <c r="AN34" s="41" t="s">
        <v>1778</v>
      </c>
      <c r="AO34" s="37"/>
      <c r="AP34" s="36" t="s">
        <v>2146</v>
      </c>
      <c r="AQ34" s="37" t="s">
        <v>1872</v>
      </c>
      <c r="AR34" s="39" t="s">
        <v>1743</v>
      </c>
      <c r="AS34" s="29" t="s">
        <v>1693</v>
      </c>
      <c r="AT34" s="37" t="s">
        <v>1873</v>
      </c>
      <c r="AU34" s="36" t="s">
        <v>1800</v>
      </c>
      <c r="AV34" s="29" t="s">
        <v>1778</v>
      </c>
      <c r="AW34" s="37"/>
      <c r="AX34" s="205"/>
      <c r="AY34" s="205"/>
      <c r="AZ34" s="204"/>
      <c r="BA34" s="88"/>
      <c r="BB34" s="88"/>
      <c r="BC34" s="37"/>
      <c r="BE34" s="69"/>
    </row>
    <row r="35" spans="1:57" ht="102" x14ac:dyDescent="0.25">
      <c r="A35" s="149">
        <v>8</v>
      </c>
      <c r="B35" s="51">
        <f>ROW('Initial Search'!256:256)</f>
        <v>256</v>
      </c>
      <c r="C35" s="46" t="str">
        <f>'Initial Search'!D256</f>
        <v>Dependent and Conflicting Change Operations of Process Models</v>
      </c>
      <c r="D35" s="49">
        <f>'Initial Search'!C256</f>
        <v>2009</v>
      </c>
      <c r="E35" s="49" t="str">
        <f>'Initial Search'!O256</f>
        <v>Gerth et al.</v>
      </c>
      <c r="F35" s="40" t="str">
        <f>'Initial Search'!M256</f>
        <v>Accepted</v>
      </c>
      <c r="G35" s="44" t="str">
        <f>'Initial Search'!N256</f>
        <v>Approved</v>
      </c>
      <c r="H35" s="39"/>
      <c r="I35" s="29"/>
      <c r="J35" s="29"/>
      <c r="K35" s="29" t="s">
        <v>1623</v>
      </c>
      <c r="L35" s="53"/>
      <c r="M35" s="37" t="s">
        <v>1855</v>
      </c>
      <c r="N35" s="36"/>
      <c r="O35" s="29" t="s">
        <v>1623</v>
      </c>
      <c r="P35" s="29"/>
      <c r="Q35" s="29"/>
      <c r="R35" s="29"/>
      <c r="S35" s="29"/>
      <c r="T35" s="37"/>
      <c r="U35" s="39" t="s">
        <v>1860</v>
      </c>
      <c r="V35" s="39"/>
      <c r="W35" s="39"/>
      <c r="X35" s="29" t="s">
        <v>1778</v>
      </c>
      <c r="Y35" s="42" t="s">
        <v>2258</v>
      </c>
      <c r="Z35" s="29" t="s">
        <v>1778</v>
      </c>
      <c r="AA35" s="29" t="s">
        <v>1723</v>
      </c>
      <c r="AB35" s="29" t="s">
        <v>1863</v>
      </c>
      <c r="AC35" s="29" t="s">
        <v>1699</v>
      </c>
      <c r="AD35" s="37"/>
      <c r="AE35" s="36" t="s">
        <v>3762</v>
      </c>
      <c r="AF35" s="37" t="s">
        <v>3768</v>
      </c>
      <c r="AG35" s="36" t="s">
        <v>1778</v>
      </c>
      <c r="AH35" s="37"/>
      <c r="AI35" s="39" t="s">
        <v>2458</v>
      </c>
      <c r="AJ35" s="37" t="s">
        <v>1874</v>
      </c>
      <c r="AK35" s="96"/>
      <c r="AL35" s="39" t="s">
        <v>1670</v>
      </c>
      <c r="AM35" s="37"/>
      <c r="AN35" s="36" t="s">
        <v>1778</v>
      </c>
      <c r="AO35" s="37"/>
      <c r="AP35" s="36" t="s">
        <v>2584</v>
      </c>
      <c r="AQ35" s="37"/>
      <c r="AR35" s="39" t="s">
        <v>1743</v>
      </c>
      <c r="AS35" s="29" t="s">
        <v>1693</v>
      </c>
      <c r="AT35" s="37" t="s">
        <v>1873</v>
      </c>
      <c r="AU35" s="36" t="s">
        <v>1800</v>
      </c>
      <c r="AV35" s="29" t="s">
        <v>1778</v>
      </c>
      <c r="AW35" s="37"/>
      <c r="AX35" s="39" t="s">
        <v>2851</v>
      </c>
      <c r="AY35" s="205"/>
      <c r="AZ35" s="53" t="s">
        <v>2851</v>
      </c>
      <c r="BA35" s="88"/>
      <c r="BB35" s="224" t="s">
        <v>3023</v>
      </c>
      <c r="BC35" s="37" t="s">
        <v>2882</v>
      </c>
      <c r="BE35" s="69"/>
    </row>
    <row r="36" spans="1:57" ht="89.25" x14ac:dyDescent="0.25">
      <c r="A36" s="149">
        <v>9</v>
      </c>
      <c r="B36" s="51">
        <f>ROW('Initial Search'!17:17)</f>
        <v>17</v>
      </c>
      <c r="C36" s="46" t="str">
        <f>'Initial Search'!D17</f>
        <v>Conflict Analysis at Collaborative Development of Domain Specific Models using Description Logics</v>
      </c>
      <c r="D36" s="49">
        <f>'Initial Search'!C17</f>
        <v>2011</v>
      </c>
      <c r="E36" s="49" t="str">
        <f>'Initial Search'!O17</f>
        <v>Bartelt</v>
      </c>
      <c r="F36" s="40" t="str">
        <f>'Initial Search'!M17</f>
        <v>Accepted</v>
      </c>
      <c r="G36" s="44" t="str">
        <f>'Initial Search'!N17</f>
        <v>Approved</v>
      </c>
      <c r="H36" s="39"/>
      <c r="I36" s="29" t="s">
        <v>1623</v>
      </c>
      <c r="J36" s="29" t="s">
        <v>1623</v>
      </c>
      <c r="K36" s="29"/>
      <c r="L36" s="53"/>
      <c r="M36" s="37" t="s">
        <v>1880</v>
      </c>
      <c r="N36" s="36"/>
      <c r="O36" s="29" t="s">
        <v>1623</v>
      </c>
      <c r="P36" s="29"/>
      <c r="Q36" s="29" t="s">
        <v>1623</v>
      </c>
      <c r="R36" s="29"/>
      <c r="S36" s="29"/>
      <c r="T36" s="37" t="s">
        <v>1875</v>
      </c>
      <c r="U36" s="39" t="s">
        <v>1876</v>
      </c>
      <c r="V36" s="39"/>
      <c r="W36" s="39"/>
      <c r="X36" s="29" t="s">
        <v>1915</v>
      </c>
      <c r="Y36" s="42" t="s">
        <v>2258</v>
      </c>
      <c r="Z36" s="29" t="s">
        <v>1686</v>
      </c>
      <c r="AA36" s="53" t="s">
        <v>1877</v>
      </c>
      <c r="AB36" s="53" t="s">
        <v>2684</v>
      </c>
      <c r="AC36" s="29" t="s">
        <v>1699</v>
      </c>
      <c r="AD36" s="37" t="s">
        <v>1879</v>
      </c>
      <c r="AE36" s="36" t="s">
        <v>3763</v>
      </c>
      <c r="AF36" s="37" t="s">
        <v>3770</v>
      </c>
      <c r="AG36" s="36" t="s">
        <v>1778</v>
      </c>
      <c r="AH36" s="37"/>
      <c r="AI36" s="39" t="s">
        <v>1878</v>
      </c>
      <c r="AJ36" s="37"/>
      <c r="AK36" s="96"/>
      <c r="AL36" s="39" t="s">
        <v>1670</v>
      </c>
      <c r="AM36" s="37"/>
      <c r="AN36" s="39" t="s">
        <v>1778</v>
      </c>
      <c r="AO36" s="37"/>
      <c r="AP36" s="36" t="s">
        <v>2146</v>
      </c>
      <c r="AQ36" s="37" t="s">
        <v>2685</v>
      </c>
      <c r="AR36" s="39" t="s">
        <v>1743</v>
      </c>
      <c r="AS36" s="29" t="s">
        <v>1693</v>
      </c>
      <c r="AT36" s="37"/>
      <c r="AU36" s="36" t="s">
        <v>1778</v>
      </c>
      <c r="AV36" s="29" t="s">
        <v>1778</v>
      </c>
      <c r="AW36" s="37"/>
      <c r="AX36" s="39" t="s">
        <v>2851</v>
      </c>
      <c r="AY36" s="205"/>
      <c r="AZ36" s="53" t="s">
        <v>2851</v>
      </c>
      <c r="BA36" s="88"/>
      <c r="BB36" s="224" t="s">
        <v>3026</v>
      </c>
      <c r="BC36" s="37" t="s">
        <v>2889</v>
      </c>
      <c r="BE36" s="70"/>
    </row>
    <row r="37" spans="1:57" ht="89.25" x14ac:dyDescent="0.25">
      <c r="A37" s="148">
        <v>10</v>
      </c>
      <c r="B37" s="51">
        <f>ROW('Initial Search'!30:30)</f>
        <v>30</v>
      </c>
      <c r="C37" s="46" t="str">
        <f>'Initial Search'!D30</f>
        <v>Technology Support for Collaborative Inconsistency Management in Model Driven Engineering</v>
      </c>
      <c r="D37" s="49">
        <f>'Initial Search'!C30</f>
        <v>2010</v>
      </c>
      <c r="E37" s="49" t="str">
        <f>'Initial Search'!O30</f>
        <v>Jazz</v>
      </c>
      <c r="F37" s="40" t="str">
        <f>'Initial Search'!M30</f>
        <v>Accepted</v>
      </c>
      <c r="G37" s="44" t="str">
        <f>'Initial Search'!N30</f>
        <v>Approved</v>
      </c>
      <c r="H37" s="39"/>
      <c r="I37" s="29" t="s">
        <v>1623</v>
      </c>
      <c r="J37" s="29" t="s">
        <v>1623</v>
      </c>
      <c r="K37" s="29"/>
      <c r="L37" s="53"/>
      <c r="M37" s="37" t="s">
        <v>1884</v>
      </c>
      <c r="N37" s="36"/>
      <c r="O37" s="29" t="s">
        <v>1623</v>
      </c>
      <c r="P37" s="29"/>
      <c r="Q37" s="29"/>
      <c r="R37" s="29"/>
      <c r="S37" s="29"/>
      <c r="T37" s="37"/>
      <c r="U37" s="39" t="s">
        <v>1885</v>
      </c>
      <c r="V37" s="39"/>
      <c r="W37" s="39"/>
      <c r="X37" s="29" t="s">
        <v>1915</v>
      </c>
      <c r="Y37" s="42" t="s">
        <v>2258</v>
      </c>
      <c r="Z37" s="29" t="s">
        <v>1686</v>
      </c>
      <c r="AA37" s="29" t="s">
        <v>1877</v>
      </c>
      <c r="AB37" s="29" t="s">
        <v>1887</v>
      </c>
      <c r="AC37" s="29" t="s">
        <v>1699</v>
      </c>
      <c r="AD37" s="37" t="s">
        <v>1886</v>
      </c>
      <c r="AE37" s="36" t="s">
        <v>3762</v>
      </c>
      <c r="AF37" s="37" t="s">
        <v>3771</v>
      </c>
      <c r="AG37" s="36" t="s">
        <v>1778</v>
      </c>
      <c r="AH37" s="37"/>
      <c r="AI37" s="36" t="s">
        <v>2192</v>
      </c>
      <c r="AJ37" s="37" t="s">
        <v>1888</v>
      </c>
      <c r="AK37" s="96"/>
      <c r="AL37" s="36" t="s">
        <v>1670</v>
      </c>
      <c r="AM37" s="37"/>
      <c r="AN37" s="39" t="s">
        <v>1778</v>
      </c>
      <c r="AO37" s="37"/>
      <c r="AP37" s="39" t="s">
        <v>2676</v>
      </c>
      <c r="AQ37" s="37" t="s">
        <v>2686</v>
      </c>
      <c r="AR37" s="39" t="s">
        <v>1743</v>
      </c>
      <c r="AS37" s="29" t="s">
        <v>1693</v>
      </c>
      <c r="AT37" s="37" t="s">
        <v>1890</v>
      </c>
      <c r="AU37" s="36" t="s">
        <v>1778</v>
      </c>
      <c r="AV37" s="29" t="s">
        <v>1778</v>
      </c>
      <c r="AW37" s="37"/>
      <c r="AX37" s="39" t="s">
        <v>2851</v>
      </c>
      <c r="AY37" s="205"/>
      <c r="AZ37" s="53" t="s">
        <v>2851</v>
      </c>
      <c r="BA37" s="88"/>
      <c r="BB37" s="224" t="s">
        <v>3028</v>
      </c>
      <c r="BC37" s="37" t="s">
        <v>2890</v>
      </c>
      <c r="BE37" s="69"/>
    </row>
    <row r="38" spans="1:57" ht="30" hidden="1" x14ac:dyDescent="0.25">
      <c r="A38"/>
      <c r="B38" s="51">
        <f>ROW('Initial Search'!92:92)</f>
        <v>92</v>
      </c>
      <c r="C38" s="46" t="str">
        <f>'Initial Search'!D92</f>
        <v>A Model Repository for Collaborative Modeling with the Jazz Development Platform</v>
      </c>
      <c r="D38" s="49">
        <f>'Initial Search'!C92</f>
        <v>2009</v>
      </c>
      <c r="E38" s="49" t="str">
        <f>'Initial Search'!O92</f>
        <v>Jazz</v>
      </c>
      <c r="F38" s="40" t="str">
        <f>'Initial Search'!M92</f>
        <v>Rejected</v>
      </c>
      <c r="G38" s="44">
        <f>'Initial Search'!N35</f>
        <v>0</v>
      </c>
      <c r="H38" s="39"/>
      <c r="I38" s="29"/>
      <c r="J38" s="29"/>
      <c r="K38" s="29"/>
      <c r="L38" s="53"/>
      <c r="M38" s="37" t="s">
        <v>1889</v>
      </c>
      <c r="N38" s="36"/>
      <c r="O38" s="29"/>
      <c r="P38" s="29"/>
      <c r="Q38" s="29"/>
      <c r="R38" s="29"/>
      <c r="S38" s="29"/>
      <c r="T38" s="37"/>
      <c r="U38" s="39" t="s">
        <v>1778</v>
      </c>
      <c r="V38" s="39"/>
      <c r="W38" s="39"/>
      <c r="X38" s="29" t="s">
        <v>1778</v>
      </c>
      <c r="Y38" s="29"/>
      <c r="Z38" s="29" t="s">
        <v>1778</v>
      </c>
      <c r="AA38" s="29" t="s">
        <v>1778</v>
      </c>
      <c r="AB38" s="29" t="s">
        <v>1778</v>
      </c>
      <c r="AC38" s="29" t="s">
        <v>1778</v>
      </c>
      <c r="AD38" s="37"/>
      <c r="AE38" s="36" t="s">
        <v>1778</v>
      </c>
      <c r="AF38" s="37"/>
      <c r="AG38" s="36"/>
      <c r="AH38" s="37"/>
      <c r="AI38" s="36" t="s">
        <v>1778</v>
      </c>
      <c r="AJ38" s="37"/>
      <c r="AK38" s="83"/>
      <c r="AL38" s="36"/>
      <c r="AM38" s="37"/>
      <c r="AN38" s="39"/>
      <c r="AO38" s="83"/>
      <c r="AP38" s="36"/>
      <c r="AQ38" s="37"/>
      <c r="AR38" s="39" t="s">
        <v>1778</v>
      </c>
      <c r="AS38" s="29"/>
      <c r="AT38" s="37"/>
      <c r="AU38" s="36" t="s">
        <v>1778</v>
      </c>
      <c r="AV38" s="29" t="s">
        <v>1778</v>
      </c>
      <c r="AW38" s="37"/>
      <c r="AX38" s="205"/>
      <c r="AY38" s="205"/>
      <c r="AZ38" s="204"/>
      <c r="BA38" s="88"/>
      <c r="BB38" s="88"/>
      <c r="BC38" s="37"/>
      <c r="BE38" s="69"/>
    </row>
    <row r="39" spans="1:57" ht="30" hidden="1" x14ac:dyDescent="0.25">
      <c r="A39"/>
      <c r="B39" s="51">
        <f>ROW('Initial Search'!107:107)</f>
        <v>107</v>
      </c>
      <c r="C39" s="46" t="str">
        <f>'Initial Search'!D107</f>
        <v>Consistence preserving model merge in collaborative development processes</v>
      </c>
      <c r="D39" s="49">
        <f>'Initial Search'!C107</f>
        <v>2008</v>
      </c>
      <c r="E39" s="49" t="str">
        <f>'Initial Search'!O107</f>
        <v>Jazz</v>
      </c>
      <c r="F39" s="40" t="str">
        <f>'Initial Search'!M107</f>
        <v>Accepted</v>
      </c>
      <c r="G39" s="44" t="str">
        <f>'Initial Search'!N107</f>
        <v>Disapproved</v>
      </c>
      <c r="H39" s="39"/>
      <c r="I39" s="29"/>
      <c r="J39" s="29" t="s">
        <v>1623</v>
      </c>
      <c r="K39" s="29"/>
      <c r="L39" s="53"/>
      <c r="M39" s="37" t="s">
        <v>1883</v>
      </c>
      <c r="N39" s="36"/>
      <c r="O39" s="29" t="s">
        <v>1623</v>
      </c>
      <c r="P39" s="29"/>
      <c r="Q39" s="29"/>
      <c r="R39" s="29"/>
      <c r="S39" s="29"/>
      <c r="T39" s="37"/>
      <c r="U39" s="39" t="s">
        <v>1885</v>
      </c>
      <c r="V39" s="39"/>
      <c r="W39" s="39"/>
      <c r="X39" s="29" t="s">
        <v>1915</v>
      </c>
      <c r="Y39" s="29"/>
      <c r="Z39" s="29" t="s">
        <v>1686</v>
      </c>
      <c r="AA39" s="29" t="s">
        <v>1877</v>
      </c>
      <c r="AB39" s="29" t="s">
        <v>1712</v>
      </c>
      <c r="AC39" s="29" t="s">
        <v>1699</v>
      </c>
      <c r="AD39" s="37"/>
      <c r="AE39" s="36" t="s">
        <v>1778</v>
      </c>
      <c r="AF39" s="37"/>
      <c r="AG39" s="36"/>
      <c r="AH39" s="37"/>
      <c r="AI39" s="36" t="s">
        <v>1901</v>
      </c>
      <c r="AJ39" s="37" t="s">
        <v>1888</v>
      </c>
      <c r="AK39" s="96"/>
      <c r="AL39" s="36" t="s">
        <v>1670</v>
      </c>
      <c r="AM39" s="37"/>
      <c r="AN39" s="36"/>
      <c r="AO39" s="37"/>
      <c r="AP39" s="36" t="s">
        <v>1778</v>
      </c>
      <c r="AQ39" s="37"/>
      <c r="AR39" s="39" t="s">
        <v>1743</v>
      </c>
      <c r="AS39" s="29" t="s">
        <v>1693</v>
      </c>
      <c r="AT39" s="37" t="s">
        <v>1891</v>
      </c>
      <c r="AU39" s="36" t="s">
        <v>1778</v>
      </c>
      <c r="AV39" s="29" t="s">
        <v>1778</v>
      </c>
      <c r="AW39" s="37"/>
      <c r="AX39" s="205"/>
      <c r="AY39" s="205"/>
      <c r="AZ39" s="204"/>
      <c r="BA39" s="88"/>
      <c r="BB39" s="88"/>
      <c r="BC39" s="37"/>
      <c r="BE39" s="69"/>
    </row>
    <row r="40" spans="1:57" ht="89.25" x14ac:dyDescent="0.25">
      <c r="A40" s="148">
        <v>11</v>
      </c>
      <c r="B40" s="51">
        <f>ROW('Initial Search'!18:18)</f>
        <v>18</v>
      </c>
      <c r="C40" s="46" t="str">
        <f>'Initial Search'!D18</f>
        <v>Consistency-preserving edit scripts in model versioning</v>
      </c>
      <c r="D40" s="49">
        <f>'Initial Search'!C18</f>
        <v>2013</v>
      </c>
      <c r="E40" s="49" t="str">
        <f>'Initial Search'!O18</f>
        <v>Kehrer et al.</v>
      </c>
      <c r="F40" s="40" t="str">
        <f>'Initial Search'!M18</f>
        <v>Accepted</v>
      </c>
      <c r="G40" s="44" t="str">
        <f>'Initial Search'!N18</f>
        <v>Approved</v>
      </c>
      <c r="H40" s="39"/>
      <c r="I40" s="29"/>
      <c r="J40" s="29" t="s">
        <v>1623</v>
      </c>
      <c r="K40" s="29"/>
      <c r="L40" s="53"/>
      <c r="M40" s="37" t="s">
        <v>1883</v>
      </c>
      <c r="N40" s="36"/>
      <c r="O40" s="29" t="s">
        <v>1623</v>
      </c>
      <c r="P40" s="29" t="s">
        <v>1623</v>
      </c>
      <c r="Q40" s="29" t="s">
        <v>1623</v>
      </c>
      <c r="R40" s="29"/>
      <c r="S40" s="29"/>
      <c r="T40" s="37" t="s">
        <v>1895</v>
      </c>
      <c r="U40" s="39" t="s">
        <v>1893</v>
      </c>
      <c r="V40" s="39"/>
      <c r="W40" s="39"/>
      <c r="X40" s="29" t="s">
        <v>1915</v>
      </c>
      <c r="Y40" s="42" t="s">
        <v>2258</v>
      </c>
      <c r="Z40" s="29" t="s">
        <v>1686</v>
      </c>
      <c r="AA40" s="29" t="s">
        <v>1877</v>
      </c>
      <c r="AB40" s="29" t="s">
        <v>1712</v>
      </c>
      <c r="AC40" s="29" t="s">
        <v>1699</v>
      </c>
      <c r="AD40" s="37" t="s">
        <v>1894</v>
      </c>
      <c r="AE40" s="36" t="s">
        <v>3763</v>
      </c>
      <c r="AF40" s="37" t="s">
        <v>3772</v>
      </c>
      <c r="AG40" s="39" t="s">
        <v>2582</v>
      </c>
      <c r="AH40" s="37" t="s">
        <v>1896</v>
      </c>
      <c r="AI40" s="36" t="s">
        <v>1778</v>
      </c>
      <c r="AJ40" s="37"/>
      <c r="AK40" s="96"/>
      <c r="AL40" s="36" t="s">
        <v>1778</v>
      </c>
      <c r="AM40" s="37"/>
      <c r="AN40" s="41" t="s">
        <v>1778</v>
      </c>
      <c r="AO40" s="37"/>
      <c r="AP40" s="36" t="s">
        <v>1778</v>
      </c>
      <c r="AQ40" s="37"/>
      <c r="AR40" s="39" t="s">
        <v>1765</v>
      </c>
      <c r="AS40" s="29" t="s">
        <v>1693</v>
      </c>
      <c r="AT40" s="37" t="s">
        <v>1897</v>
      </c>
      <c r="AU40" s="36" t="s">
        <v>1766</v>
      </c>
      <c r="AV40" s="29" t="s">
        <v>1682</v>
      </c>
      <c r="AW40" s="37" t="s">
        <v>1898</v>
      </c>
      <c r="AX40" s="39" t="s">
        <v>2851</v>
      </c>
      <c r="AY40" s="205"/>
      <c r="AZ40" s="53" t="s">
        <v>2851</v>
      </c>
      <c r="BA40" s="88"/>
      <c r="BB40" s="224" t="s">
        <v>3029</v>
      </c>
      <c r="BC40" s="37" t="s">
        <v>2891</v>
      </c>
      <c r="BE40" s="69"/>
    </row>
    <row r="41" spans="1:57" ht="30" hidden="1" x14ac:dyDescent="0.25">
      <c r="A41"/>
      <c r="B41" s="51">
        <f>ROW('Initial Search'!28:28)</f>
        <v>28</v>
      </c>
      <c r="C41" s="46" t="str">
        <f>'Initial Search'!D28</f>
        <v>History-based merging of models</v>
      </c>
      <c r="D41" s="49">
        <f>'Initial Search'!C28</f>
        <v>2009</v>
      </c>
      <c r="E41" s="49" t="str">
        <f>'Initial Search'!O28</f>
        <v>History-based Merge</v>
      </c>
      <c r="F41" s="40" t="str">
        <f>'Initial Search'!M28</f>
        <v>Rejected</v>
      </c>
      <c r="G41" s="44">
        <f>'Initial Search'!N38</f>
        <v>0</v>
      </c>
      <c r="H41" s="39"/>
      <c r="I41" s="29" t="s">
        <v>1623</v>
      </c>
      <c r="J41" s="29"/>
      <c r="K41" s="29"/>
      <c r="L41" s="53"/>
      <c r="M41" s="37" t="s">
        <v>1904</v>
      </c>
      <c r="N41" s="36"/>
      <c r="O41" s="29" t="s">
        <v>1623</v>
      </c>
      <c r="P41" s="29"/>
      <c r="Q41" s="29"/>
      <c r="R41" s="29"/>
      <c r="S41" s="29"/>
      <c r="T41" s="37"/>
      <c r="U41" s="39" t="s">
        <v>1900</v>
      </c>
      <c r="V41" s="39"/>
      <c r="W41" s="39"/>
      <c r="X41" s="29" t="s">
        <v>1915</v>
      </c>
      <c r="Y41" s="29"/>
      <c r="Z41" s="29" t="s">
        <v>1686</v>
      </c>
      <c r="AA41" s="29" t="s">
        <v>1723</v>
      </c>
      <c r="AB41" s="29" t="s">
        <v>1712</v>
      </c>
      <c r="AC41" s="29" t="s">
        <v>1699</v>
      </c>
      <c r="AD41" s="37"/>
      <c r="AE41" s="36" t="s">
        <v>1778</v>
      </c>
      <c r="AF41" s="37"/>
      <c r="AG41" s="36" t="s">
        <v>1778</v>
      </c>
      <c r="AH41" s="37"/>
      <c r="AI41" s="36" t="s">
        <v>1901</v>
      </c>
      <c r="AJ41" s="37" t="s">
        <v>1902</v>
      </c>
      <c r="AK41" s="83"/>
      <c r="AL41" s="36" t="s">
        <v>1670</v>
      </c>
      <c r="AM41" s="37"/>
      <c r="AN41" s="36"/>
      <c r="AO41" s="83"/>
      <c r="AP41" s="36" t="s">
        <v>2146</v>
      </c>
      <c r="AQ41" s="37" t="s">
        <v>1903</v>
      </c>
      <c r="AR41" s="39" t="s">
        <v>1743</v>
      </c>
      <c r="AS41" s="29" t="s">
        <v>1693</v>
      </c>
      <c r="AT41" s="37"/>
      <c r="AU41" s="36" t="s">
        <v>1778</v>
      </c>
      <c r="AV41" s="29" t="s">
        <v>1778</v>
      </c>
      <c r="AW41" s="37"/>
      <c r="AX41" s="205"/>
      <c r="AY41" s="205"/>
      <c r="AZ41" s="204"/>
      <c r="BA41" s="88"/>
      <c r="BB41" s="88"/>
      <c r="BC41" s="37"/>
      <c r="BE41" s="69"/>
    </row>
    <row r="42" spans="1:57" ht="102" x14ac:dyDescent="0.25">
      <c r="A42" s="148">
        <v>12</v>
      </c>
      <c r="B42" s="51">
        <f>ROW('Initial Search'!19:19)</f>
        <v>19</v>
      </c>
      <c r="C42" s="46" t="str">
        <f>'Initial Search'!D19</f>
        <v>Supporting Collaborative Development in an Open MDA Environment</v>
      </c>
      <c r="D42" s="49">
        <f>'Initial Search'!C19</f>
        <v>2006</v>
      </c>
      <c r="E42" s="49" t="str">
        <f>'Initial Search'!O19</f>
        <v>ModelBus</v>
      </c>
      <c r="F42" s="40" t="str">
        <f>'Initial Search'!M19</f>
        <v>Accepted</v>
      </c>
      <c r="G42" s="44" t="str">
        <f>'Initial Search'!N19</f>
        <v>Approved</v>
      </c>
      <c r="H42" s="39"/>
      <c r="I42" s="29" t="s">
        <v>1623</v>
      </c>
      <c r="J42" s="29" t="s">
        <v>1623</v>
      </c>
      <c r="K42" s="29"/>
      <c r="L42" s="53"/>
      <c r="M42" s="37" t="s">
        <v>1916</v>
      </c>
      <c r="N42" s="36"/>
      <c r="O42" s="29" t="s">
        <v>1623</v>
      </c>
      <c r="P42" s="29"/>
      <c r="Q42" s="29"/>
      <c r="R42" s="29"/>
      <c r="S42" s="29"/>
      <c r="T42" s="37" t="s">
        <v>1921</v>
      </c>
      <c r="U42" s="39" t="s">
        <v>1917</v>
      </c>
      <c r="V42" s="39" t="s">
        <v>1623</v>
      </c>
      <c r="W42" s="39"/>
      <c r="X42" s="29" t="s">
        <v>1915</v>
      </c>
      <c r="Y42" s="42" t="s">
        <v>2258</v>
      </c>
      <c r="Z42" s="29" t="s">
        <v>1686</v>
      </c>
      <c r="AA42" s="29" t="s">
        <v>1723</v>
      </c>
      <c r="AB42" s="29" t="s">
        <v>1785</v>
      </c>
      <c r="AC42" s="29" t="s">
        <v>1699</v>
      </c>
      <c r="AD42" s="37" t="s">
        <v>1919</v>
      </c>
      <c r="AE42" s="333" t="s">
        <v>3763</v>
      </c>
      <c r="AF42" s="334" t="s">
        <v>3773</v>
      </c>
      <c r="AG42" s="36" t="s">
        <v>1778</v>
      </c>
      <c r="AH42" s="37"/>
      <c r="AI42" s="36" t="s">
        <v>1833</v>
      </c>
      <c r="AJ42" s="37" t="s">
        <v>2609</v>
      </c>
      <c r="AK42" s="96"/>
      <c r="AL42" s="36" t="s">
        <v>1909</v>
      </c>
      <c r="AM42" s="37" t="s">
        <v>1920</v>
      </c>
      <c r="AN42" s="39" t="s">
        <v>1778</v>
      </c>
      <c r="AO42" s="37"/>
      <c r="AP42" s="36" t="s">
        <v>2179</v>
      </c>
      <c r="AQ42" s="37"/>
      <c r="AR42" s="39" t="s">
        <v>1755</v>
      </c>
      <c r="AS42" s="29" t="s">
        <v>1693</v>
      </c>
      <c r="AT42" s="37" t="s">
        <v>1914</v>
      </c>
      <c r="AU42" s="36" t="s">
        <v>1766</v>
      </c>
      <c r="AV42" s="29" t="s">
        <v>1678</v>
      </c>
      <c r="AW42" s="37" t="s">
        <v>1720</v>
      </c>
      <c r="AX42" s="39" t="s">
        <v>2851</v>
      </c>
      <c r="AY42" s="205"/>
      <c r="AZ42" s="53" t="s">
        <v>2851</v>
      </c>
      <c r="BA42" s="88"/>
      <c r="BB42" s="224" t="s">
        <v>3092</v>
      </c>
      <c r="BC42" s="37" t="s">
        <v>2892</v>
      </c>
      <c r="BE42" s="69"/>
    </row>
    <row r="43" spans="1:57" ht="89.25" hidden="1" x14ac:dyDescent="0.25">
      <c r="A43"/>
      <c r="B43" s="51">
        <f>ROW('Initial Search'!152:152)</f>
        <v>152</v>
      </c>
      <c r="C43" s="46" t="str">
        <f>'Initial Search'!D152</f>
        <v>Collaborative software engineering on large-scale models: requirements and experience in ModelBus</v>
      </c>
      <c r="D43" s="49">
        <f>'Initial Search'!C152</f>
        <v>2008</v>
      </c>
      <c r="E43" s="49" t="str">
        <f>'Initial Search'!O152</f>
        <v>ModelBus</v>
      </c>
      <c r="F43" s="40" t="str">
        <f>'Initial Search'!M152</f>
        <v>Rejected</v>
      </c>
      <c r="G43" s="44" t="str">
        <f>'Initial Search'!N40</f>
        <v>Disapproved</v>
      </c>
      <c r="H43" s="39" t="s">
        <v>1623</v>
      </c>
      <c r="I43" s="29"/>
      <c r="J43" s="29"/>
      <c r="K43" s="29"/>
      <c r="L43" s="53"/>
      <c r="M43" s="37" t="s">
        <v>1908</v>
      </c>
      <c r="N43" s="36"/>
      <c r="O43" s="29" t="s">
        <v>1624</v>
      </c>
      <c r="P43" s="29"/>
      <c r="Q43" s="29"/>
      <c r="R43" s="29"/>
      <c r="S43" s="29"/>
      <c r="T43" s="37" t="s">
        <v>1911</v>
      </c>
      <c r="U43" s="39" t="s">
        <v>1907</v>
      </c>
      <c r="V43" s="39"/>
      <c r="W43" s="39" t="s">
        <v>1623</v>
      </c>
      <c r="X43" s="29" t="s">
        <v>1915</v>
      </c>
      <c r="Y43" s="29"/>
      <c r="Z43" s="29" t="s">
        <v>1686</v>
      </c>
      <c r="AA43" s="53" t="s">
        <v>1723</v>
      </c>
      <c r="AB43" s="29" t="s">
        <v>1785</v>
      </c>
      <c r="AC43" s="29" t="s">
        <v>1699</v>
      </c>
      <c r="AD43" s="37" t="s">
        <v>1918</v>
      </c>
      <c r="AE43" s="36" t="s">
        <v>1778</v>
      </c>
      <c r="AF43" s="37"/>
      <c r="AG43" s="36" t="s">
        <v>1778</v>
      </c>
      <c r="AH43" s="37"/>
      <c r="AI43" s="39" t="s">
        <v>1913</v>
      </c>
      <c r="AJ43" s="37" t="s">
        <v>1912</v>
      </c>
      <c r="AK43" s="83"/>
      <c r="AL43" s="36" t="s">
        <v>1909</v>
      </c>
      <c r="AM43" s="37" t="s">
        <v>1910</v>
      </c>
      <c r="AN43" s="39"/>
      <c r="AO43" s="83"/>
      <c r="AP43" s="36" t="s">
        <v>1778</v>
      </c>
      <c r="AQ43" s="37"/>
      <c r="AR43" s="39" t="s">
        <v>1755</v>
      </c>
      <c r="AS43" s="29" t="s">
        <v>1693</v>
      </c>
      <c r="AT43" s="37" t="s">
        <v>1914</v>
      </c>
      <c r="AU43" s="36" t="s">
        <v>1766</v>
      </c>
      <c r="AV43" s="29" t="s">
        <v>1778</v>
      </c>
      <c r="AW43" s="37" t="s">
        <v>1720</v>
      </c>
      <c r="AX43" s="205"/>
      <c r="AY43" s="205"/>
      <c r="AZ43" s="204"/>
      <c r="BA43" s="88"/>
      <c r="BB43" s="88"/>
      <c r="BC43" s="37"/>
      <c r="BE43" s="69"/>
    </row>
    <row r="44" spans="1:57" ht="89.25" hidden="1" x14ac:dyDescent="0.25">
      <c r="A44"/>
      <c r="B44" s="51">
        <f>ROW('Initial Search'!130:130)</f>
        <v>130</v>
      </c>
      <c r="C44" s="46" t="str">
        <f>'Initial Search'!D130</f>
        <v>A semantically rich approach for collaborative model edition</v>
      </c>
      <c r="D44" s="49">
        <f>'Initial Search'!C130</f>
        <v>2011</v>
      </c>
      <c r="E44" s="49" t="str">
        <f>'Initial Search'!O130</f>
        <v>D-PRAXIS</v>
      </c>
      <c r="F44" s="40" t="str">
        <f>'Initial Search'!M130</f>
        <v>Accepted</v>
      </c>
      <c r="G44" s="44" t="str">
        <f>'Initial Search'!N130</f>
        <v>Disapproved</v>
      </c>
      <c r="H44" s="39"/>
      <c r="I44" s="29" t="s">
        <v>1623</v>
      </c>
      <c r="J44" s="29" t="s">
        <v>1623</v>
      </c>
      <c r="K44" s="29"/>
      <c r="L44" s="53"/>
      <c r="M44" s="37" t="s">
        <v>1916</v>
      </c>
      <c r="N44" s="36"/>
      <c r="O44" s="29" t="s">
        <v>1624</v>
      </c>
      <c r="P44" s="29"/>
      <c r="Q44" s="29"/>
      <c r="R44" s="29"/>
      <c r="S44" s="29"/>
      <c r="T44" s="37" t="s">
        <v>1924</v>
      </c>
      <c r="U44" s="39" t="s">
        <v>1928</v>
      </c>
      <c r="V44" s="39"/>
      <c r="W44" s="39"/>
      <c r="X44" s="53" t="s">
        <v>1710</v>
      </c>
      <c r="Y44" s="53"/>
      <c r="Z44" s="29" t="s">
        <v>1686</v>
      </c>
      <c r="AA44" s="29" t="s">
        <v>1723</v>
      </c>
      <c r="AB44" s="29" t="s">
        <v>1785</v>
      </c>
      <c r="AC44" s="29" t="s">
        <v>1698</v>
      </c>
      <c r="AD44" s="37" t="s">
        <v>1923</v>
      </c>
      <c r="AE44" s="36" t="s">
        <v>1778</v>
      </c>
      <c r="AF44" s="37"/>
      <c r="AG44" s="36" t="s">
        <v>1778</v>
      </c>
      <c r="AH44" s="37"/>
      <c r="AI44" s="39" t="s">
        <v>1927</v>
      </c>
      <c r="AJ44" s="37" t="s">
        <v>1926</v>
      </c>
      <c r="AK44" s="96"/>
      <c r="AL44" s="36" t="s">
        <v>2260</v>
      </c>
      <c r="AM44" s="37" t="s">
        <v>1925</v>
      </c>
      <c r="AN44" s="39" t="s">
        <v>1778</v>
      </c>
      <c r="AO44" s="37"/>
      <c r="AP44" s="36" t="s">
        <v>1778</v>
      </c>
      <c r="AQ44" s="37"/>
      <c r="AR44" s="39" t="s">
        <v>1743</v>
      </c>
      <c r="AS44" s="29" t="s">
        <v>1693</v>
      </c>
      <c r="AT44" s="37" t="s">
        <v>1922</v>
      </c>
      <c r="AU44" s="36" t="s">
        <v>1766</v>
      </c>
      <c r="AV44" s="29" t="s">
        <v>1778</v>
      </c>
      <c r="AW44" s="37"/>
      <c r="AX44" s="205"/>
      <c r="AY44" s="205"/>
      <c r="AZ44" s="204"/>
      <c r="BA44" s="88"/>
      <c r="BB44" s="88"/>
      <c r="BC44" s="37"/>
      <c r="BE44" s="69"/>
    </row>
    <row r="45" spans="1:57" ht="102" x14ac:dyDescent="0.25">
      <c r="A45" s="149">
        <v>13</v>
      </c>
      <c r="B45" s="51">
        <f>ROW('Initial Search'!261:261)</f>
        <v>261</v>
      </c>
      <c r="C45" s="46" t="str">
        <f>'Initial Search'!D261</f>
        <v>D-Praxis : A Peer-to-Peer Collaborative Model Editing Framework</v>
      </c>
      <c r="D45" s="49">
        <f>'Initial Search'!C261</f>
        <v>2009</v>
      </c>
      <c r="E45" s="49" t="str">
        <f>'Initial Search'!O261</f>
        <v>D-PRAXIS</v>
      </c>
      <c r="F45" s="40" t="str">
        <f>'Initial Search'!M261</f>
        <v>Accepted</v>
      </c>
      <c r="G45" s="44" t="str">
        <f>'Initial Search'!N261</f>
        <v>Approved</v>
      </c>
      <c r="H45" s="39"/>
      <c r="I45" s="29" t="s">
        <v>1623</v>
      </c>
      <c r="J45" s="29" t="s">
        <v>1623</v>
      </c>
      <c r="K45" s="29"/>
      <c r="L45" s="53"/>
      <c r="M45" s="37" t="s">
        <v>1846</v>
      </c>
      <c r="N45" s="36"/>
      <c r="O45" s="29" t="s">
        <v>1623</v>
      </c>
      <c r="P45" s="29"/>
      <c r="Q45" s="29"/>
      <c r="R45" s="29"/>
      <c r="S45" s="29"/>
      <c r="T45" s="37" t="s">
        <v>1934</v>
      </c>
      <c r="U45" s="39" t="s">
        <v>1929</v>
      </c>
      <c r="V45" s="39"/>
      <c r="W45" s="39"/>
      <c r="X45" s="53" t="s">
        <v>1710</v>
      </c>
      <c r="Y45" s="42" t="s">
        <v>2258</v>
      </c>
      <c r="Z45" s="29" t="s">
        <v>1686</v>
      </c>
      <c r="AA45" s="29" t="s">
        <v>1723</v>
      </c>
      <c r="AB45" s="29" t="s">
        <v>1785</v>
      </c>
      <c r="AC45" s="29" t="s">
        <v>1698</v>
      </c>
      <c r="AD45" s="37" t="s">
        <v>1931</v>
      </c>
      <c r="AE45" s="36" t="s">
        <v>3763</v>
      </c>
      <c r="AF45" s="37" t="s">
        <v>3774</v>
      </c>
      <c r="AG45" s="36" t="s">
        <v>1778</v>
      </c>
      <c r="AH45" s="37"/>
      <c r="AI45" s="36" t="s">
        <v>3561</v>
      </c>
      <c r="AJ45" s="37" t="s">
        <v>1930</v>
      </c>
      <c r="AK45" s="96"/>
      <c r="AL45" s="36" t="s">
        <v>2260</v>
      </c>
      <c r="AM45" s="37" t="s">
        <v>1933</v>
      </c>
      <c r="AN45" s="36" t="s">
        <v>1778</v>
      </c>
      <c r="AO45" s="37"/>
      <c r="AP45" s="36" t="s">
        <v>1778</v>
      </c>
      <c r="AQ45" s="37"/>
      <c r="AR45" s="39" t="s">
        <v>1755</v>
      </c>
      <c r="AS45" s="29" t="s">
        <v>1693</v>
      </c>
      <c r="AT45" s="37" t="s">
        <v>1932</v>
      </c>
      <c r="AU45" s="36" t="s">
        <v>1766</v>
      </c>
      <c r="AV45" s="29" t="s">
        <v>1778</v>
      </c>
      <c r="AW45" s="37"/>
      <c r="AX45" s="39" t="s">
        <v>2851</v>
      </c>
      <c r="AY45" s="205"/>
      <c r="AZ45" s="53" t="s">
        <v>2851</v>
      </c>
      <c r="BA45" s="88"/>
      <c r="BB45" s="224" t="s">
        <v>2851</v>
      </c>
      <c r="BC45" s="37"/>
      <c r="BE45" s="69"/>
    </row>
    <row r="46" spans="1:57" ht="76.5" x14ac:dyDescent="0.25">
      <c r="A46" s="149">
        <v>14</v>
      </c>
      <c r="B46" s="51">
        <f>ROW('Initial Search'!20:20)</f>
        <v>20</v>
      </c>
      <c r="C46" s="46" t="str">
        <f>'Initial Search'!D20</f>
        <v>A UML profile for modeling the conflicts in model merging</v>
      </c>
      <c r="D46" s="49">
        <f>'Initial Search'!C20</f>
        <v>2017</v>
      </c>
      <c r="E46" s="49" t="str">
        <f>'Initial Search'!O20</f>
        <v>Conflict UML Profile</v>
      </c>
      <c r="F46" s="40" t="str">
        <f>'Initial Search'!M20</f>
        <v>Accepted</v>
      </c>
      <c r="G46" s="44" t="str">
        <f>'Initial Search'!N20</f>
        <v>Approved</v>
      </c>
      <c r="H46" s="39"/>
      <c r="I46" s="29" t="s">
        <v>1623</v>
      </c>
      <c r="J46" s="29" t="s">
        <v>1623</v>
      </c>
      <c r="K46" s="29"/>
      <c r="L46" s="53"/>
      <c r="M46" s="37" t="s">
        <v>2535</v>
      </c>
      <c r="N46" s="36"/>
      <c r="O46" s="29" t="s">
        <v>1623</v>
      </c>
      <c r="P46" s="29" t="s">
        <v>1623</v>
      </c>
      <c r="Q46" s="29" t="s">
        <v>1623</v>
      </c>
      <c r="R46" s="29"/>
      <c r="S46" s="29" t="s">
        <v>1623</v>
      </c>
      <c r="T46" s="37"/>
      <c r="U46" s="39" t="s">
        <v>1937</v>
      </c>
      <c r="V46" s="39"/>
      <c r="W46" s="39"/>
      <c r="X46" s="29" t="s">
        <v>1915</v>
      </c>
      <c r="Y46" s="42" t="s">
        <v>2258</v>
      </c>
      <c r="Z46" s="29" t="s">
        <v>1687</v>
      </c>
      <c r="AA46" s="29" t="s">
        <v>1877</v>
      </c>
      <c r="AB46" s="29" t="s">
        <v>1863</v>
      </c>
      <c r="AC46" s="29" t="s">
        <v>1699</v>
      </c>
      <c r="AD46" s="37" t="s">
        <v>1938</v>
      </c>
      <c r="AE46" s="36" t="s">
        <v>1939</v>
      </c>
      <c r="AF46" s="37" t="s">
        <v>1936</v>
      </c>
      <c r="AG46" s="36" t="s">
        <v>1778</v>
      </c>
      <c r="AH46" s="37"/>
      <c r="AI46" s="36" t="s">
        <v>1778</v>
      </c>
      <c r="AJ46" s="37"/>
      <c r="AK46" s="96"/>
      <c r="AL46" s="36" t="s">
        <v>1778</v>
      </c>
      <c r="AM46" s="37"/>
      <c r="AN46" s="41" t="s">
        <v>1778</v>
      </c>
      <c r="AO46" s="37"/>
      <c r="AP46" s="36" t="s">
        <v>1778</v>
      </c>
      <c r="AQ46" s="37"/>
      <c r="AR46" s="39" t="s">
        <v>1743</v>
      </c>
      <c r="AS46" s="29" t="s">
        <v>1693</v>
      </c>
      <c r="AT46" s="37" t="s">
        <v>1936</v>
      </c>
      <c r="AU46" s="36" t="s">
        <v>1766</v>
      </c>
      <c r="AV46" s="29" t="s">
        <v>1682</v>
      </c>
      <c r="AW46" s="37" t="s">
        <v>1680</v>
      </c>
      <c r="AX46" s="39" t="s">
        <v>2851</v>
      </c>
      <c r="AY46" s="205"/>
      <c r="AZ46" s="53" t="s">
        <v>2851</v>
      </c>
      <c r="BA46" s="88"/>
      <c r="BB46" s="224" t="s">
        <v>3032</v>
      </c>
      <c r="BC46" s="37" t="s">
        <v>2893</v>
      </c>
      <c r="BE46" s="69"/>
    </row>
    <row r="47" spans="1:57" ht="102" x14ac:dyDescent="0.25">
      <c r="A47" s="148">
        <v>15</v>
      </c>
      <c r="B47" s="51">
        <f>ROW('Initial Search'!205:205)</f>
        <v>205</v>
      </c>
      <c r="C47" s="46" t="str">
        <f>'Initial Search'!D205</f>
        <v>Configurable three‐way model merging</v>
      </c>
      <c r="D47" s="49">
        <f>'Initial Search'!C205</f>
        <v>2020</v>
      </c>
      <c r="E47" s="49" t="str">
        <f>'Initial Search'!O205</f>
        <v>E3MP</v>
      </c>
      <c r="F47" s="40" t="str">
        <f>'Initial Search'!M205</f>
        <v>Accepted</v>
      </c>
      <c r="G47" s="44" t="str">
        <f>'Initial Search'!N205</f>
        <v>Approved</v>
      </c>
      <c r="H47" s="39"/>
      <c r="I47" s="29" t="s">
        <v>1623</v>
      </c>
      <c r="J47" s="29" t="s">
        <v>1623</v>
      </c>
      <c r="K47" s="29"/>
      <c r="L47" s="53"/>
      <c r="M47" s="37"/>
      <c r="N47" s="36"/>
      <c r="O47" s="29" t="s">
        <v>1623</v>
      </c>
      <c r="P47" s="29"/>
      <c r="Q47" s="29" t="s">
        <v>1623</v>
      </c>
      <c r="R47" s="29"/>
      <c r="S47" s="29" t="s">
        <v>1623</v>
      </c>
      <c r="T47" s="37"/>
      <c r="U47" s="39" t="s">
        <v>1940</v>
      </c>
      <c r="V47" s="39"/>
      <c r="W47" s="39"/>
      <c r="X47" s="29" t="s">
        <v>1915</v>
      </c>
      <c r="Y47" s="42" t="s">
        <v>2258</v>
      </c>
      <c r="Z47" s="29" t="s">
        <v>1686</v>
      </c>
      <c r="AA47" s="29" t="s">
        <v>1877</v>
      </c>
      <c r="AB47" s="53" t="s">
        <v>1941</v>
      </c>
      <c r="AC47" s="29" t="s">
        <v>1699</v>
      </c>
      <c r="AD47" s="37"/>
      <c r="AE47" s="36" t="s">
        <v>2575</v>
      </c>
      <c r="AF47" s="37" t="s">
        <v>2576</v>
      </c>
      <c r="AG47" s="39" t="s">
        <v>3491</v>
      </c>
      <c r="AH47" s="37" t="s">
        <v>3492</v>
      </c>
      <c r="AI47" s="39" t="s">
        <v>2091</v>
      </c>
      <c r="AJ47" s="37"/>
      <c r="AK47" s="96"/>
      <c r="AL47" s="36" t="s">
        <v>1792</v>
      </c>
      <c r="AM47" s="37" t="s">
        <v>1946</v>
      </c>
      <c r="AN47" s="36" t="s">
        <v>1778</v>
      </c>
      <c r="AO47" s="37"/>
      <c r="AP47" s="36" t="s">
        <v>1801</v>
      </c>
      <c r="AQ47" s="37"/>
      <c r="AR47" s="39" t="s">
        <v>1743</v>
      </c>
      <c r="AS47" s="29" t="s">
        <v>1693</v>
      </c>
      <c r="AT47" s="37" t="s">
        <v>1942</v>
      </c>
      <c r="AU47" s="36" t="s">
        <v>1766</v>
      </c>
      <c r="AV47" s="29" t="s">
        <v>1677</v>
      </c>
      <c r="AW47" s="37" t="s">
        <v>1680</v>
      </c>
      <c r="AX47" s="39" t="s">
        <v>2851</v>
      </c>
      <c r="AY47" s="205"/>
      <c r="AZ47" s="53" t="s">
        <v>2851</v>
      </c>
      <c r="BA47" s="88"/>
      <c r="BB47" s="224" t="s">
        <v>3031</v>
      </c>
      <c r="BC47" s="37" t="s">
        <v>3746</v>
      </c>
      <c r="BE47" s="69"/>
    </row>
    <row r="48" spans="1:57" ht="63.75" hidden="1" x14ac:dyDescent="0.25">
      <c r="A48"/>
      <c r="B48" s="51">
        <f>ROW('Initial Search'!21:21)</f>
        <v>21</v>
      </c>
      <c r="C48" s="46" t="str">
        <f>'Initial Search'!D21</f>
        <v>Merging of Use Case Models: Semantic Foundations</v>
      </c>
      <c r="D48" s="49">
        <f>'Initial Search'!C21</f>
        <v>2009</v>
      </c>
      <c r="E48" s="49" t="str">
        <f>'Initial Search'!O21</f>
        <v>Mirador</v>
      </c>
      <c r="F48" s="40" t="str">
        <f>'Initial Search'!M21</f>
        <v>Rejected</v>
      </c>
      <c r="G48" s="44">
        <f>'Initial Search'!N45</f>
        <v>0</v>
      </c>
      <c r="H48" s="39"/>
      <c r="I48" s="29" t="s">
        <v>1949</v>
      </c>
      <c r="J48" s="29"/>
      <c r="K48" s="29"/>
      <c r="L48" s="53"/>
      <c r="M48" s="37" t="s">
        <v>1950</v>
      </c>
      <c r="N48" s="36"/>
      <c r="O48" s="29" t="s">
        <v>1623</v>
      </c>
      <c r="P48" s="29"/>
      <c r="Q48" s="29"/>
      <c r="R48" s="29"/>
      <c r="S48" s="29"/>
      <c r="T48" s="37" t="s">
        <v>1951</v>
      </c>
      <c r="U48" s="39" t="s">
        <v>1943</v>
      </c>
      <c r="V48" s="39"/>
      <c r="W48" s="39"/>
      <c r="X48" s="29" t="s">
        <v>1915</v>
      </c>
      <c r="Y48" s="29"/>
      <c r="Z48" s="29" t="s">
        <v>1686</v>
      </c>
      <c r="AA48" s="29" t="s">
        <v>1723</v>
      </c>
      <c r="AB48" s="29" t="s">
        <v>1712</v>
      </c>
      <c r="AC48" s="29" t="s">
        <v>1699</v>
      </c>
      <c r="AD48" s="37" t="s">
        <v>1944</v>
      </c>
      <c r="AE48" s="36" t="s">
        <v>1778</v>
      </c>
      <c r="AF48" s="37"/>
      <c r="AG48" s="36" t="s">
        <v>1778</v>
      </c>
      <c r="AH48" s="37"/>
      <c r="AI48" s="39" t="s">
        <v>1952</v>
      </c>
      <c r="AJ48" s="37" t="s">
        <v>1945</v>
      </c>
      <c r="AK48" s="83"/>
      <c r="AL48" s="36" t="s">
        <v>1792</v>
      </c>
      <c r="AM48" s="37" t="s">
        <v>1947</v>
      </c>
      <c r="AN48" s="39"/>
      <c r="AO48" s="83"/>
      <c r="AP48" s="36" t="s">
        <v>1778</v>
      </c>
      <c r="AQ48" s="37"/>
      <c r="AR48" s="39" t="s">
        <v>1755</v>
      </c>
      <c r="AS48" s="29" t="s">
        <v>1693</v>
      </c>
      <c r="AT48" s="37"/>
      <c r="AU48" s="36" t="s">
        <v>1766</v>
      </c>
      <c r="AV48" s="29"/>
      <c r="AW48" s="37" t="s">
        <v>1720</v>
      </c>
      <c r="AX48" s="205"/>
      <c r="AY48" s="205"/>
      <c r="AZ48" s="204"/>
      <c r="BA48" s="88"/>
      <c r="BB48" s="88"/>
      <c r="BC48" s="37"/>
      <c r="BE48" s="69"/>
    </row>
    <row r="49" spans="1:57" ht="38.25" hidden="1" x14ac:dyDescent="0.25">
      <c r="A49"/>
      <c r="B49" s="51">
        <f>ROW('Initial Search'!109:109)</f>
        <v>109</v>
      </c>
      <c r="C49" s="46" t="str">
        <f>'Initial Search'!D109</f>
        <v>Mirador: a synthesis of model matching strategies</v>
      </c>
      <c r="D49" s="49">
        <f>'Initial Search'!C109</f>
        <v>2010</v>
      </c>
      <c r="E49" s="49" t="str">
        <f>'Initial Search'!O109</f>
        <v>Mirador</v>
      </c>
      <c r="F49" s="40" t="str">
        <f>'Initial Search'!M109</f>
        <v>Rejected</v>
      </c>
      <c r="G49" s="44">
        <f>'Initial Search'!N46</f>
        <v>0</v>
      </c>
      <c r="H49" s="36"/>
      <c r="I49" s="29" t="s">
        <v>1623</v>
      </c>
      <c r="J49" s="29" t="s">
        <v>1623</v>
      </c>
      <c r="K49" s="29"/>
      <c r="L49" s="53"/>
      <c r="M49" s="37"/>
      <c r="N49" s="36"/>
      <c r="O49" s="29" t="s">
        <v>1624</v>
      </c>
      <c r="P49" s="29"/>
      <c r="Q49" s="29"/>
      <c r="R49" s="29"/>
      <c r="S49" s="29"/>
      <c r="T49" s="37"/>
      <c r="U49" s="39" t="s">
        <v>1953</v>
      </c>
      <c r="V49" s="39"/>
      <c r="W49" s="39"/>
      <c r="X49" s="29" t="s">
        <v>1915</v>
      </c>
      <c r="Y49" s="29"/>
      <c r="Z49" s="29" t="s">
        <v>1686</v>
      </c>
      <c r="AA49" s="29" t="s">
        <v>1723</v>
      </c>
      <c r="AB49" s="53" t="s">
        <v>1954</v>
      </c>
      <c r="AC49" s="29" t="s">
        <v>1699</v>
      </c>
      <c r="AD49" s="37"/>
      <c r="AE49" s="36"/>
      <c r="AF49" s="37"/>
      <c r="AG49" s="36" t="s">
        <v>3121</v>
      </c>
      <c r="AH49" s="37"/>
      <c r="AI49" s="36" t="s">
        <v>1778</v>
      </c>
      <c r="AJ49" s="37"/>
      <c r="AK49" s="83"/>
      <c r="AL49" s="36" t="s">
        <v>1778</v>
      </c>
      <c r="AM49" s="37"/>
      <c r="AN49" s="39"/>
      <c r="AO49" s="83"/>
      <c r="AP49" s="36" t="s">
        <v>1778</v>
      </c>
      <c r="AQ49" s="37"/>
      <c r="AR49" s="39" t="s">
        <v>1743</v>
      </c>
      <c r="AS49" s="29" t="s">
        <v>1693</v>
      </c>
      <c r="AT49" s="37"/>
      <c r="AU49" s="36" t="s">
        <v>1766</v>
      </c>
      <c r="AV49" s="29"/>
      <c r="AW49" s="37" t="s">
        <v>1720</v>
      </c>
      <c r="AX49" s="205"/>
      <c r="AY49" s="205"/>
      <c r="AZ49" s="204"/>
      <c r="BA49" s="88"/>
      <c r="BB49" s="88"/>
      <c r="BC49" s="37"/>
      <c r="BE49" s="69"/>
    </row>
    <row r="50" spans="1:57" ht="76.5" x14ac:dyDescent="0.25">
      <c r="A50" s="148">
        <v>16</v>
      </c>
      <c r="B50" s="51">
        <f>ROW('Initial Search'!220:220)</f>
        <v>220</v>
      </c>
      <c r="C50" s="46" t="str">
        <f>'Initial Search'!D220</f>
        <v>Table-Driven Detection and Resolution of Operation-Based Merge Conflicts with Mirador</v>
      </c>
      <c r="D50" s="49">
        <f>'Initial Search'!C109</f>
        <v>2010</v>
      </c>
      <c r="E50" s="49" t="str">
        <f>'Initial Search'!O109</f>
        <v>Mirador</v>
      </c>
      <c r="F50" s="40" t="str">
        <f>'Initial Search'!M220</f>
        <v>Accepted</v>
      </c>
      <c r="G50" s="44" t="str">
        <f>'Initial Search'!N220</f>
        <v>Approved</v>
      </c>
      <c r="H50" s="36"/>
      <c r="I50" s="29"/>
      <c r="J50" s="29" t="s">
        <v>1623</v>
      </c>
      <c r="K50" s="29"/>
      <c r="L50" s="53" t="s">
        <v>1961</v>
      </c>
      <c r="M50" s="37" t="s">
        <v>1962</v>
      </c>
      <c r="N50" s="36"/>
      <c r="O50" s="29" t="s">
        <v>1623</v>
      </c>
      <c r="P50" s="29" t="s">
        <v>1623</v>
      </c>
      <c r="Q50" s="29" t="s">
        <v>1623</v>
      </c>
      <c r="R50" s="29"/>
      <c r="S50" s="29"/>
      <c r="T50" s="37"/>
      <c r="U50" s="39" t="s">
        <v>1958</v>
      </c>
      <c r="V50" s="39"/>
      <c r="W50" s="39"/>
      <c r="X50" s="29" t="s">
        <v>1915</v>
      </c>
      <c r="Y50" s="42" t="s">
        <v>2258</v>
      </c>
      <c r="Z50" s="29" t="s">
        <v>1686</v>
      </c>
      <c r="AA50" s="29" t="s">
        <v>1959</v>
      </c>
      <c r="AB50" s="53" t="s">
        <v>1954</v>
      </c>
      <c r="AC50" s="29" t="s">
        <v>1699</v>
      </c>
      <c r="AD50" s="37"/>
      <c r="AE50" s="36" t="s">
        <v>1976</v>
      </c>
      <c r="AF50" s="37" t="s">
        <v>3798</v>
      </c>
      <c r="AG50" s="36" t="s">
        <v>1778</v>
      </c>
      <c r="AH50" s="37"/>
      <c r="AI50" s="39" t="s">
        <v>2600</v>
      </c>
      <c r="AJ50" s="37" t="s">
        <v>2599</v>
      </c>
      <c r="AK50" s="96"/>
      <c r="AL50" s="36" t="s">
        <v>1792</v>
      </c>
      <c r="AM50" s="37" t="s">
        <v>1960</v>
      </c>
      <c r="AN50" s="39" t="s">
        <v>1778</v>
      </c>
      <c r="AO50" s="37"/>
      <c r="AP50" s="39" t="s">
        <v>2676</v>
      </c>
      <c r="AQ50" s="37"/>
      <c r="AR50" s="39" t="s">
        <v>1743</v>
      </c>
      <c r="AS50" s="29" t="s">
        <v>1693</v>
      </c>
      <c r="AT50" s="37"/>
      <c r="AU50" s="36" t="s">
        <v>1766</v>
      </c>
      <c r="AV50" s="29" t="s">
        <v>1963</v>
      </c>
      <c r="AW50" s="37" t="s">
        <v>1720</v>
      </c>
      <c r="AX50" s="39" t="s">
        <v>2851</v>
      </c>
      <c r="AY50" s="205"/>
      <c r="AZ50" s="53" t="s">
        <v>2851</v>
      </c>
      <c r="BA50" s="88"/>
      <c r="BB50" s="224" t="s">
        <v>3035</v>
      </c>
      <c r="BC50" s="37" t="s">
        <v>2894</v>
      </c>
      <c r="BE50" s="69"/>
    </row>
    <row r="51" spans="1:57" ht="127.5" hidden="1" x14ac:dyDescent="0.25">
      <c r="A51"/>
      <c r="B51" s="51">
        <f>ROW('Initial Search'!27:27)</f>
        <v>27</v>
      </c>
      <c r="C51" s="46" t="str">
        <f>'Initial Search'!D27</f>
        <v>A Model for the Integration of Prioritized Knowledge Bases Through Subjective Belief Games</v>
      </c>
      <c r="D51" s="49">
        <f>'Initial Search'!C27</f>
        <v>2010</v>
      </c>
      <c r="E51" s="49" t="str">
        <f>'Initial Search'!O27</f>
        <v>Belief Games</v>
      </c>
      <c r="F51" s="40" t="str">
        <f>'Initial Search'!M27</f>
        <v>Rejected</v>
      </c>
      <c r="G51" s="44">
        <f>'Initial Search'!N48</f>
        <v>0</v>
      </c>
      <c r="H51" s="36"/>
      <c r="I51" s="29" t="s">
        <v>1623</v>
      </c>
      <c r="J51" s="29"/>
      <c r="K51" s="29"/>
      <c r="L51" s="53"/>
      <c r="M51" s="37"/>
      <c r="N51" s="36"/>
      <c r="O51" s="29"/>
      <c r="P51" s="29"/>
      <c r="Q51" s="29"/>
      <c r="R51" s="29"/>
      <c r="S51" s="29"/>
      <c r="T51" s="37"/>
      <c r="U51" s="39" t="s">
        <v>1964</v>
      </c>
      <c r="V51" s="39"/>
      <c r="W51" s="39"/>
      <c r="X51" s="29" t="s">
        <v>1915</v>
      </c>
      <c r="Y51" s="29"/>
      <c r="Z51" s="29" t="s">
        <v>1686</v>
      </c>
      <c r="AA51" s="29" t="s">
        <v>1778</v>
      </c>
      <c r="AB51" s="29" t="s">
        <v>1778</v>
      </c>
      <c r="AC51" s="29" t="s">
        <v>2004</v>
      </c>
      <c r="AD51" s="37" t="s">
        <v>1965</v>
      </c>
      <c r="AE51" s="36" t="s">
        <v>1778</v>
      </c>
      <c r="AF51" s="37"/>
      <c r="AG51" s="39" t="s">
        <v>1966</v>
      </c>
      <c r="AH51" s="37" t="s">
        <v>1967</v>
      </c>
      <c r="AI51" s="36" t="s">
        <v>1778</v>
      </c>
      <c r="AJ51" s="37"/>
      <c r="AK51" s="83"/>
      <c r="AL51" s="36" t="s">
        <v>1778</v>
      </c>
      <c r="AM51" s="37"/>
      <c r="AN51" s="36"/>
      <c r="AO51" s="83"/>
      <c r="AP51" s="36" t="s">
        <v>1778</v>
      </c>
      <c r="AQ51" s="37"/>
      <c r="AR51" s="39" t="s">
        <v>1778</v>
      </c>
      <c r="AS51" s="29"/>
      <c r="AT51" s="37"/>
      <c r="AU51" s="36" t="s">
        <v>1778</v>
      </c>
      <c r="AV51" s="29"/>
      <c r="AW51" s="37"/>
      <c r="AX51" s="205"/>
      <c r="AY51" s="205"/>
      <c r="AZ51" s="204"/>
      <c r="BA51" s="88"/>
      <c r="BB51" s="88"/>
      <c r="BC51" s="37"/>
      <c r="BE51" s="69"/>
    </row>
    <row r="52" spans="1:57" ht="38.25" hidden="1" x14ac:dyDescent="0.25">
      <c r="A52"/>
      <c r="B52" s="51">
        <f>ROW('Initial Search'!232:232)</f>
        <v>232</v>
      </c>
      <c r="C52" s="46" t="str">
        <f>'Initial Search'!D233</f>
        <v>An exploratory classification of applications in the realm of collaborative modeling and design</v>
      </c>
      <c r="D52" s="49">
        <f>'Initial Search'!C233</f>
        <v>2010</v>
      </c>
      <c r="E52" s="49" t="str">
        <f>'Initial Search'!O233</f>
        <v>Classifiction</v>
      </c>
      <c r="F52" s="40" t="str">
        <f>'Initial Search'!M233</f>
        <v>Rejected</v>
      </c>
      <c r="G52" s="44">
        <f>'Initial Search'!N49</f>
        <v>0</v>
      </c>
      <c r="H52" s="36"/>
      <c r="I52" s="29"/>
      <c r="J52" s="29"/>
      <c r="K52" s="29"/>
      <c r="L52" s="53"/>
      <c r="M52" s="37"/>
      <c r="N52" s="36"/>
      <c r="O52" s="29"/>
      <c r="P52" s="29"/>
      <c r="Q52" s="29"/>
      <c r="R52" s="29"/>
      <c r="S52" s="29"/>
      <c r="T52" s="37"/>
      <c r="U52" s="39" t="s">
        <v>1778</v>
      </c>
      <c r="V52" s="39"/>
      <c r="W52" s="39"/>
      <c r="X52" s="29" t="s">
        <v>1778</v>
      </c>
      <c r="Y52" s="29"/>
      <c r="Z52" s="29" t="s">
        <v>1778</v>
      </c>
      <c r="AA52" s="29" t="s">
        <v>1778</v>
      </c>
      <c r="AB52" s="29" t="s">
        <v>1778</v>
      </c>
      <c r="AC52" s="29" t="s">
        <v>1778</v>
      </c>
      <c r="AD52" s="37" t="s">
        <v>1970</v>
      </c>
      <c r="AE52" s="36"/>
      <c r="AF52" s="37"/>
      <c r="AG52" s="36"/>
      <c r="AH52" s="37"/>
      <c r="AI52" s="36" t="s">
        <v>1778</v>
      </c>
      <c r="AJ52" s="37"/>
      <c r="AK52" s="83"/>
      <c r="AL52" s="36" t="s">
        <v>1778</v>
      </c>
      <c r="AM52" s="37"/>
      <c r="AN52" s="41"/>
      <c r="AO52" s="83"/>
      <c r="AP52" s="36"/>
      <c r="AQ52" s="37"/>
      <c r="AR52" s="39"/>
      <c r="AS52" s="29"/>
      <c r="AT52" s="37"/>
      <c r="AU52" s="36"/>
      <c r="AV52" s="29"/>
      <c r="AW52" s="37"/>
      <c r="AX52" s="205"/>
      <c r="AY52" s="205"/>
      <c r="AZ52" s="204"/>
      <c r="BA52" s="88"/>
      <c r="BB52" s="88"/>
      <c r="BC52" s="37"/>
      <c r="BE52" s="69"/>
    </row>
    <row r="53" spans="1:57" ht="30" hidden="1" x14ac:dyDescent="0.25">
      <c r="A53"/>
      <c r="B53" s="51">
        <f>ROW('Initial Search'!38:38)</f>
        <v>38</v>
      </c>
      <c r="C53" s="46" t="str">
        <f>'Initial Search'!D38</f>
        <v>Analyzing semantic relationships between multiformalism models for inconsistency management</v>
      </c>
      <c r="D53" s="49">
        <f>'Initial Search'!C38</f>
        <v>2015</v>
      </c>
      <c r="E53" s="49" t="str">
        <f>'Initial Search'!O38</f>
        <v>Qamar et al.</v>
      </c>
      <c r="F53" s="40" t="str">
        <f>'Initial Search'!M38</f>
        <v>Rejected</v>
      </c>
      <c r="G53" s="44">
        <f>'Initial Search'!N50</f>
        <v>0</v>
      </c>
      <c r="H53" s="36"/>
      <c r="I53" s="29"/>
      <c r="J53" s="29"/>
      <c r="K53" s="29"/>
      <c r="L53" s="53" t="s">
        <v>1971</v>
      </c>
      <c r="M53" s="37"/>
      <c r="N53" s="36"/>
      <c r="O53" s="29"/>
      <c r="P53" s="29"/>
      <c r="Q53" s="29"/>
      <c r="R53" s="29"/>
      <c r="S53" s="29"/>
      <c r="T53" s="37"/>
      <c r="U53" s="39" t="s">
        <v>1778</v>
      </c>
      <c r="V53" s="39"/>
      <c r="W53" s="39"/>
      <c r="X53" s="29" t="s">
        <v>1778</v>
      </c>
      <c r="Y53" s="29"/>
      <c r="Z53" s="29" t="s">
        <v>1778</v>
      </c>
      <c r="AA53" s="29" t="s">
        <v>1778</v>
      </c>
      <c r="AB53" s="29" t="s">
        <v>1778</v>
      </c>
      <c r="AC53" s="29" t="s">
        <v>1778</v>
      </c>
      <c r="AD53" s="37"/>
      <c r="AE53" s="36"/>
      <c r="AF53" s="37"/>
      <c r="AG53" s="36"/>
      <c r="AH53" s="37"/>
      <c r="AI53" s="36" t="s">
        <v>1778</v>
      </c>
      <c r="AJ53" s="37"/>
      <c r="AK53" s="83"/>
      <c r="AL53" s="36" t="s">
        <v>1778</v>
      </c>
      <c r="AM53" s="37"/>
      <c r="AN53" s="36"/>
      <c r="AO53" s="83"/>
      <c r="AP53" s="36"/>
      <c r="AQ53" s="37"/>
      <c r="AR53" s="39"/>
      <c r="AS53" s="29"/>
      <c r="AT53" s="37"/>
      <c r="AU53" s="36"/>
      <c r="AV53" s="29"/>
      <c r="AW53" s="37"/>
      <c r="AX53" s="205"/>
      <c r="AY53" s="205"/>
      <c r="AZ53" s="204"/>
      <c r="BA53" s="88"/>
      <c r="BB53" s="88"/>
      <c r="BC53" s="37"/>
      <c r="BE53" s="69"/>
    </row>
    <row r="54" spans="1:57" ht="76.5" x14ac:dyDescent="0.25">
      <c r="A54" s="148">
        <v>17</v>
      </c>
      <c r="B54" s="51">
        <f>ROW('Initial Search'!39:39)</f>
        <v>39</v>
      </c>
      <c r="C54" s="46" t="str">
        <f>'Initial Search'!D39</f>
        <v>Managing Model Conflicts in Collaborative Modeling Using Constraint Programming</v>
      </c>
      <c r="D54" s="49">
        <f>'Initial Search'!C39</f>
        <v>2018</v>
      </c>
      <c r="E54" s="49" t="str">
        <f>'Initial Search'!O39</f>
        <v>CSP</v>
      </c>
      <c r="F54" s="40" t="str">
        <f>'Initial Search'!M39</f>
        <v>Accepted</v>
      </c>
      <c r="G54" s="44" t="str">
        <f>'Initial Search'!N39</f>
        <v>Approved</v>
      </c>
      <c r="H54" s="36"/>
      <c r="I54" s="42" t="s">
        <v>1623</v>
      </c>
      <c r="J54" s="29"/>
      <c r="K54" s="29"/>
      <c r="L54" s="53"/>
      <c r="M54" s="37" t="s">
        <v>1973</v>
      </c>
      <c r="N54" s="36"/>
      <c r="O54" s="29" t="s">
        <v>1623</v>
      </c>
      <c r="P54" s="29" t="s">
        <v>1623</v>
      </c>
      <c r="Q54" s="29"/>
      <c r="R54" s="29"/>
      <c r="S54" s="29"/>
      <c r="T54" s="37"/>
      <c r="U54" s="39" t="s">
        <v>1981</v>
      </c>
      <c r="V54" s="39"/>
      <c r="W54" s="39"/>
      <c r="X54" s="29" t="s">
        <v>1915</v>
      </c>
      <c r="Y54" s="42" t="s">
        <v>2258</v>
      </c>
      <c r="Z54" s="29" t="s">
        <v>1686</v>
      </c>
      <c r="AA54" s="29" t="s">
        <v>1723</v>
      </c>
      <c r="AB54" s="29" t="s">
        <v>1712</v>
      </c>
      <c r="AC54" s="29" t="s">
        <v>2683</v>
      </c>
      <c r="AD54" s="37" t="s">
        <v>1982</v>
      </c>
      <c r="AE54" s="36" t="s">
        <v>1976</v>
      </c>
      <c r="AF54" s="37" t="s">
        <v>1983</v>
      </c>
      <c r="AG54" s="36" t="s">
        <v>1778</v>
      </c>
      <c r="AH54" s="37"/>
      <c r="AI54" s="36" t="s">
        <v>2192</v>
      </c>
      <c r="AJ54" s="37" t="s">
        <v>2687</v>
      </c>
      <c r="AK54" s="96"/>
      <c r="AL54" s="36" t="s">
        <v>2260</v>
      </c>
      <c r="AM54" s="37" t="s">
        <v>1984</v>
      </c>
      <c r="AN54" s="39" t="s">
        <v>1778</v>
      </c>
      <c r="AO54" s="37"/>
      <c r="AP54" s="36" t="s">
        <v>1778</v>
      </c>
      <c r="AQ54" s="37"/>
      <c r="AR54" s="39" t="s">
        <v>1709</v>
      </c>
      <c r="AS54" s="29"/>
      <c r="AT54" s="37"/>
      <c r="AU54" s="36" t="s">
        <v>1778</v>
      </c>
      <c r="AV54" s="29"/>
      <c r="AW54" s="37"/>
      <c r="AX54" s="39" t="s">
        <v>2851</v>
      </c>
      <c r="AY54" s="205"/>
      <c r="AZ54" s="53" t="s">
        <v>2851</v>
      </c>
      <c r="BA54" s="88"/>
      <c r="BB54" s="224" t="s">
        <v>3001</v>
      </c>
      <c r="BC54" s="37" t="s">
        <v>2896</v>
      </c>
      <c r="BE54" s="69"/>
    </row>
    <row r="55" spans="1:57" ht="102" hidden="1" customHeight="1" x14ac:dyDescent="0.25">
      <c r="A55"/>
      <c r="B55" s="51">
        <f>ROW('Initial Search'!40:40)</f>
        <v>40</v>
      </c>
      <c r="C55" s="46" t="str">
        <f>'Initial Search'!D40</f>
        <v>Collaborative modelling: An MDE-oriented process to manage large-scale models</v>
      </c>
      <c r="D55" s="49">
        <f>'Initial Search'!C40</f>
        <v>2017</v>
      </c>
      <c r="E55" s="49" t="str">
        <f>'Initial Search'!O40</f>
        <v>CSP</v>
      </c>
      <c r="F55" s="40" t="str">
        <f>'Initial Search'!M40</f>
        <v>Accepted</v>
      </c>
      <c r="G55" s="44" t="str">
        <f>'Initial Search'!N40</f>
        <v>Disapproved</v>
      </c>
      <c r="H55" s="36"/>
      <c r="I55" s="29" t="s">
        <v>1949</v>
      </c>
      <c r="J55" s="29"/>
      <c r="K55" s="29"/>
      <c r="L55" s="53"/>
      <c r="M55" s="37" t="s">
        <v>1973</v>
      </c>
      <c r="N55" s="36"/>
      <c r="O55" s="29" t="s">
        <v>1623</v>
      </c>
      <c r="P55" s="29"/>
      <c r="Q55" s="29"/>
      <c r="R55" s="29"/>
      <c r="S55" s="29"/>
      <c r="T55" s="37" t="s">
        <v>1980</v>
      </c>
      <c r="U55" s="39" t="s">
        <v>1981</v>
      </c>
      <c r="V55" s="39"/>
      <c r="W55" s="39" t="s">
        <v>1623</v>
      </c>
      <c r="X55" s="29" t="s">
        <v>1915</v>
      </c>
      <c r="Y55" s="29"/>
      <c r="Z55" s="29" t="s">
        <v>1686</v>
      </c>
      <c r="AA55" s="29" t="s">
        <v>1723</v>
      </c>
      <c r="AB55" s="29" t="s">
        <v>1712</v>
      </c>
      <c r="AC55" s="29" t="s">
        <v>1698</v>
      </c>
      <c r="AD55" s="37" t="s">
        <v>1977</v>
      </c>
      <c r="AE55" s="36" t="s">
        <v>1976</v>
      </c>
      <c r="AF55" s="37" t="s">
        <v>1975</v>
      </c>
      <c r="AG55" s="36" t="s">
        <v>1778</v>
      </c>
      <c r="AH55" s="37"/>
      <c r="AI55" s="39" t="s">
        <v>1974</v>
      </c>
      <c r="AJ55" s="37" t="s">
        <v>1978</v>
      </c>
      <c r="AK55" s="96"/>
      <c r="AL55" s="39" t="s">
        <v>2260</v>
      </c>
      <c r="AM55" s="37" t="s">
        <v>1979</v>
      </c>
      <c r="AN55" s="39" t="s">
        <v>1778</v>
      </c>
      <c r="AO55" s="37"/>
      <c r="AP55" s="36" t="s">
        <v>1778</v>
      </c>
      <c r="AQ55" s="37"/>
      <c r="AR55" s="39" t="s">
        <v>1709</v>
      </c>
      <c r="AS55" s="29"/>
      <c r="AT55" s="37"/>
      <c r="AU55" s="36" t="s">
        <v>1778</v>
      </c>
      <c r="AV55" s="29"/>
      <c r="AW55" s="37"/>
      <c r="AX55" s="205"/>
      <c r="AY55" s="205"/>
      <c r="AZ55" s="204"/>
      <c r="BA55" s="88"/>
      <c r="BB55" s="88"/>
      <c r="BC55" s="37" t="s">
        <v>2895</v>
      </c>
      <c r="BE55" s="69"/>
    </row>
    <row r="56" spans="1:57" ht="51" hidden="1" x14ac:dyDescent="0.25">
      <c r="A56"/>
      <c r="B56" s="51">
        <f>ROW('Initial Search'!51:51)</f>
        <v>51</v>
      </c>
      <c r="C56" s="46" t="str">
        <f>'Initial Search'!D51</f>
        <v>From Predefined Consistency to User-Centered Emergent Consistency in Real-Time Collaborative Editing Systems</v>
      </c>
      <c r="D56" s="49">
        <f>'Initial Search'!C51</f>
        <v>2006</v>
      </c>
      <c r="E56" s="49" t="str">
        <f>'Initial Search'!O51</f>
        <v>Taxonomy</v>
      </c>
      <c r="F56" s="40" t="str">
        <f>'Initial Search'!M51</f>
        <v>Rejected</v>
      </c>
      <c r="G56" s="44">
        <f>'Initial Search'!N53</f>
        <v>0</v>
      </c>
      <c r="H56" s="36"/>
      <c r="I56" s="29"/>
      <c r="J56" s="29"/>
      <c r="K56" s="29"/>
      <c r="L56" s="53"/>
      <c r="M56" s="37" t="s">
        <v>1987</v>
      </c>
      <c r="N56" s="36"/>
      <c r="O56" s="29"/>
      <c r="P56" s="29"/>
      <c r="Q56" s="29"/>
      <c r="R56" s="29"/>
      <c r="S56" s="29"/>
      <c r="T56" s="37"/>
      <c r="U56" s="39"/>
      <c r="V56" s="39"/>
      <c r="W56" s="39"/>
      <c r="X56" s="29" t="s">
        <v>1778</v>
      </c>
      <c r="Y56" s="29"/>
      <c r="Z56" s="29" t="s">
        <v>1778</v>
      </c>
      <c r="AA56" s="29" t="s">
        <v>1778</v>
      </c>
      <c r="AB56" s="29" t="s">
        <v>1778</v>
      </c>
      <c r="AC56" s="29" t="s">
        <v>1778</v>
      </c>
      <c r="AD56" s="37" t="s">
        <v>1986</v>
      </c>
      <c r="AE56" s="36" t="s">
        <v>1778</v>
      </c>
      <c r="AF56" s="37"/>
      <c r="AG56" s="36" t="s">
        <v>1778</v>
      </c>
      <c r="AH56" s="37"/>
      <c r="AI56" s="36" t="s">
        <v>1778</v>
      </c>
      <c r="AJ56" s="37"/>
      <c r="AK56" s="83"/>
      <c r="AL56" s="36" t="s">
        <v>1778</v>
      </c>
      <c r="AM56" s="37"/>
      <c r="AN56" s="39"/>
      <c r="AO56" s="83"/>
      <c r="AP56" s="36" t="s">
        <v>1778</v>
      </c>
      <c r="AQ56" s="37"/>
      <c r="AR56" s="39" t="s">
        <v>1778</v>
      </c>
      <c r="AS56" s="29"/>
      <c r="AT56" s="37"/>
      <c r="AU56" s="36" t="s">
        <v>1778</v>
      </c>
      <c r="AV56" s="29"/>
      <c r="AW56" s="37"/>
      <c r="AX56" s="205"/>
      <c r="AY56" s="205"/>
      <c r="AZ56" s="204"/>
      <c r="BA56" s="88"/>
      <c r="BB56" s="88"/>
      <c r="BC56" s="37"/>
      <c r="BE56" s="69"/>
    </row>
    <row r="57" spans="1:57" ht="63.75" x14ac:dyDescent="0.25">
      <c r="A57" s="148">
        <v>18</v>
      </c>
      <c r="B57" s="51">
        <f>ROW('Initial Search'!63:63)</f>
        <v>63</v>
      </c>
      <c r="C57" s="46" t="str">
        <f>'Initial Search'!D63</f>
        <v>Concurrent Fine-Grained Versioning of UML Models</v>
      </c>
      <c r="D57" s="49">
        <f>'Initial Search'!C63</f>
        <v>2009</v>
      </c>
      <c r="E57" s="49" t="str">
        <f>'Initial Search'!O63</f>
        <v>ArgoEclipse+ADAMS</v>
      </c>
      <c r="F57" s="40" t="str">
        <f>'Initial Search'!M63</f>
        <v>Accepted</v>
      </c>
      <c r="G57" s="44" t="str">
        <f>'Initial Search'!N63</f>
        <v>Approved</v>
      </c>
      <c r="H57" s="36"/>
      <c r="I57" s="29" t="s">
        <v>1623</v>
      </c>
      <c r="J57" s="29"/>
      <c r="K57" s="29"/>
      <c r="L57" s="53"/>
      <c r="M57" s="37" t="s">
        <v>1988</v>
      </c>
      <c r="N57" s="36" t="s">
        <v>1623</v>
      </c>
      <c r="O57" s="29" t="s">
        <v>1623</v>
      </c>
      <c r="P57" s="29"/>
      <c r="Q57" s="29"/>
      <c r="R57" s="29"/>
      <c r="S57" s="29"/>
      <c r="T57" s="37"/>
      <c r="U57" s="39"/>
      <c r="V57" s="39"/>
      <c r="W57" s="39"/>
      <c r="X57" s="29" t="s">
        <v>1915</v>
      </c>
      <c r="Y57" s="42" t="s">
        <v>2258</v>
      </c>
      <c r="Z57" s="29" t="s">
        <v>1686</v>
      </c>
      <c r="AA57" s="29" t="s">
        <v>1877</v>
      </c>
      <c r="AB57" s="53" t="s">
        <v>1989</v>
      </c>
      <c r="AC57" s="29" t="s">
        <v>1699</v>
      </c>
      <c r="AD57" s="37"/>
      <c r="AE57" s="36" t="s">
        <v>3763</v>
      </c>
      <c r="AF57" s="37"/>
      <c r="AG57" s="36" t="s">
        <v>1778</v>
      </c>
      <c r="AH57" s="37"/>
      <c r="AI57" s="36" t="s">
        <v>1833</v>
      </c>
      <c r="AJ57" s="37" t="s">
        <v>2608</v>
      </c>
      <c r="AK57" s="96"/>
      <c r="AL57" s="36" t="s">
        <v>1670</v>
      </c>
      <c r="AM57" s="37"/>
      <c r="AN57" s="36" t="s">
        <v>1778</v>
      </c>
      <c r="AO57" s="37"/>
      <c r="AP57" s="36" t="s">
        <v>2146</v>
      </c>
      <c r="AQ57" s="37"/>
      <c r="AR57" s="39" t="s">
        <v>1743</v>
      </c>
      <c r="AS57" s="29" t="s">
        <v>1693</v>
      </c>
      <c r="AT57" s="37" t="s">
        <v>1990</v>
      </c>
      <c r="AU57" s="36" t="s">
        <v>1766</v>
      </c>
      <c r="AV57" s="29"/>
      <c r="AW57" s="37" t="s">
        <v>1680</v>
      </c>
      <c r="AX57" s="53" t="s">
        <v>2851</v>
      </c>
      <c r="AY57" s="205"/>
      <c r="AZ57" s="53" t="s">
        <v>2851</v>
      </c>
      <c r="BA57" s="88"/>
      <c r="BB57" s="224" t="s">
        <v>3036</v>
      </c>
      <c r="BC57" s="37" t="s">
        <v>2899</v>
      </c>
      <c r="BE57" s="69"/>
    </row>
    <row r="58" spans="1:57" ht="75" hidden="1" customHeight="1" x14ac:dyDescent="0.25">
      <c r="A58"/>
      <c r="B58" s="51">
        <f>ROW('Initial Search'!177:177)</f>
        <v>177</v>
      </c>
      <c r="C58" s="46" t="str">
        <f>'Initial Search'!D177</f>
        <v>Enhancing collaborative synchronous UML modelling with fine-grained versioning of software artefacts</v>
      </c>
      <c r="D58" s="49">
        <f>'Initial Search'!C177</f>
        <v>2007</v>
      </c>
      <c r="E58" s="49" t="str">
        <f>'Initial Search'!O177</f>
        <v>STEVE</v>
      </c>
      <c r="F58" s="40" t="str">
        <f>'Initial Search'!M177</f>
        <v>Accepted</v>
      </c>
      <c r="G58" s="44" t="str">
        <f>'Initial Search'!N177</f>
        <v>Disapproved</v>
      </c>
      <c r="H58" s="36"/>
      <c r="I58" s="29" t="s">
        <v>1623</v>
      </c>
      <c r="J58" s="29"/>
      <c r="K58" s="29"/>
      <c r="L58" s="53"/>
      <c r="M58" s="37"/>
      <c r="N58" s="36"/>
      <c r="O58" s="29"/>
      <c r="P58" s="29"/>
      <c r="Q58" s="29"/>
      <c r="R58" s="29"/>
      <c r="S58" s="29"/>
      <c r="T58" s="37" t="s">
        <v>1993</v>
      </c>
      <c r="U58" s="39" t="s">
        <v>1994</v>
      </c>
      <c r="V58" s="39"/>
      <c r="W58" s="39"/>
      <c r="X58" s="29" t="s">
        <v>1915</v>
      </c>
      <c r="Y58" s="29" t="s">
        <v>2257</v>
      </c>
      <c r="Z58" s="29" t="s">
        <v>1686</v>
      </c>
      <c r="AA58" s="29" t="s">
        <v>1778</v>
      </c>
      <c r="AB58" s="29" t="s">
        <v>1778</v>
      </c>
      <c r="AC58" s="29" t="s">
        <v>1697</v>
      </c>
      <c r="AD58" s="37" t="s">
        <v>1991</v>
      </c>
      <c r="AE58" s="36" t="s">
        <v>1778</v>
      </c>
      <c r="AF58" s="37"/>
      <c r="AG58" s="39" t="s">
        <v>2000</v>
      </c>
      <c r="AH58" s="37" t="s">
        <v>1992</v>
      </c>
      <c r="AI58" s="36" t="s">
        <v>1778</v>
      </c>
      <c r="AJ58" s="37"/>
      <c r="AK58" s="96"/>
      <c r="AL58" s="36" t="s">
        <v>1778</v>
      </c>
      <c r="AM58" s="37"/>
      <c r="AN58" s="41" t="s">
        <v>1778</v>
      </c>
      <c r="AO58" s="37"/>
      <c r="AP58" s="36" t="s">
        <v>1778</v>
      </c>
      <c r="AQ58" s="37"/>
      <c r="AR58" s="39" t="s">
        <v>1743</v>
      </c>
      <c r="AS58" s="29" t="s">
        <v>1693</v>
      </c>
      <c r="AT58" s="37"/>
      <c r="AU58" s="36" t="s">
        <v>1766</v>
      </c>
      <c r="AV58" s="29"/>
      <c r="AW58" s="37" t="s">
        <v>1680</v>
      </c>
      <c r="AX58" s="205"/>
      <c r="AY58" s="205"/>
      <c r="AZ58" s="204"/>
      <c r="BA58" s="88"/>
      <c r="BB58" s="88"/>
      <c r="BC58" s="37" t="s">
        <v>2897</v>
      </c>
      <c r="BE58" s="69"/>
    </row>
    <row r="59" spans="1:57" ht="60" hidden="1" customHeight="1" x14ac:dyDescent="0.25">
      <c r="A59"/>
      <c r="B59" s="51">
        <f>ROW('Initial Search'!64:64)</f>
        <v>64</v>
      </c>
      <c r="C59" s="46" t="str">
        <f>'Initial Search'!D64</f>
        <v>Cooperative Multi-Versioning Technique Based on Version Replication</v>
      </c>
      <c r="D59" s="49">
        <f>'Initial Search'!C64</f>
        <v>2006</v>
      </c>
      <c r="E59" s="49" t="str">
        <f>'Initial Search'!O64</f>
        <v>Dou et al.</v>
      </c>
      <c r="F59" s="40" t="str">
        <f>'Initial Search'!M64</f>
        <v>Rejected</v>
      </c>
      <c r="G59" s="44">
        <f>'Initial Search'!N56</f>
        <v>0</v>
      </c>
      <c r="H59" s="36"/>
      <c r="I59" s="29"/>
      <c r="J59" s="29"/>
      <c r="K59" s="29"/>
      <c r="L59" s="53"/>
      <c r="M59" s="37"/>
      <c r="N59" s="36"/>
      <c r="O59" s="29"/>
      <c r="P59" s="29"/>
      <c r="Q59" s="29"/>
      <c r="R59" s="29"/>
      <c r="S59" s="29"/>
      <c r="T59" s="37"/>
      <c r="U59" s="39"/>
      <c r="V59" s="39"/>
      <c r="W59" s="39"/>
      <c r="X59" s="29" t="s">
        <v>1778</v>
      </c>
      <c r="Y59" s="29"/>
      <c r="Z59" s="29" t="s">
        <v>1778</v>
      </c>
      <c r="AA59" s="29" t="s">
        <v>1778</v>
      </c>
      <c r="AB59" s="29" t="s">
        <v>1778</v>
      </c>
      <c r="AC59" s="29" t="s">
        <v>1778</v>
      </c>
      <c r="AD59" s="37"/>
      <c r="AE59" s="36"/>
      <c r="AF59" s="37"/>
      <c r="AG59" s="36"/>
      <c r="AH59" s="37"/>
      <c r="AI59" s="36"/>
      <c r="AJ59" s="37"/>
      <c r="AK59" s="83"/>
      <c r="AL59" s="36"/>
      <c r="AM59" s="37"/>
      <c r="AN59" s="36"/>
      <c r="AO59" s="83"/>
      <c r="AP59" s="36"/>
      <c r="AQ59" s="37"/>
      <c r="AR59" s="39"/>
      <c r="AS59" s="29"/>
      <c r="AT59" s="37"/>
      <c r="AU59" s="36"/>
      <c r="AV59" s="29"/>
      <c r="AW59" s="37"/>
      <c r="AX59" s="205"/>
      <c r="AY59" s="205"/>
      <c r="AZ59" s="204"/>
      <c r="BA59" s="88"/>
      <c r="BB59" s="88"/>
      <c r="BC59" s="37" t="s">
        <v>2898</v>
      </c>
      <c r="BE59" s="70" t="s">
        <v>1996</v>
      </c>
    </row>
    <row r="60" spans="1:57" ht="89.25" x14ac:dyDescent="0.25">
      <c r="A60" s="148">
        <v>19</v>
      </c>
      <c r="B60" s="51">
        <f>ROW('Initial Search'!75:75)</f>
        <v>75</v>
      </c>
      <c r="C60" s="46" t="str">
        <f>'Initial Search'!D75</f>
        <v>CAMEL: A Tool for Collaborative Distributed Software Design</v>
      </c>
      <c r="D60" s="49">
        <f>'Initial Search'!C75</f>
        <v>2009</v>
      </c>
      <c r="E60" s="49" t="str">
        <f>'Initial Search'!O75</f>
        <v>CAMEL</v>
      </c>
      <c r="F60" s="40" t="str">
        <f>'Initial Search'!M75</f>
        <v>Accepted</v>
      </c>
      <c r="G60" s="44" t="str">
        <f>'Initial Search'!N75</f>
        <v>Approved</v>
      </c>
      <c r="H60" s="36"/>
      <c r="I60" s="29" t="s">
        <v>1623</v>
      </c>
      <c r="J60" s="29"/>
      <c r="K60" s="29"/>
      <c r="L60" s="53"/>
      <c r="M60" s="37"/>
      <c r="N60" s="36"/>
      <c r="O60" s="29" t="s">
        <v>1623</v>
      </c>
      <c r="P60" s="29" t="s">
        <v>1623</v>
      </c>
      <c r="Q60" s="29" t="s">
        <v>1623</v>
      </c>
      <c r="R60" s="29"/>
      <c r="S60" s="29"/>
      <c r="T60" s="37"/>
      <c r="U60" s="39" t="s">
        <v>2001</v>
      </c>
      <c r="V60" s="39"/>
      <c r="W60" s="39"/>
      <c r="X60" s="29" t="s">
        <v>1915</v>
      </c>
      <c r="Y60" s="29" t="s">
        <v>2257</v>
      </c>
      <c r="Z60" s="29" t="s">
        <v>1687</v>
      </c>
      <c r="AA60" s="29" t="s">
        <v>1723</v>
      </c>
      <c r="AB60" s="29" t="s">
        <v>2688</v>
      </c>
      <c r="AC60" s="29" t="s">
        <v>1697</v>
      </c>
      <c r="AD60" s="37"/>
      <c r="AE60" s="36" t="s">
        <v>3763</v>
      </c>
      <c r="AF60" s="37"/>
      <c r="AG60" s="36" t="s">
        <v>1778</v>
      </c>
      <c r="AH60" s="37"/>
      <c r="AI60" s="36" t="s">
        <v>1778</v>
      </c>
      <c r="AJ60" s="37"/>
      <c r="AK60" s="96"/>
      <c r="AL60" s="36" t="s">
        <v>1778</v>
      </c>
      <c r="AM60" s="37"/>
      <c r="AN60" s="39" t="s">
        <v>1778</v>
      </c>
      <c r="AO60" s="37"/>
      <c r="AP60" s="36" t="s">
        <v>1778</v>
      </c>
      <c r="AQ60" s="37"/>
      <c r="AR60" s="39" t="s">
        <v>1743</v>
      </c>
      <c r="AS60" s="29" t="s">
        <v>1693</v>
      </c>
      <c r="AT60" s="37" t="s">
        <v>2002</v>
      </c>
      <c r="AU60" s="36" t="s">
        <v>1766</v>
      </c>
      <c r="AV60" s="29" t="s">
        <v>1678</v>
      </c>
      <c r="AW60" s="37"/>
      <c r="AX60" s="39" t="s">
        <v>2986</v>
      </c>
      <c r="AY60" s="205" t="s">
        <v>2901</v>
      </c>
      <c r="AZ60" s="53" t="s">
        <v>2851</v>
      </c>
      <c r="BA60" s="88"/>
      <c r="BB60" s="224" t="s">
        <v>3037</v>
      </c>
      <c r="BC60" s="37" t="s">
        <v>2902</v>
      </c>
      <c r="BE60" s="69"/>
    </row>
    <row r="61" spans="1:57" ht="30" hidden="1" customHeight="1" x14ac:dyDescent="0.25">
      <c r="A61"/>
      <c r="B61" s="51">
        <f>ROW('Initial Search'!78:78)</f>
        <v>78</v>
      </c>
      <c r="C61" s="46" t="str">
        <f>'Initial Search'!D78</f>
        <v>Search-based detection of high-level model changes</v>
      </c>
      <c r="D61" s="49">
        <f>'Initial Search'!C78</f>
        <v>2012</v>
      </c>
      <c r="E61" s="49" t="str">
        <f>'Initial Search'!O78</f>
        <v>MOMM</v>
      </c>
      <c r="F61" s="40" t="str">
        <f>'Initial Search'!M78</f>
        <v>Rejected</v>
      </c>
      <c r="G61" s="44">
        <f>'Initial Search'!N58</f>
        <v>0</v>
      </c>
      <c r="H61" s="36"/>
      <c r="I61" s="29"/>
      <c r="J61" s="29"/>
      <c r="K61" s="29"/>
      <c r="L61" s="53"/>
      <c r="M61" s="37"/>
      <c r="N61" s="36"/>
      <c r="O61" s="29"/>
      <c r="P61" s="29"/>
      <c r="Q61" s="29"/>
      <c r="R61" s="29"/>
      <c r="S61" s="29"/>
      <c r="T61" s="37"/>
      <c r="U61" s="39" t="s">
        <v>2003</v>
      </c>
      <c r="V61" s="39"/>
      <c r="W61" s="39"/>
      <c r="X61" s="29" t="s">
        <v>1778</v>
      </c>
      <c r="Y61" s="29"/>
      <c r="Z61" s="29" t="s">
        <v>1778</v>
      </c>
      <c r="AA61" s="29" t="s">
        <v>1778</v>
      </c>
      <c r="AB61" s="29" t="s">
        <v>1778</v>
      </c>
      <c r="AC61" s="29" t="s">
        <v>1778</v>
      </c>
      <c r="AD61" s="37"/>
      <c r="AE61" s="36" t="s">
        <v>1778</v>
      </c>
      <c r="AF61" s="37"/>
      <c r="AG61" s="36" t="s">
        <v>1778</v>
      </c>
      <c r="AH61" s="37"/>
      <c r="AI61" s="36" t="s">
        <v>1778</v>
      </c>
      <c r="AJ61" s="37"/>
      <c r="AK61" s="83"/>
      <c r="AL61" s="36" t="s">
        <v>1778</v>
      </c>
      <c r="AM61" s="37"/>
      <c r="AN61" s="39"/>
      <c r="AO61" s="83"/>
      <c r="AP61" s="36" t="s">
        <v>1778</v>
      </c>
      <c r="AQ61" s="37"/>
      <c r="AR61" s="39" t="s">
        <v>1778</v>
      </c>
      <c r="AS61" s="29"/>
      <c r="AT61" s="37"/>
      <c r="AU61" s="36" t="s">
        <v>1778</v>
      </c>
      <c r="AV61" s="29"/>
      <c r="AW61" s="37"/>
      <c r="AX61" s="205"/>
      <c r="AY61" s="205" t="s">
        <v>2900</v>
      </c>
      <c r="AZ61" s="204"/>
      <c r="BA61" s="88"/>
      <c r="BB61" s="88"/>
      <c r="BC61" s="37"/>
      <c r="BE61" s="69"/>
    </row>
    <row r="62" spans="1:57" hidden="1" x14ac:dyDescent="0.25">
      <c r="A62"/>
      <c r="B62" s="51">
        <f>ROW('Initial Search'!269:269)</f>
        <v>269</v>
      </c>
      <c r="C62" s="46" t="str">
        <f>'Initial Search'!D270</f>
        <v>Search-based detection of model level changes</v>
      </c>
      <c r="D62" s="49">
        <f>'Initial Search'!C270</f>
        <v>2016</v>
      </c>
      <c r="E62" s="49" t="str">
        <f>'Initial Search'!O270</f>
        <v>MOMM</v>
      </c>
      <c r="F62" s="40" t="str">
        <f>'Initial Search'!M270</f>
        <v>Rejected</v>
      </c>
      <c r="G62" s="44">
        <f>'Initial Search'!N59</f>
        <v>0</v>
      </c>
      <c r="H62" s="36"/>
      <c r="I62" s="29"/>
      <c r="J62" s="29"/>
      <c r="K62" s="29"/>
      <c r="L62" s="53"/>
      <c r="M62" s="37"/>
      <c r="N62" s="36"/>
      <c r="O62" s="29"/>
      <c r="P62" s="29"/>
      <c r="Q62" s="29"/>
      <c r="R62" s="29"/>
      <c r="S62" s="29"/>
      <c r="T62" s="37"/>
      <c r="U62" s="39"/>
      <c r="V62" s="39"/>
      <c r="W62" s="39"/>
      <c r="X62" s="29"/>
      <c r="Y62" s="29"/>
      <c r="Z62" s="29"/>
      <c r="AA62" s="29"/>
      <c r="AB62" s="29"/>
      <c r="AC62" s="29"/>
      <c r="AD62" s="37"/>
      <c r="AE62" s="36"/>
      <c r="AF62" s="37"/>
      <c r="AG62" s="36"/>
      <c r="AH62" s="37"/>
      <c r="AI62" s="36"/>
      <c r="AJ62" s="37"/>
      <c r="AK62" s="83"/>
      <c r="AL62" s="36"/>
      <c r="AM62" s="37"/>
      <c r="AN62" s="39"/>
      <c r="AO62" s="83"/>
      <c r="AP62" s="36"/>
      <c r="AQ62" s="37"/>
      <c r="AR62" s="39"/>
      <c r="AS62" s="29"/>
      <c r="AT62" s="37"/>
      <c r="AU62" s="36"/>
      <c r="AV62" s="29"/>
      <c r="AW62" s="37"/>
      <c r="AX62" s="205"/>
      <c r="AY62" s="205"/>
      <c r="AZ62" s="204"/>
      <c r="BA62" s="88"/>
      <c r="BB62" s="88"/>
      <c r="BC62" s="37"/>
      <c r="BE62" s="69"/>
    </row>
    <row r="63" spans="1:57" ht="76.5" x14ac:dyDescent="0.25">
      <c r="A63" s="149">
        <v>20</v>
      </c>
      <c r="B63" s="51">
        <f>ROW('Initial Search'!102:102)</f>
        <v>102</v>
      </c>
      <c r="C63" s="46" t="str">
        <f>'Initial Search'!D102</f>
        <v>Search-based model merging</v>
      </c>
      <c r="D63" s="49">
        <f>'Initial Search'!C102</f>
        <v>2013</v>
      </c>
      <c r="E63" s="49" t="str">
        <f>'Initial Search'!O102</f>
        <v>MOMM</v>
      </c>
      <c r="F63" s="40" t="str">
        <f>'Initial Search'!M102</f>
        <v>Accepted</v>
      </c>
      <c r="G63" s="44" t="str">
        <f>'Initial Search'!N102</f>
        <v>Approved</v>
      </c>
      <c r="H63" s="36" t="s">
        <v>1623</v>
      </c>
      <c r="I63" s="29"/>
      <c r="J63" s="29"/>
      <c r="K63" s="29"/>
      <c r="L63" s="53"/>
      <c r="M63" s="37"/>
      <c r="N63" s="36"/>
      <c r="O63" s="29" t="s">
        <v>1623</v>
      </c>
      <c r="P63" s="29"/>
      <c r="Q63" s="29"/>
      <c r="R63" s="29"/>
      <c r="S63" s="29"/>
      <c r="T63" s="37"/>
      <c r="U63" s="39" t="s">
        <v>2003</v>
      </c>
      <c r="V63" s="39"/>
      <c r="W63" s="39"/>
      <c r="X63" s="29" t="s">
        <v>1915</v>
      </c>
      <c r="Y63" s="42" t="s">
        <v>2258</v>
      </c>
      <c r="Z63" s="29" t="s">
        <v>1686</v>
      </c>
      <c r="AA63" s="29" t="s">
        <v>1723</v>
      </c>
      <c r="AB63" s="29" t="s">
        <v>1712</v>
      </c>
      <c r="AC63" s="29" t="s">
        <v>2562</v>
      </c>
      <c r="AD63" s="37" t="s">
        <v>2005</v>
      </c>
      <c r="AE63" s="36" t="s">
        <v>3762</v>
      </c>
      <c r="AF63" s="37" t="s">
        <v>3775</v>
      </c>
      <c r="AG63" s="36" t="s">
        <v>2006</v>
      </c>
      <c r="AH63" s="37" t="s">
        <v>2007</v>
      </c>
      <c r="AI63" s="36" t="s">
        <v>1778</v>
      </c>
      <c r="AJ63" s="37"/>
      <c r="AK63" s="96"/>
      <c r="AL63" s="36" t="s">
        <v>1778</v>
      </c>
      <c r="AM63" s="37"/>
      <c r="AN63" s="36" t="s">
        <v>1778</v>
      </c>
      <c r="AO63" s="37"/>
      <c r="AP63" s="36" t="s">
        <v>1778</v>
      </c>
      <c r="AQ63" s="37"/>
      <c r="AR63" s="39" t="s">
        <v>1743</v>
      </c>
      <c r="AS63" s="29" t="s">
        <v>1693</v>
      </c>
      <c r="AT63" s="37"/>
      <c r="AU63" s="36" t="s">
        <v>1766</v>
      </c>
      <c r="AV63" s="29" t="s">
        <v>1682</v>
      </c>
      <c r="AW63" s="37"/>
      <c r="AX63" s="39" t="s">
        <v>2851</v>
      </c>
      <c r="AY63" s="205"/>
      <c r="AZ63" s="53" t="s">
        <v>2851</v>
      </c>
      <c r="BA63" s="88"/>
      <c r="BB63" s="224" t="s">
        <v>3039</v>
      </c>
      <c r="BC63" s="37" t="s">
        <v>2903</v>
      </c>
      <c r="BE63" s="69"/>
    </row>
    <row r="64" spans="1:57" ht="76.5" x14ac:dyDescent="0.25">
      <c r="A64" s="149">
        <v>20</v>
      </c>
      <c r="B64" s="51">
        <f>ROW('Initial Search'!170:170)</f>
        <v>170</v>
      </c>
      <c r="C64" s="46" t="str">
        <f>'Initial Search'!D170</f>
        <v>MOMM: Multi-objective model merging</v>
      </c>
      <c r="D64" s="49">
        <f>'Initial Search'!C170</f>
        <v>2014</v>
      </c>
      <c r="E64" s="49" t="str">
        <f>'Initial Search'!O170</f>
        <v>MOMM</v>
      </c>
      <c r="F64" s="40" t="str">
        <f>'Initial Search'!M170</f>
        <v>Accepted</v>
      </c>
      <c r="G64" s="44" t="str">
        <f>'Initial Search'!N170</f>
        <v>Approved</v>
      </c>
      <c r="H64" s="36" t="s">
        <v>1623</v>
      </c>
      <c r="I64" s="29"/>
      <c r="J64" s="29"/>
      <c r="K64" s="29"/>
      <c r="L64" s="53"/>
      <c r="M64" s="37"/>
      <c r="N64" s="36"/>
      <c r="O64" s="29" t="s">
        <v>1623</v>
      </c>
      <c r="P64" s="29" t="s">
        <v>1623</v>
      </c>
      <c r="Q64" s="29"/>
      <c r="R64" s="29"/>
      <c r="S64" s="29"/>
      <c r="T64" s="37"/>
      <c r="U64" s="39" t="s">
        <v>2003</v>
      </c>
      <c r="V64" s="39" t="s">
        <v>1778</v>
      </c>
      <c r="W64" s="39" t="s">
        <v>1778</v>
      </c>
      <c r="X64" s="29" t="s">
        <v>1915</v>
      </c>
      <c r="Y64" s="42" t="s">
        <v>2258</v>
      </c>
      <c r="Z64" s="29" t="s">
        <v>1686</v>
      </c>
      <c r="AA64" s="29" t="s">
        <v>1723</v>
      </c>
      <c r="AB64" s="29" t="s">
        <v>1712</v>
      </c>
      <c r="AC64" s="29" t="s">
        <v>2562</v>
      </c>
      <c r="AD64" s="37" t="s">
        <v>2629</v>
      </c>
      <c r="AE64" s="36" t="s">
        <v>3762</v>
      </c>
      <c r="AF64" s="37" t="s">
        <v>3775</v>
      </c>
      <c r="AG64" s="36" t="s">
        <v>2006</v>
      </c>
      <c r="AH64" s="37" t="s">
        <v>2628</v>
      </c>
      <c r="AI64" s="36" t="s">
        <v>1778</v>
      </c>
      <c r="AJ64" s="37"/>
      <c r="AK64" s="96"/>
      <c r="AL64" s="36" t="s">
        <v>1778</v>
      </c>
      <c r="AM64" s="37"/>
      <c r="AN64" s="41" t="s">
        <v>1778</v>
      </c>
      <c r="AO64" s="37"/>
      <c r="AP64" s="36" t="s">
        <v>1778</v>
      </c>
      <c r="AQ64" s="37"/>
      <c r="AR64" s="39" t="s">
        <v>1743</v>
      </c>
      <c r="AS64" s="29" t="s">
        <v>1693</v>
      </c>
      <c r="AT64" s="37"/>
      <c r="AU64" s="36" t="s">
        <v>1766</v>
      </c>
      <c r="AV64" s="29" t="s">
        <v>1682</v>
      </c>
      <c r="AW64" s="37" t="s">
        <v>1680</v>
      </c>
      <c r="AX64" s="39" t="s">
        <v>2986</v>
      </c>
      <c r="AY64" s="205" t="s">
        <v>2904</v>
      </c>
      <c r="AZ64" s="53" t="s">
        <v>2851</v>
      </c>
      <c r="BA64" s="88"/>
      <c r="BB64" s="224" t="s">
        <v>3040</v>
      </c>
      <c r="BC64" s="37" t="s">
        <v>2905</v>
      </c>
      <c r="BE64" s="69"/>
    </row>
    <row r="65" spans="1:57" ht="140.25" x14ac:dyDescent="0.25">
      <c r="A65" s="149">
        <v>21</v>
      </c>
      <c r="B65" s="51">
        <f>ROW('Initial Search'!106:106)</f>
        <v>106</v>
      </c>
      <c r="C65" s="46" t="str">
        <f>'Initial Search'!D106</f>
        <v>Colex: a web-based collaborative conflict lexicon</v>
      </c>
      <c r="D65" s="49">
        <f>'Initial Search'!C106</f>
        <v>2010</v>
      </c>
      <c r="E65" s="49" t="str">
        <f>'Initial Search'!O106</f>
        <v>Colex</v>
      </c>
      <c r="F65" s="40" t="str">
        <f>'Initial Search'!M106</f>
        <v>Accepted</v>
      </c>
      <c r="G65" s="44" t="str">
        <f>'Initial Search'!N106</f>
        <v>Approved</v>
      </c>
      <c r="H65" s="36" t="s">
        <v>1623</v>
      </c>
      <c r="I65" s="29"/>
      <c r="J65" s="29"/>
      <c r="K65" s="29"/>
      <c r="L65" s="53"/>
      <c r="M65" s="37"/>
      <c r="N65" s="36" t="s">
        <v>1623</v>
      </c>
      <c r="O65" s="29" t="s">
        <v>1623</v>
      </c>
      <c r="P65" s="29" t="s">
        <v>1623</v>
      </c>
      <c r="Q65" s="29" t="s">
        <v>1623</v>
      </c>
      <c r="R65" s="29"/>
      <c r="S65" s="29" t="s">
        <v>1623</v>
      </c>
      <c r="T65" s="37" t="s">
        <v>2008</v>
      </c>
      <c r="U65" s="39" t="s">
        <v>1778</v>
      </c>
      <c r="V65" s="39" t="s">
        <v>1623</v>
      </c>
      <c r="W65" s="39"/>
      <c r="X65" s="29" t="s">
        <v>1915</v>
      </c>
      <c r="Y65" s="42" t="s">
        <v>2258</v>
      </c>
      <c r="Z65" s="29" t="s">
        <v>1687</v>
      </c>
      <c r="AA65" s="29" t="s">
        <v>1778</v>
      </c>
      <c r="AB65" s="29" t="s">
        <v>1778</v>
      </c>
      <c r="AC65" s="29" t="s">
        <v>1778</v>
      </c>
      <c r="AD65" s="37" t="s">
        <v>2009</v>
      </c>
      <c r="AE65" s="36" t="s">
        <v>3762</v>
      </c>
      <c r="AF65" s="37" t="s">
        <v>3776</v>
      </c>
      <c r="AG65" s="36" t="s">
        <v>1778</v>
      </c>
      <c r="AH65" s="37"/>
      <c r="AI65" s="36" t="s">
        <v>1778</v>
      </c>
      <c r="AJ65" s="37"/>
      <c r="AK65" s="96"/>
      <c r="AL65" s="36" t="s">
        <v>1778</v>
      </c>
      <c r="AM65" s="37"/>
      <c r="AN65" s="36" t="s">
        <v>1778</v>
      </c>
      <c r="AO65" s="37"/>
      <c r="AP65" s="36" t="s">
        <v>1778</v>
      </c>
      <c r="AQ65" s="37"/>
      <c r="AR65" s="39" t="s">
        <v>1743</v>
      </c>
      <c r="AS65" s="29" t="s">
        <v>2216</v>
      </c>
      <c r="AT65" s="37"/>
      <c r="AU65" s="36" t="s">
        <v>1766</v>
      </c>
      <c r="AV65" s="29" t="s">
        <v>1682</v>
      </c>
      <c r="AW65" s="37"/>
      <c r="AX65" s="39" t="s">
        <v>2851</v>
      </c>
      <c r="AY65" s="205"/>
      <c r="AZ65" s="53" t="s">
        <v>2907</v>
      </c>
      <c r="BA65" s="88" t="s">
        <v>2906</v>
      </c>
      <c r="BB65" s="224" t="s">
        <v>3042</v>
      </c>
      <c r="BC65" s="37" t="s">
        <v>2908</v>
      </c>
      <c r="BE65" s="69"/>
    </row>
    <row r="66" spans="1:57" ht="89.25" x14ac:dyDescent="0.25">
      <c r="A66" s="149">
        <v>22</v>
      </c>
      <c r="B66" s="51">
        <f>ROW('Initial Search'!150:150)</f>
        <v>150</v>
      </c>
      <c r="C66" s="46" t="str">
        <f>'Initial Search'!D150</f>
        <v>Conflicts as first-class entities: a UML profile for model versioning</v>
      </c>
      <c r="D66" s="49">
        <f>'Initial Search'!C150</f>
        <v>2010</v>
      </c>
      <c r="E66" s="49" t="str">
        <f>'Initial Search'!O150</f>
        <v>AMOR</v>
      </c>
      <c r="F66" s="40" t="str">
        <f>'Initial Search'!M150</f>
        <v>Accepted</v>
      </c>
      <c r="G66" s="44" t="str">
        <f>'Initial Search'!N150</f>
        <v>Approved</v>
      </c>
      <c r="H66" s="36"/>
      <c r="I66" s="29" t="s">
        <v>1623</v>
      </c>
      <c r="J66" s="29"/>
      <c r="K66" s="29"/>
      <c r="L66" s="53"/>
      <c r="M66" s="37"/>
      <c r="N66" s="36"/>
      <c r="O66" s="29" t="s">
        <v>1623</v>
      </c>
      <c r="P66" s="29" t="s">
        <v>1623</v>
      </c>
      <c r="Q66" s="29" t="s">
        <v>1623</v>
      </c>
      <c r="R66" s="29"/>
      <c r="S66" s="29"/>
      <c r="T66" s="37"/>
      <c r="U66" s="39" t="s">
        <v>2011</v>
      </c>
      <c r="V66" s="39"/>
      <c r="W66" s="39"/>
      <c r="X66" s="29" t="s">
        <v>1778</v>
      </c>
      <c r="Y66" s="42" t="s">
        <v>2258</v>
      </c>
      <c r="Z66" s="29" t="s">
        <v>1686</v>
      </c>
      <c r="AA66" s="29" t="s">
        <v>1723</v>
      </c>
      <c r="AB66" s="29" t="s">
        <v>1778</v>
      </c>
      <c r="AC66" s="29" t="s">
        <v>1778</v>
      </c>
      <c r="AD66" s="37"/>
      <c r="AE66" s="36" t="s">
        <v>2011</v>
      </c>
      <c r="AF66" s="37" t="s">
        <v>2012</v>
      </c>
      <c r="AG66" s="36" t="s">
        <v>1778</v>
      </c>
      <c r="AH66" s="37"/>
      <c r="AI66" s="36" t="s">
        <v>1778</v>
      </c>
      <c r="AJ66" s="37"/>
      <c r="AK66" s="96"/>
      <c r="AL66" s="36" t="s">
        <v>1778</v>
      </c>
      <c r="AM66" s="37"/>
      <c r="AN66" s="39" t="s">
        <v>1778</v>
      </c>
      <c r="AO66" s="37"/>
      <c r="AP66" s="39" t="s">
        <v>2676</v>
      </c>
      <c r="AQ66" s="37" t="s">
        <v>2585</v>
      </c>
      <c r="AR66" s="39" t="s">
        <v>1743</v>
      </c>
      <c r="AS66" s="29" t="s">
        <v>1693</v>
      </c>
      <c r="AT66" s="37"/>
      <c r="AU66" s="36" t="s">
        <v>1766</v>
      </c>
      <c r="AV66" s="29"/>
      <c r="AW66" s="37" t="s">
        <v>2013</v>
      </c>
      <c r="AX66" s="39" t="s">
        <v>2851</v>
      </c>
      <c r="AY66" s="205"/>
      <c r="AZ66" s="53" t="s">
        <v>2851</v>
      </c>
      <c r="BA66" s="88"/>
      <c r="BB66" s="224" t="s">
        <v>3043</v>
      </c>
      <c r="BC66" s="37" t="s">
        <v>2910</v>
      </c>
      <c r="BE66" s="69"/>
    </row>
    <row r="67" spans="1:57" ht="89.25" x14ac:dyDescent="0.25">
      <c r="A67" s="149">
        <v>22</v>
      </c>
      <c r="B67" s="51">
        <f>ROW('Initial Search'!160:160)</f>
        <v>160</v>
      </c>
      <c r="C67" s="46" t="str">
        <f>'Initial Search'!D160</f>
        <v>A recommender for conflict resolution support in optimistic model versioning</v>
      </c>
      <c r="D67" s="49">
        <f>'Initial Search'!C160</f>
        <v>2010</v>
      </c>
      <c r="E67" s="49" t="str">
        <f>'Initial Search'!O160</f>
        <v>AMOR</v>
      </c>
      <c r="F67" s="40" t="str">
        <f>'Initial Search'!M160</f>
        <v>Accepted</v>
      </c>
      <c r="G67" s="44" t="str">
        <f>'Initial Search'!N160</f>
        <v>Approved</v>
      </c>
      <c r="H67" s="36"/>
      <c r="I67" s="29" t="s">
        <v>1623</v>
      </c>
      <c r="J67" s="29"/>
      <c r="K67" s="29"/>
      <c r="L67" s="53"/>
      <c r="M67" s="37" t="s">
        <v>2016</v>
      </c>
      <c r="N67" s="36"/>
      <c r="O67" s="29" t="s">
        <v>1623</v>
      </c>
      <c r="P67" s="29" t="s">
        <v>1623</v>
      </c>
      <c r="Q67" s="29" t="s">
        <v>1623</v>
      </c>
      <c r="R67" s="29"/>
      <c r="S67" s="29"/>
      <c r="T67" s="37" t="s">
        <v>2019</v>
      </c>
      <c r="U67" s="39" t="s">
        <v>2017</v>
      </c>
      <c r="V67" s="39"/>
      <c r="W67" s="39"/>
      <c r="X67" s="29" t="s">
        <v>1778</v>
      </c>
      <c r="Y67" s="42" t="s">
        <v>2258</v>
      </c>
      <c r="Z67" s="29" t="s">
        <v>1686</v>
      </c>
      <c r="AA67" s="29" t="s">
        <v>1723</v>
      </c>
      <c r="AB67" s="53" t="s">
        <v>2018</v>
      </c>
      <c r="AC67" s="29" t="s">
        <v>1778</v>
      </c>
      <c r="AD67" s="37" t="s">
        <v>2015</v>
      </c>
      <c r="AG67" s="36" t="s">
        <v>1778</v>
      </c>
      <c r="AH67" s="37"/>
      <c r="AI67" s="36" t="s">
        <v>1778</v>
      </c>
      <c r="AJ67" s="37"/>
      <c r="AK67" s="96"/>
      <c r="AL67" s="36" t="s">
        <v>1792</v>
      </c>
      <c r="AM67" s="37" t="s">
        <v>2014</v>
      </c>
      <c r="AN67" s="39" t="s">
        <v>1778</v>
      </c>
      <c r="AO67" s="37"/>
      <c r="AP67" s="36" t="s">
        <v>1778</v>
      </c>
      <c r="AQ67" s="37"/>
      <c r="AR67" s="39" t="s">
        <v>1743</v>
      </c>
      <c r="AS67" s="29" t="s">
        <v>1693</v>
      </c>
      <c r="AT67" s="37"/>
      <c r="AU67" s="36" t="s">
        <v>1766</v>
      </c>
      <c r="AV67" s="29"/>
      <c r="AW67" s="37" t="s">
        <v>2013</v>
      </c>
      <c r="AX67" s="39" t="s">
        <v>2851</v>
      </c>
      <c r="AY67" s="205"/>
      <c r="AZ67" s="53" t="s">
        <v>2851</v>
      </c>
      <c r="BA67" s="88"/>
      <c r="BB67" s="224" t="s">
        <v>3044</v>
      </c>
      <c r="BC67" s="37" t="s">
        <v>2909</v>
      </c>
      <c r="BE67" s="69"/>
    </row>
    <row r="68" spans="1:57" ht="63.75" x14ac:dyDescent="0.25">
      <c r="A68" s="149">
        <v>22</v>
      </c>
      <c r="B68" s="51">
        <f>ROW('Initial Search'!219:219)</f>
        <v>219</v>
      </c>
      <c r="C68" s="46" t="str">
        <f>'Initial Search'!D219</f>
        <v>An Introduction to Model Versioning</v>
      </c>
      <c r="D68" s="49">
        <f>'Initial Search'!C219</f>
        <v>2012</v>
      </c>
      <c r="E68" s="49" t="str">
        <f>'Initial Search'!O219</f>
        <v>AMOR</v>
      </c>
      <c r="F68" s="40" t="str">
        <f>'Initial Search'!M219</f>
        <v>Accepted</v>
      </c>
      <c r="G68" s="44" t="str">
        <f>'Initial Search'!N219</f>
        <v>Approved</v>
      </c>
      <c r="H68" s="36"/>
      <c r="I68" s="29" t="s">
        <v>1623</v>
      </c>
      <c r="J68" s="29"/>
      <c r="K68" s="29"/>
      <c r="L68" s="53"/>
      <c r="M68" s="37"/>
      <c r="N68" s="36"/>
      <c r="O68" s="29" t="s">
        <v>1623</v>
      </c>
      <c r="P68" s="29" t="s">
        <v>1623</v>
      </c>
      <c r="Q68" s="29" t="s">
        <v>1623</v>
      </c>
      <c r="R68" s="29"/>
      <c r="S68" s="29"/>
      <c r="T68" s="37"/>
      <c r="U68" s="39" t="s">
        <v>1778</v>
      </c>
      <c r="V68" s="39" t="s">
        <v>1623</v>
      </c>
      <c r="W68" s="39"/>
      <c r="X68" s="29" t="s">
        <v>1915</v>
      </c>
      <c r="Y68" s="42" t="s">
        <v>2258</v>
      </c>
      <c r="Z68" s="29" t="s">
        <v>1686</v>
      </c>
      <c r="AA68" s="29" t="s">
        <v>1723</v>
      </c>
      <c r="AB68" s="53" t="s">
        <v>2018</v>
      </c>
      <c r="AC68" s="29" t="s">
        <v>1699</v>
      </c>
      <c r="AD68" s="37"/>
      <c r="AE68" s="36" t="s">
        <v>2011</v>
      </c>
      <c r="AF68" s="37"/>
      <c r="AG68" s="36" t="s">
        <v>1778</v>
      </c>
      <c r="AH68" s="37"/>
      <c r="AI68" s="39" t="s">
        <v>2601</v>
      </c>
      <c r="AJ68" s="37"/>
      <c r="AK68" s="96" t="s">
        <v>2196</v>
      </c>
      <c r="AL68" s="36" t="s">
        <v>1792</v>
      </c>
      <c r="AM68" s="37"/>
      <c r="AN68" s="39" t="s">
        <v>1778</v>
      </c>
      <c r="AO68" s="37"/>
      <c r="AP68" s="39" t="s">
        <v>2676</v>
      </c>
      <c r="AQ68" s="37"/>
      <c r="AR68" s="39" t="s">
        <v>1743</v>
      </c>
      <c r="AS68" s="29" t="s">
        <v>1693</v>
      </c>
      <c r="AT68" s="37"/>
      <c r="AU68" s="36" t="s">
        <v>1766</v>
      </c>
      <c r="AV68" s="29" t="s">
        <v>1682</v>
      </c>
      <c r="AW68" s="37" t="s">
        <v>2013</v>
      </c>
      <c r="AX68" s="39" t="s">
        <v>2851</v>
      </c>
      <c r="AY68" s="205"/>
      <c r="AZ68" s="53" t="s">
        <v>2851</v>
      </c>
      <c r="BA68" s="88"/>
      <c r="BB68" s="224" t="s">
        <v>3045</v>
      </c>
      <c r="BC68" s="37" t="s">
        <v>2913</v>
      </c>
      <c r="BE68" s="69"/>
    </row>
    <row r="69" spans="1:57" ht="30" hidden="1" x14ac:dyDescent="0.25">
      <c r="A69"/>
      <c r="B69" s="51">
        <f>ROW('Initial Search'!248:248)</f>
        <v>248</v>
      </c>
      <c r="C69" s="46" t="str">
        <f>'Initial Search'!D249</f>
        <v>We can work it out: Collaborative Conflict Resolution in Model Versioning</v>
      </c>
      <c r="D69" s="49">
        <f>'Initial Search'!C249</f>
        <v>2009</v>
      </c>
      <c r="E69" s="49" t="str">
        <f>'Initial Search'!O249</f>
        <v>AMOR</v>
      </c>
      <c r="F69" s="40" t="str">
        <f>'Initial Search'!M249</f>
        <v>Rejected</v>
      </c>
      <c r="G69" s="44">
        <f>'Initial Search'!N66</f>
        <v>0</v>
      </c>
      <c r="H69" s="36"/>
      <c r="I69" s="29" t="s">
        <v>1623</v>
      </c>
      <c r="J69" s="29"/>
      <c r="K69" s="29"/>
      <c r="L69" s="53"/>
      <c r="M69" s="37"/>
      <c r="N69" s="36"/>
      <c r="O69" s="29"/>
      <c r="P69" s="29"/>
      <c r="Q69" s="29"/>
      <c r="R69" s="29"/>
      <c r="S69" s="29"/>
      <c r="T69" s="37"/>
      <c r="U69" s="39" t="s">
        <v>2020</v>
      </c>
      <c r="V69" s="39"/>
      <c r="W69" s="39"/>
      <c r="X69" s="29" t="s">
        <v>1778</v>
      </c>
      <c r="Y69" s="29"/>
      <c r="Z69" s="29" t="s">
        <v>1778</v>
      </c>
      <c r="AA69" s="29" t="s">
        <v>1778</v>
      </c>
      <c r="AB69" s="29" t="s">
        <v>1778</v>
      </c>
      <c r="AC69" s="29" t="s">
        <v>1778</v>
      </c>
      <c r="AD69" s="37"/>
      <c r="AE69" s="36" t="s">
        <v>1778</v>
      </c>
      <c r="AF69" s="37"/>
      <c r="AG69" s="36" t="s">
        <v>1778</v>
      </c>
      <c r="AH69" s="37"/>
      <c r="AI69" s="36" t="s">
        <v>1778</v>
      </c>
      <c r="AJ69" s="37"/>
      <c r="AK69" s="83"/>
      <c r="AL69" s="36" t="s">
        <v>1792</v>
      </c>
      <c r="AM69" s="37" t="s">
        <v>2021</v>
      </c>
      <c r="AN69" s="36"/>
      <c r="AO69" s="83"/>
      <c r="AP69" s="36" t="s">
        <v>1778</v>
      </c>
      <c r="AQ69" s="37"/>
      <c r="AR69" s="39" t="s">
        <v>1709</v>
      </c>
      <c r="AS69" s="29"/>
      <c r="AT69" s="37"/>
      <c r="AU69" s="36" t="s">
        <v>1778</v>
      </c>
      <c r="AV69" s="29"/>
      <c r="AW69" s="37"/>
      <c r="AX69" s="205"/>
      <c r="AY69" s="205"/>
      <c r="AZ69" s="204"/>
      <c r="BA69" s="88"/>
      <c r="BB69" s="88"/>
      <c r="BC69" s="37"/>
      <c r="BE69" s="69"/>
    </row>
    <row r="70" spans="1:57" ht="102" x14ac:dyDescent="0.25">
      <c r="A70" s="149">
        <v>22</v>
      </c>
      <c r="B70" s="51">
        <f>ROW('Initial Search'!257:257)</f>
        <v>257</v>
      </c>
      <c r="C70" s="46" t="str">
        <f>'Initial Search'!D257</f>
        <v>Towards Semantics-Aware Merge Support in Optimistic Model Versioning</v>
      </c>
      <c r="D70" s="49">
        <f>'Initial Search'!C257</f>
        <v>2011</v>
      </c>
      <c r="E70" s="49" t="str">
        <f>'Initial Search'!O257</f>
        <v>AMOR</v>
      </c>
      <c r="F70" s="40" t="str">
        <f>'Initial Search'!M257</f>
        <v>Accepted</v>
      </c>
      <c r="G70" s="44" t="str">
        <f>'Initial Search'!N257</f>
        <v>Approved</v>
      </c>
      <c r="H70" s="36"/>
      <c r="I70" s="29" t="s">
        <v>1623</v>
      </c>
      <c r="J70" s="29"/>
      <c r="K70" s="29"/>
      <c r="L70" s="53"/>
      <c r="M70" s="37" t="s">
        <v>2085</v>
      </c>
      <c r="N70" s="36"/>
      <c r="O70" s="29"/>
      <c r="P70" s="29"/>
      <c r="Q70" s="29"/>
      <c r="R70" s="29" t="s">
        <v>1623</v>
      </c>
      <c r="S70" s="29"/>
      <c r="T70" s="37"/>
      <c r="U70" s="39" t="s">
        <v>2086</v>
      </c>
      <c r="V70" s="39"/>
      <c r="W70" s="39"/>
      <c r="X70" s="29" t="s">
        <v>1915</v>
      </c>
      <c r="Y70" s="42" t="s">
        <v>2258</v>
      </c>
      <c r="Z70" s="29" t="s">
        <v>1686</v>
      </c>
      <c r="AA70" s="29" t="s">
        <v>1723</v>
      </c>
      <c r="AB70" s="29" t="s">
        <v>1778</v>
      </c>
      <c r="AC70" s="29" t="s">
        <v>1699</v>
      </c>
      <c r="AD70" s="37" t="s">
        <v>2087</v>
      </c>
      <c r="AE70" s="36" t="s">
        <v>1778</v>
      </c>
      <c r="AF70" s="37"/>
      <c r="AG70" s="36" t="s">
        <v>1778</v>
      </c>
      <c r="AH70" s="37"/>
      <c r="AI70" s="39" t="s">
        <v>2090</v>
      </c>
      <c r="AJ70" s="37" t="s">
        <v>2088</v>
      </c>
      <c r="AK70" s="96"/>
      <c r="AL70" s="36" t="s">
        <v>1670</v>
      </c>
      <c r="AM70" s="37"/>
      <c r="AN70" s="41" t="s">
        <v>1778</v>
      </c>
      <c r="AO70" s="37"/>
      <c r="AP70" s="36" t="s">
        <v>2146</v>
      </c>
      <c r="AQ70" s="37"/>
      <c r="AR70" s="39" t="s">
        <v>1743</v>
      </c>
      <c r="AS70" s="29" t="s">
        <v>1693</v>
      </c>
      <c r="AT70" s="37"/>
      <c r="AU70" s="36" t="s">
        <v>1766</v>
      </c>
      <c r="AV70" s="29"/>
      <c r="AW70" s="37" t="s">
        <v>2089</v>
      </c>
      <c r="AX70" s="39" t="s">
        <v>2979</v>
      </c>
      <c r="AY70" s="205" t="s">
        <v>2911</v>
      </c>
      <c r="AZ70" s="53" t="s">
        <v>2851</v>
      </c>
      <c r="BA70" s="88"/>
      <c r="BB70" s="224" t="s">
        <v>3047</v>
      </c>
      <c r="BC70" s="37" t="s">
        <v>2912</v>
      </c>
      <c r="BE70" s="69"/>
    </row>
    <row r="71" spans="1:57" ht="114.75" x14ac:dyDescent="0.25">
      <c r="A71" s="149">
        <v>23</v>
      </c>
      <c r="B71" s="51">
        <f>ROW('Initial Search'!218:218)</f>
        <v>218</v>
      </c>
      <c r="C71" s="46" t="str">
        <f>'Initial Search'!D218</f>
        <v>Turning Conflicts into Collaboration</v>
      </c>
      <c r="D71" s="49">
        <f>'Initial Search'!C218</f>
        <v>2012</v>
      </c>
      <c r="E71" s="49" t="str">
        <f>'Initial Search'!O218</f>
        <v>Wieland et al.</v>
      </c>
      <c r="F71" s="40" t="str">
        <f>'Initial Search'!M218</f>
        <v>Accepted</v>
      </c>
      <c r="G71" s="44" t="str">
        <f>'Initial Search'!N218</f>
        <v>Approved</v>
      </c>
      <c r="H71" s="36"/>
      <c r="I71" s="29"/>
      <c r="J71" s="29" t="s">
        <v>1623</v>
      </c>
      <c r="K71" s="29"/>
      <c r="L71" s="53"/>
      <c r="M71" s="37"/>
      <c r="N71" s="36"/>
      <c r="O71" s="29" t="s">
        <v>1623</v>
      </c>
      <c r="P71" s="29" t="s">
        <v>1623</v>
      </c>
      <c r="Q71" s="29"/>
      <c r="R71" s="29"/>
      <c r="S71" s="29"/>
      <c r="T71" s="37"/>
      <c r="U71" s="39" t="s">
        <v>2023</v>
      </c>
      <c r="V71" s="39"/>
      <c r="W71" s="39"/>
      <c r="X71" s="29" t="s">
        <v>1915</v>
      </c>
      <c r="Y71" s="42" t="s">
        <v>2258</v>
      </c>
      <c r="Z71" s="29" t="s">
        <v>1686</v>
      </c>
      <c r="AA71" s="29" t="s">
        <v>1877</v>
      </c>
      <c r="AB71" s="53" t="s">
        <v>1887</v>
      </c>
      <c r="AC71" s="53" t="s">
        <v>2562</v>
      </c>
      <c r="AD71" s="37"/>
      <c r="AE71" s="36" t="s">
        <v>3762</v>
      </c>
      <c r="AF71" s="37" t="s">
        <v>3777</v>
      </c>
      <c r="AG71" s="36" t="s">
        <v>1778</v>
      </c>
      <c r="AH71" s="37"/>
      <c r="AI71" s="36" t="s">
        <v>2091</v>
      </c>
      <c r="AJ71" s="37" t="s">
        <v>2095</v>
      </c>
      <c r="AK71" s="96"/>
      <c r="AL71" s="36" t="s">
        <v>1792</v>
      </c>
      <c r="AM71" s="37" t="s">
        <v>2096</v>
      </c>
      <c r="AN71" s="36" t="s">
        <v>1623</v>
      </c>
      <c r="AO71" s="37" t="s">
        <v>2094</v>
      </c>
      <c r="AP71" s="39" t="s">
        <v>2676</v>
      </c>
      <c r="AQ71" s="37" t="s">
        <v>2097</v>
      </c>
      <c r="AR71" s="39" t="s">
        <v>1743</v>
      </c>
      <c r="AS71" s="29" t="s">
        <v>1693</v>
      </c>
      <c r="AT71" s="37"/>
      <c r="AU71" s="36" t="s">
        <v>1766</v>
      </c>
      <c r="AV71" s="29" t="s">
        <v>1682</v>
      </c>
      <c r="AW71" s="37" t="s">
        <v>2098</v>
      </c>
      <c r="AX71" s="39" t="s">
        <v>2851</v>
      </c>
      <c r="AY71" s="205"/>
      <c r="AZ71" s="53" t="s">
        <v>2851</v>
      </c>
      <c r="BA71" s="88"/>
      <c r="BB71" s="224" t="s">
        <v>3048</v>
      </c>
      <c r="BC71" s="37" t="s">
        <v>2917</v>
      </c>
      <c r="BE71" s="69"/>
    </row>
    <row r="72" spans="1:57" ht="102" x14ac:dyDescent="0.25">
      <c r="A72" s="149">
        <v>24</v>
      </c>
      <c r="B72" s="51">
        <f>ROW('Initial Search'!225:225)</f>
        <v>225</v>
      </c>
      <c r="C72" s="46" t="str">
        <f>'Initial Search'!D225</f>
        <v>A fundamental approach to model versioning based on graph modifications: from theory to implementation</v>
      </c>
      <c r="D72" s="49">
        <f>'Initial Search'!C225</f>
        <v>2014</v>
      </c>
      <c r="E72" s="49" t="str">
        <f>'Initial Search'!O225</f>
        <v>Taentzer et al.</v>
      </c>
      <c r="F72" s="40" t="str">
        <f>'Initial Search'!M225</f>
        <v>Accepted</v>
      </c>
      <c r="G72" s="44" t="str">
        <f>'Initial Search'!N225</f>
        <v>Approved</v>
      </c>
      <c r="H72" s="36"/>
      <c r="I72" s="29"/>
      <c r="J72" s="29" t="s">
        <v>1623</v>
      </c>
      <c r="K72" s="29"/>
      <c r="L72" s="53" t="s">
        <v>2199</v>
      </c>
      <c r="M72" s="37" t="s">
        <v>1770</v>
      </c>
      <c r="N72" s="36"/>
      <c r="O72" s="29" t="s">
        <v>1623</v>
      </c>
      <c r="P72" s="29"/>
      <c r="Q72" s="29" t="s">
        <v>1623</v>
      </c>
      <c r="R72" s="29"/>
      <c r="S72" s="29"/>
      <c r="T72" s="37"/>
      <c r="U72" s="39" t="s">
        <v>2122</v>
      </c>
      <c r="V72" s="39" t="s">
        <v>1623</v>
      </c>
      <c r="W72" s="39"/>
      <c r="X72" s="29" t="s">
        <v>1915</v>
      </c>
      <c r="Y72" s="42" t="s">
        <v>2258</v>
      </c>
      <c r="Z72" s="29" t="s">
        <v>1686</v>
      </c>
      <c r="AA72" s="29" t="s">
        <v>1687</v>
      </c>
      <c r="AB72" s="53" t="s">
        <v>1712</v>
      </c>
      <c r="AC72" s="29" t="s">
        <v>1699</v>
      </c>
      <c r="AD72" s="37"/>
      <c r="AE72" s="36" t="s">
        <v>2575</v>
      </c>
      <c r="AF72" s="37" t="s">
        <v>2726</v>
      </c>
      <c r="AG72" s="36" t="s">
        <v>1778</v>
      </c>
      <c r="AH72" s="37"/>
      <c r="AI72" s="39" t="s">
        <v>2604</v>
      </c>
      <c r="AJ72" s="37" t="s">
        <v>2605</v>
      </c>
      <c r="AK72" s="96"/>
      <c r="AL72" s="36" t="s">
        <v>1792</v>
      </c>
      <c r="AM72" s="37" t="s">
        <v>2125</v>
      </c>
      <c r="AN72" s="39" t="s">
        <v>1778</v>
      </c>
      <c r="AO72" s="37"/>
      <c r="AP72" s="36" t="s">
        <v>2586</v>
      </c>
      <c r="AQ72" s="37" t="s">
        <v>2689</v>
      </c>
      <c r="AR72" s="39" t="s">
        <v>1743</v>
      </c>
      <c r="AS72" s="29" t="s">
        <v>1693</v>
      </c>
      <c r="AT72" s="37" t="s">
        <v>2126</v>
      </c>
      <c r="AU72" s="36" t="s">
        <v>1800</v>
      </c>
      <c r="AV72" s="29" t="s">
        <v>1682</v>
      </c>
      <c r="AW72" s="37"/>
      <c r="AX72" s="39" t="s">
        <v>2851</v>
      </c>
      <c r="AY72" s="205"/>
      <c r="AZ72" s="53" t="s">
        <v>2851</v>
      </c>
      <c r="BA72" s="88"/>
      <c r="BB72" s="224" t="s">
        <v>3050</v>
      </c>
      <c r="BC72" s="37" t="s">
        <v>2920</v>
      </c>
      <c r="BE72" s="69"/>
    </row>
    <row r="73" spans="1:57" ht="127.5" x14ac:dyDescent="0.25">
      <c r="A73" s="149">
        <v>24</v>
      </c>
      <c r="B73" s="51">
        <f>ROW('Initial Search'!241:241)</f>
        <v>241</v>
      </c>
      <c r="C73" s="46" t="str">
        <f>'Initial Search'!D241</f>
        <v>Conflict Detection for Model Versioning Based on Graph Modifications</v>
      </c>
      <c r="D73" s="49">
        <f>'Initial Search'!C241</f>
        <v>2010</v>
      </c>
      <c r="E73" s="49" t="str">
        <f>'Initial Search'!O241</f>
        <v>Taentzer et al.</v>
      </c>
      <c r="F73" s="40" t="str">
        <f>'Initial Search'!M241</f>
        <v>Accepted</v>
      </c>
      <c r="G73" s="44" t="str">
        <f>'Initial Search'!N241</f>
        <v>Approved</v>
      </c>
      <c r="H73" s="36"/>
      <c r="I73" s="29"/>
      <c r="J73" s="29"/>
      <c r="K73" s="29"/>
      <c r="L73" s="53" t="s">
        <v>2199</v>
      </c>
      <c r="M73" s="37" t="s">
        <v>1770</v>
      </c>
      <c r="N73" s="36"/>
      <c r="O73" s="29" t="s">
        <v>1623</v>
      </c>
      <c r="P73" s="29"/>
      <c r="Q73" s="29" t="s">
        <v>1623</v>
      </c>
      <c r="R73" s="29"/>
      <c r="S73" s="29"/>
      <c r="T73" s="37" t="s">
        <v>2123</v>
      </c>
      <c r="U73" s="39" t="s">
        <v>2122</v>
      </c>
      <c r="V73" s="39" t="s">
        <v>1623</v>
      </c>
      <c r="W73" s="39"/>
      <c r="X73" s="29" t="s">
        <v>1915</v>
      </c>
      <c r="Y73" s="42" t="s">
        <v>2258</v>
      </c>
      <c r="Z73" s="29" t="s">
        <v>1686</v>
      </c>
      <c r="AA73" s="29" t="s">
        <v>1687</v>
      </c>
      <c r="AB73" s="29" t="s">
        <v>1778</v>
      </c>
      <c r="AC73" s="29" t="s">
        <v>1699</v>
      </c>
      <c r="AD73" s="37"/>
      <c r="AE73" s="36" t="s">
        <v>1778</v>
      </c>
      <c r="AF73" s="37"/>
      <c r="AG73" s="36" t="s">
        <v>1778</v>
      </c>
      <c r="AH73" s="37"/>
      <c r="AI73" s="39" t="s">
        <v>2604</v>
      </c>
      <c r="AJ73" s="37" t="s">
        <v>2603</v>
      </c>
      <c r="AK73" s="96"/>
      <c r="AL73" s="36" t="s">
        <v>1670</v>
      </c>
      <c r="AM73" s="37"/>
      <c r="AN73" s="39" t="s">
        <v>1778</v>
      </c>
      <c r="AO73" s="37"/>
      <c r="AP73" s="36" t="s">
        <v>1778</v>
      </c>
      <c r="AQ73" s="37"/>
      <c r="AR73" s="39" t="s">
        <v>1709</v>
      </c>
      <c r="AS73" s="29" t="s">
        <v>1778</v>
      </c>
      <c r="AT73" s="37"/>
      <c r="AU73" s="36" t="s">
        <v>1778</v>
      </c>
      <c r="AV73" s="29"/>
      <c r="AW73" s="37"/>
      <c r="AX73" s="39" t="s">
        <v>2851</v>
      </c>
      <c r="AY73" s="205"/>
      <c r="AZ73" s="53" t="s">
        <v>2851</v>
      </c>
      <c r="BA73" s="88"/>
      <c r="BB73" s="224" t="s">
        <v>3051</v>
      </c>
      <c r="BC73" s="37" t="s">
        <v>2918</v>
      </c>
      <c r="BE73" s="69"/>
    </row>
    <row r="74" spans="1:57" ht="63.75" x14ac:dyDescent="0.25">
      <c r="A74" s="148">
        <v>43</v>
      </c>
      <c r="B74" s="51">
        <f>ROW('Initial Search'!204:204)</f>
        <v>204</v>
      </c>
      <c r="C74" s="46" t="str">
        <f>'Initial Search'!D204</f>
        <v>Detecting structural refactoring conflicts using critical pair analysis</v>
      </c>
      <c r="D74" s="49">
        <f>'Initial Search'!C204</f>
        <v>2005</v>
      </c>
      <c r="E74" s="49" t="str">
        <f>'Initial Search'!O204</f>
        <v>Mens et al. (AGG)</v>
      </c>
      <c r="F74" s="40" t="str">
        <f>'Initial Search'!M204</f>
        <v>Accepted</v>
      </c>
      <c r="G74" s="44" t="str">
        <f>'Initial Search'!N204</f>
        <v>Approved</v>
      </c>
      <c r="H74" s="36"/>
      <c r="I74" s="29"/>
      <c r="J74" s="29"/>
      <c r="K74" s="29"/>
      <c r="L74" s="53" t="s">
        <v>2461</v>
      </c>
      <c r="M74" s="37"/>
      <c r="N74" s="36"/>
      <c r="O74" s="29" t="s">
        <v>1623</v>
      </c>
      <c r="P74" s="29" t="s">
        <v>1623</v>
      </c>
      <c r="Q74" s="29"/>
      <c r="R74" s="29"/>
      <c r="S74" s="29"/>
      <c r="T74" s="37" t="s">
        <v>2457</v>
      </c>
      <c r="U74" s="39" t="s">
        <v>2456</v>
      </c>
      <c r="V74" s="39"/>
      <c r="W74" s="39"/>
      <c r="X74" s="29" t="s">
        <v>1915</v>
      </c>
      <c r="Y74" s="42" t="s">
        <v>2258</v>
      </c>
      <c r="Z74" s="29" t="s">
        <v>1686</v>
      </c>
      <c r="AA74" s="29" t="s">
        <v>1723</v>
      </c>
      <c r="AB74" s="29" t="s">
        <v>1707</v>
      </c>
      <c r="AC74" s="29" t="s">
        <v>1698</v>
      </c>
      <c r="AD74" s="37"/>
      <c r="AE74" s="36" t="s">
        <v>3778</v>
      </c>
      <c r="AF74" s="37"/>
      <c r="AG74" s="36" t="s">
        <v>1778</v>
      </c>
      <c r="AH74" s="37"/>
      <c r="AI74" s="39" t="s">
        <v>2458</v>
      </c>
      <c r="AJ74" s="37" t="s">
        <v>2459</v>
      </c>
      <c r="AK74" s="96" t="s">
        <v>2196</v>
      </c>
      <c r="AL74" s="36" t="s">
        <v>1792</v>
      </c>
      <c r="AM74" s="37" t="s">
        <v>2460</v>
      </c>
      <c r="AN74" s="39" t="s">
        <v>1778</v>
      </c>
      <c r="AO74" s="37"/>
      <c r="AP74" s="36" t="s">
        <v>2179</v>
      </c>
      <c r="AQ74" s="37"/>
      <c r="AR74" s="39" t="s">
        <v>1743</v>
      </c>
      <c r="AS74" s="29" t="s">
        <v>1693</v>
      </c>
      <c r="AT74" s="37" t="s">
        <v>2462</v>
      </c>
      <c r="AU74" s="36" t="s">
        <v>1778</v>
      </c>
      <c r="AV74" s="29" t="s">
        <v>1778</v>
      </c>
      <c r="AW74" s="37"/>
      <c r="AX74" s="39" t="s">
        <v>2851</v>
      </c>
      <c r="AY74" s="205"/>
      <c r="AZ74" s="53" t="s">
        <v>2851</v>
      </c>
      <c r="BA74" s="88"/>
      <c r="BB74" s="224" t="s">
        <v>3053</v>
      </c>
      <c r="BC74" s="37" t="s">
        <v>2921</v>
      </c>
      <c r="BE74" s="69"/>
    </row>
    <row r="75" spans="1:57" ht="89.25" hidden="1" x14ac:dyDescent="0.25">
      <c r="A75"/>
      <c r="B75" s="51">
        <f>ROW('Initial Search'!281:281)</f>
        <v>281</v>
      </c>
      <c r="C75" s="46" t="str">
        <f>'Initial Search'!D282</f>
        <v>Towards Collaborative Cross-Organizational Modeling</v>
      </c>
      <c r="D75" s="49">
        <f>'Initial Search'!C282</f>
        <v>2011</v>
      </c>
      <c r="E75" s="49" t="str">
        <f>'Initial Search'!O282</f>
        <v>Pichler et al.</v>
      </c>
      <c r="F75" s="40" t="str">
        <f>'Initial Search'!M282</f>
        <v>Rejected</v>
      </c>
      <c r="G75" s="44">
        <f>'Initial Search'!N72</f>
        <v>0</v>
      </c>
      <c r="H75" s="36"/>
      <c r="I75" s="29"/>
      <c r="J75" s="29"/>
      <c r="K75" s="29"/>
      <c r="L75" s="53"/>
      <c r="M75" s="37"/>
      <c r="N75" s="36"/>
      <c r="O75" s="29"/>
      <c r="P75" s="29"/>
      <c r="Q75" s="29"/>
      <c r="R75" s="29"/>
      <c r="S75" s="29"/>
      <c r="T75" s="37"/>
      <c r="U75" s="39" t="s">
        <v>2127</v>
      </c>
      <c r="V75" s="39"/>
      <c r="W75" s="39"/>
      <c r="X75" s="29" t="s">
        <v>1915</v>
      </c>
      <c r="Y75" s="29"/>
      <c r="Z75" s="29" t="s">
        <v>1686</v>
      </c>
      <c r="AA75" s="29" t="s">
        <v>1723</v>
      </c>
      <c r="AB75" s="29"/>
      <c r="AC75" s="29"/>
      <c r="AD75" s="37" t="s">
        <v>2128</v>
      </c>
      <c r="AE75" s="36" t="s">
        <v>1778</v>
      </c>
      <c r="AF75" s="37"/>
      <c r="AG75" s="36" t="s">
        <v>1778</v>
      </c>
      <c r="AH75" s="37"/>
      <c r="AI75" s="36" t="s">
        <v>1778</v>
      </c>
      <c r="AJ75" s="37"/>
      <c r="AK75" s="101"/>
      <c r="AL75" s="36" t="s">
        <v>1670</v>
      </c>
      <c r="AM75" s="37"/>
      <c r="AN75" s="39" t="s">
        <v>1778</v>
      </c>
      <c r="AO75" s="37"/>
      <c r="AP75" s="36" t="s">
        <v>1778</v>
      </c>
      <c r="AQ75" s="37"/>
      <c r="AR75" s="39" t="s">
        <v>1778</v>
      </c>
      <c r="AS75" s="29" t="s">
        <v>1778</v>
      </c>
      <c r="AT75" s="37"/>
      <c r="AU75" s="36" t="s">
        <v>1778</v>
      </c>
      <c r="AV75" s="29"/>
      <c r="AW75" s="37"/>
      <c r="AX75" s="205"/>
      <c r="AY75" s="205"/>
      <c r="AZ75" s="204"/>
      <c r="BA75" s="88"/>
      <c r="BB75" s="88"/>
      <c r="BC75" s="37"/>
      <c r="BE75" s="69"/>
    </row>
    <row r="76" spans="1:57" ht="30" hidden="1" customHeight="1" x14ac:dyDescent="0.25">
      <c r="A76"/>
      <c r="B76" s="51">
        <f>ROW('Initial Search'!81:81)</f>
        <v>81</v>
      </c>
      <c r="C76" s="46" t="str">
        <f>'Initial Search'!D81</f>
        <v>Merging Test Models</v>
      </c>
      <c r="D76" s="49">
        <f>'Initial Search'!C81</f>
        <v>2013</v>
      </c>
      <c r="E76" s="49" t="str">
        <f>'Initial Search'!O81</f>
        <v>Mussa &amp; Khendek</v>
      </c>
      <c r="F76" s="40" t="str">
        <f>'Initial Search'!M81</f>
        <v>Rejected</v>
      </c>
      <c r="G76" s="44">
        <f>'Initial Search'!N73</f>
        <v>0</v>
      </c>
      <c r="H76" s="36"/>
      <c r="I76" s="29"/>
      <c r="J76" s="29"/>
      <c r="K76" s="29"/>
      <c r="L76" s="53"/>
      <c r="M76" s="37"/>
      <c r="N76" s="36"/>
      <c r="O76" s="29"/>
      <c r="P76" s="29"/>
      <c r="Q76" s="29"/>
      <c r="R76" s="29"/>
      <c r="S76" s="29"/>
      <c r="T76" s="37"/>
      <c r="U76" s="39"/>
      <c r="V76" s="39"/>
      <c r="W76" s="39"/>
      <c r="X76" s="29" t="s">
        <v>1915</v>
      </c>
      <c r="Y76" s="29"/>
      <c r="Z76" s="29" t="s">
        <v>1685</v>
      </c>
      <c r="AA76" s="29" t="s">
        <v>1691</v>
      </c>
      <c r="AB76" s="29" t="s">
        <v>1670</v>
      </c>
      <c r="AC76" s="29" t="s">
        <v>1697</v>
      </c>
      <c r="AD76" s="37"/>
      <c r="AE76" s="36"/>
      <c r="AF76" s="37"/>
      <c r="AG76" s="36" t="s">
        <v>1665</v>
      </c>
      <c r="AH76" s="37"/>
      <c r="AI76" s="36" t="s">
        <v>1667</v>
      </c>
      <c r="AJ76" s="37" t="s">
        <v>2121</v>
      </c>
      <c r="AK76" s="101"/>
      <c r="AL76" s="36" t="s">
        <v>1670</v>
      </c>
      <c r="AM76" s="37"/>
      <c r="AN76" s="36"/>
      <c r="AO76" s="83"/>
      <c r="AP76" s="36" t="s">
        <v>1801</v>
      </c>
      <c r="AQ76" s="37" t="s">
        <v>1669</v>
      </c>
      <c r="AR76" s="39"/>
      <c r="AS76" s="29" t="s">
        <v>1693</v>
      </c>
      <c r="AT76" s="37"/>
      <c r="AU76" s="36" t="s">
        <v>1681</v>
      </c>
      <c r="AV76" s="29" t="s">
        <v>1677</v>
      </c>
      <c r="AW76" s="37" t="s">
        <v>1680</v>
      </c>
      <c r="AX76" s="205"/>
      <c r="AY76" s="205"/>
      <c r="AZ76" s="204"/>
      <c r="BA76" s="88"/>
      <c r="BB76" s="88"/>
      <c r="BC76" s="37"/>
      <c r="BE76" s="69"/>
    </row>
    <row r="77" spans="1:57" ht="51" x14ac:dyDescent="0.25">
      <c r="A77" s="149">
        <v>51</v>
      </c>
      <c r="B77" s="51">
        <f>ROW('Initial Search'!83:83)</f>
        <v>83</v>
      </c>
      <c r="C77" s="46" t="str">
        <f>'Initial Search'!D83</f>
        <v>UML2Merge: a UML extension for model merging</v>
      </c>
      <c r="D77" s="49">
        <f>'Initial Search'!C83</f>
        <v>2019</v>
      </c>
      <c r="E77" s="49" t="str">
        <f>'Initial Search'!O83</f>
        <v>UML2Merge</v>
      </c>
      <c r="F77" s="40" t="str">
        <f>'Initial Search'!M83</f>
        <v>Accepted</v>
      </c>
      <c r="G77" s="44" t="str">
        <f>'Initial Search'!N83</f>
        <v>Approved</v>
      </c>
      <c r="H77" s="36"/>
      <c r="I77" s="29" t="s">
        <v>1623</v>
      </c>
      <c r="J77" s="29"/>
      <c r="K77" s="29"/>
      <c r="L77" s="53"/>
      <c r="M77" s="37"/>
      <c r="N77" s="36"/>
      <c r="O77" s="29" t="s">
        <v>1623</v>
      </c>
      <c r="P77" s="29"/>
      <c r="Q77" s="29" t="s">
        <v>1623</v>
      </c>
      <c r="R77" s="29"/>
      <c r="S77" s="29"/>
      <c r="T77" s="37"/>
      <c r="U77" s="39" t="s">
        <v>3227</v>
      </c>
      <c r="V77" s="39"/>
      <c r="W77" s="39"/>
      <c r="X77" s="29" t="s">
        <v>1710</v>
      </c>
      <c r="Y77" s="29" t="s">
        <v>2258</v>
      </c>
      <c r="Z77" s="29" t="s">
        <v>1686</v>
      </c>
      <c r="AA77" s="29" t="s">
        <v>1692</v>
      </c>
      <c r="AB77" s="29" t="s">
        <v>1706</v>
      </c>
      <c r="AC77" s="29" t="s">
        <v>1698</v>
      </c>
      <c r="AD77" s="37"/>
      <c r="AE77" s="36" t="s">
        <v>3763</v>
      </c>
      <c r="AF77" s="37" t="s">
        <v>3799</v>
      </c>
      <c r="AG77" s="36" t="s">
        <v>1778</v>
      </c>
      <c r="AH77" s="37"/>
      <c r="AI77" s="39" t="s">
        <v>3229</v>
      </c>
      <c r="AJ77" s="37" t="s">
        <v>3228</v>
      </c>
      <c r="AK77" s="96" t="s">
        <v>2196</v>
      </c>
      <c r="AL77" s="36" t="s">
        <v>1670</v>
      </c>
      <c r="AM77" s="37"/>
      <c r="AN77" s="41" t="s">
        <v>1778</v>
      </c>
      <c r="AO77" s="37"/>
      <c r="AP77" s="36" t="s">
        <v>2586</v>
      </c>
      <c r="AQ77" s="37"/>
      <c r="AR77" s="39" t="s">
        <v>1743</v>
      </c>
      <c r="AS77" s="29" t="s">
        <v>1693</v>
      </c>
      <c r="AT77" s="37"/>
      <c r="AU77" s="36" t="s">
        <v>1679</v>
      </c>
      <c r="AV77" s="29"/>
      <c r="AW77" s="37"/>
      <c r="AX77" s="39" t="s">
        <v>3231</v>
      </c>
      <c r="AY77" s="205" t="s">
        <v>3230</v>
      </c>
      <c r="AZ77" s="204"/>
      <c r="BA77" s="88"/>
      <c r="BB77" s="224" t="s">
        <v>3233</v>
      </c>
      <c r="BC77" s="37" t="s">
        <v>3232</v>
      </c>
      <c r="BE77" s="69"/>
    </row>
    <row r="78" spans="1:57" ht="30" hidden="1" x14ac:dyDescent="0.25">
      <c r="A78"/>
      <c r="B78" s="51">
        <f>ROW('Initial Search'!84:84)</f>
        <v>84</v>
      </c>
      <c r="C78" s="46" t="str">
        <f>'Initial Search'!D84</f>
        <v>Solving two special dependency conflicts in real-time collaborative design systems</v>
      </c>
      <c r="D78" s="49">
        <f>'Initial Search'!C84</f>
        <v>2013</v>
      </c>
      <c r="E78" s="49" t="str">
        <f>'Initial Search'!O84</f>
        <v>Gao et al.</v>
      </c>
      <c r="F78" s="40" t="str">
        <f>'Initial Search'!M84</f>
        <v>Rejected</v>
      </c>
      <c r="G78" s="44">
        <f>'Initial Search'!N84</f>
        <v>0</v>
      </c>
      <c r="H78" s="36"/>
      <c r="I78" s="29"/>
      <c r="J78" s="29"/>
      <c r="K78" s="29"/>
      <c r="L78" s="53"/>
      <c r="M78" s="37"/>
      <c r="N78" s="36"/>
      <c r="O78" s="29"/>
      <c r="P78" s="29"/>
      <c r="Q78" s="29"/>
      <c r="R78" s="29"/>
      <c r="S78" s="29"/>
      <c r="T78" s="37"/>
      <c r="U78" s="39"/>
      <c r="V78" s="39"/>
      <c r="W78" s="39"/>
      <c r="X78" s="29"/>
      <c r="Y78" s="29"/>
      <c r="Z78" s="29" t="s">
        <v>1687</v>
      </c>
      <c r="AA78" s="29" t="s">
        <v>1722</v>
      </c>
      <c r="AB78" s="29" t="s">
        <v>1707</v>
      </c>
      <c r="AC78" s="29" t="s">
        <v>1699</v>
      </c>
      <c r="AD78" s="37"/>
      <c r="AE78" s="36"/>
      <c r="AF78" s="37"/>
      <c r="AG78" s="36"/>
      <c r="AH78" s="37"/>
      <c r="AI78" s="36" t="s">
        <v>1690</v>
      </c>
      <c r="AJ78" s="37"/>
      <c r="AK78" s="101"/>
      <c r="AL78" s="36" t="s">
        <v>2260</v>
      </c>
      <c r="AM78" s="37"/>
      <c r="AN78" s="36"/>
      <c r="AO78" s="83"/>
      <c r="AP78" s="36" t="s">
        <v>1689</v>
      </c>
      <c r="AQ78" s="37"/>
      <c r="AR78" s="39"/>
      <c r="AS78" s="29" t="s">
        <v>1694</v>
      </c>
      <c r="AT78" s="37"/>
      <c r="AU78" s="36"/>
      <c r="AV78" s="29" t="s">
        <v>1678</v>
      </c>
      <c r="AW78" s="37"/>
      <c r="AX78" s="205"/>
      <c r="AY78" s="205"/>
      <c r="AZ78" s="204"/>
      <c r="BA78" s="88"/>
      <c r="BB78" s="88"/>
      <c r="BC78" s="37"/>
      <c r="BE78" s="69"/>
    </row>
    <row r="79" spans="1:57" ht="30" hidden="1" x14ac:dyDescent="0.25">
      <c r="A79"/>
      <c r="B79" s="51">
        <f>ROW('Initial Search'!85:85)</f>
        <v>85</v>
      </c>
      <c r="C79" s="46" t="str">
        <f>'Initial Search'!D85</f>
        <v>A graph-based algorithm for three-way merging of ordered collections in EMF models</v>
      </c>
      <c r="D79" s="49">
        <f>'Initial Search'!C85</f>
        <v>2014</v>
      </c>
      <c r="E79" s="49" t="str">
        <f>'Initial Search'!O85</f>
        <v>BTMerge</v>
      </c>
      <c r="F79" s="40" t="str">
        <f>'Initial Search'!M85</f>
        <v>Rejected</v>
      </c>
      <c r="G79" s="44">
        <f>'Initial Search'!N85</f>
        <v>0</v>
      </c>
      <c r="H79" s="36"/>
      <c r="I79" s="29"/>
      <c r="J79" s="29"/>
      <c r="K79" s="29"/>
      <c r="L79" s="53"/>
      <c r="M79" s="37"/>
      <c r="N79" s="36"/>
      <c r="O79" s="29"/>
      <c r="P79" s="29"/>
      <c r="Q79" s="29"/>
      <c r="R79" s="29"/>
      <c r="S79" s="29"/>
      <c r="T79" s="37"/>
      <c r="U79" s="39"/>
      <c r="V79" s="39"/>
      <c r="W79" s="39"/>
      <c r="X79" s="29"/>
      <c r="Y79" s="29"/>
      <c r="Z79" s="29"/>
      <c r="AA79" s="29"/>
      <c r="AB79" s="29"/>
      <c r="AC79" s="29"/>
      <c r="AD79" s="37"/>
      <c r="AE79" s="36"/>
      <c r="AF79" s="37"/>
      <c r="AG79" s="36"/>
      <c r="AH79" s="37"/>
      <c r="AI79" s="36"/>
      <c r="AJ79" s="37"/>
      <c r="AK79" s="101"/>
      <c r="AL79" s="36"/>
      <c r="AM79" s="37"/>
      <c r="AN79" s="39"/>
      <c r="AO79" s="83"/>
      <c r="AP79" s="36"/>
      <c r="AQ79" s="37"/>
      <c r="AR79" s="39"/>
      <c r="AS79" s="29"/>
      <c r="AT79" s="37"/>
      <c r="AU79" s="36"/>
      <c r="AV79" s="29"/>
      <c r="AW79" s="37"/>
      <c r="AX79" s="205"/>
      <c r="AY79" s="205"/>
      <c r="AZ79" s="204"/>
      <c r="BA79" s="88"/>
      <c r="BB79" s="88"/>
      <c r="BC79" s="37"/>
      <c r="BE79" s="69"/>
    </row>
    <row r="80" spans="1:57" ht="63.75" x14ac:dyDescent="0.25">
      <c r="A80" s="149">
        <v>24</v>
      </c>
      <c r="B80" s="51">
        <f>ROW('Initial Search'!246:246)</f>
        <v>246</v>
      </c>
      <c r="C80" s="46" t="str">
        <f>'Initial Search'!D246</f>
        <v>A Formal Resolution Strategy for Operation-Based Conflicts in Model Versioning Using Graph Modifications</v>
      </c>
      <c r="D80" s="49">
        <f>'Initial Search'!C246</f>
        <v>2011</v>
      </c>
      <c r="E80" s="49" t="str">
        <f>'Initial Search'!O246</f>
        <v>Taentzer et al.</v>
      </c>
      <c r="F80" s="40" t="str">
        <f>'Initial Search'!M246</f>
        <v>Accepted</v>
      </c>
      <c r="G80" s="40" t="str">
        <f>'Initial Search'!N246</f>
        <v>Approved</v>
      </c>
      <c r="H80" s="36"/>
      <c r="I80" s="29"/>
      <c r="J80" s="29"/>
      <c r="K80" s="29"/>
      <c r="L80" s="53" t="s">
        <v>2199</v>
      </c>
      <c r="M80" s="37"/>
      <c r="N80" s="36"/>
      <c r="O80" s="29" t="s">
        <v>1623</v>
      </c>
      <c r="P80" s="29"/>
      <c r="Q80" s="29"/>
      <c r="R80" s="29"/>
      <c r="S80" s="29"/>
      <c r="T80" s="37" t="s">
        <v>2247</v>
      </c>
      <c r="U80" s="39" t="s">
        <v>2122</v>
      </c>
      <c r="V80" s="39"/>
      <c r="W80" s="39"/>
      <c r="X80" s="29" t="s">
        <v>1915</v>
      </c>
      <c r="Y80" s="42" t="s">
        <v>2258</v>
      </c>
      <c r="Z80" s="29" t="s">
        <v>1686</v>
      </c>
      <c r="AA80" s="29" t="s">
        <v>1687</v>
      </c>
      <c r="AB80" s="53" t="s">
        <v>1778</v>
      </c>
      <c r="AC80" s="29" t="s">
        <v>1699</v>
      </c>
      <c r="AD80" s="37"/>
      <c r="AE80" s="36" t="s">
        <v>1778</v>
      </c>
      <c r="AF80" s="37"/>
      <c r="AG80" s="39" t="s">
        <v>2583</v>
      </c>
      <c r="AH80" s="37" t="s">
        <v>2248</v>
      </c>
      <c r="AI80" s="39" t="s">
        <v>1778</v>
      </c>
      <c r="AJ80" s="37"/>
      <c r="AK80" s="96" t="s">
        <v>2197</v>
      </c>
      <c r="AL80" s="36" t="s">
        <v>1778</v>
      </c>
      <c r="AM80" s="37"/>
      <c r="AN80" s="39" t="s">
        <v>1778</v>
      </c>
      <c r="AO80" s="37"/>
      <c r="AP80" s="36" t="s">
        <v>1778</v>
      </c>
      <c r="AQ80" s="37"/>
      <c r="AR80" s="39" t="s">
        <v>1709</v>
      </c>
      <c r="AS80" s="29" t="s">
        <v>1778</v>
      </c>
      <c r="AT80" s="37"/>
      <c r="AU80" s="36" t="s">
        <v>1778</v>
      </c>
      <c r="AV80" s="29"/>
      <c r="AW80" s="37"/>
      <c r="AX80" s="39" t="s">
        <v>2851</v>
      </c>
      <c r="AY80" s="205"/>
      <c r="AZ80" s="53" t="s">
        <v>2851</v>
      </c>
      <c r="BA80" s="88"/>
      <c r="BB80" s="224" t="s">
        <v>3054</v>
      </c>
      <c r="BC80" s="37" t="s">
        <v>2919</v>
      </c>
      <c r="BE80" s="69"/>
    </row>
    <row r="81" spans="1:57" ht="76.5" x14ac:dyDescent="0.25">
      <c r="A81" s="149">
        <v>25</v>
      </c>
      <c r="B81" s="51">
        <f>ROW('Initial Search'!115:115)</f>
        <v>115</v>
      </c>
      <c r="C81" s="46" t="str">
        <f>'Initial Search'!D115</f>
        <v>Model-based tool support for consistent three-way merging of EMF models</v>
      </c>
      <c r="D81" s="49">
        <f>'Initial Search'!C115</f>
        <v>2013</v>
      </c>
      <c r="E81" s="49" t="str">
        <f>'Initial Search'!O115</f>
        <v>BTMerge</v>
      </c>
      <c r="F81" s="40" t="str">
        <f>'Initial Search'!M115</f>
        <v>Accepted</v>
      </c>
      <c r="G81" s="40" t="str">
        <f>'Initial Search'!N115</f>
        <v>Approved</v>
      </c>
      <c r="H81" s="36"/>
      <c r="I81" s="29"/>
      <c r="J81" s="29" t="s">
        <v>1623</v>
      </c>
      <c r="K81" s="29"/>
      <c r="L81" s="53"/>
      <c r="M81" s="37"/>
      <c r="N81" s="36"/>
      <c r="O81" s="29" t="s">
        <v>1623</v>
      </c>
      <c r="P81" s="29"/>
      <c r="Q81" s="29"/>
      <c r="R81" s="29"/>
      <c r="S81" s="29"/>
      <c r="T81" s="37" t="s">
        <v>2132</v>
      </c>
      <c r="U81" s="39" t="s">
        <v>1860</v>
      </c>
      <c r="V81" s="39" t="s">
        <v>1623</v>
      </c>
      <c r="W81" s="39"/>
      <c r="X81" s="29" t="s">
        <v>1915</v>
      </c>
      <c r="Y81" s="42" t="s">
        <v>2258</v>
      </c>
      <c r="Z81" s="29" t="s">
        <v>1686</v>
      </c>
      <c r="AA81" s="29" t="s">
        <v>1877</v>
      </c>
      <c r="AB81" s="53" t="s">
        <v>2131</v>
      </c>
      <c r="AC81" s="29" t="s">
        <v>1699</v>
      </c>
      <c r="AD81" s="37"/>
      <c r="AE81" s="36" t="s">
        <v>1778</v>
      </c>
      <c r="AF81" s="37"/>
      <c r="AG81" s="36" t="s">
        <v>1778</v>
      </c>
      <c r="AH81" s="37" t="s">
        <v>2133</v>
      </c>
      <c r="AI81" s="39" t="s">
        <v>2589</v>
      </c>
      <c r="AJ81" s="37" t="s">
        <v>2135</v>
      </c>
      <c r="AK81" s="96"/>
      <c r="AL81" s="36" t="s">
        <v>1792</v>
      </c>
      <c r="AM81" s="37" t="s">
        <v>2134</v>
      </c>
      <c r="AN81" s="39" t="s">
        <v>1778</v>
      </c>
      <c r="AO81" s="37"/>
      <c r="AP81" s="36" t="s">
        <v>2146</v>
      </c>
      <c r="AQ81" s="37" t="s">
        <v>2136</v>
      </c>
      <c r="AR81" s="39" t="s">
        <v>1743</v>
      </c>
      <c r="AS81" s="29" t="s">
        <v>1693</v>
      </c>
      <c r="AT81" s="37" t="s">
        <v>2137</v>
      </c>
      <c r="AU81" s="36" t="s">
        <v>1766</v>
      </c>
      <c r="AV81" s="29" t="s">
        <v>1682</v>
      </c>
      <c r="AW81" s="37"/>
      <c r="AX81" s="39" t="s">
        <v>2851</v>
      </c>
      <c r="AY81" s="205"/>
      <c r="AZ81" s="53" t="s">
        <v>2851</v>
      </c>
      <c r="BA81" s="88"/>
      <c r="BB81" s="224" t="s">
        <v>3055</v>
      </c>
      <c r="BC81" s="37" t="s">
        <v>2924</v>
      </c>
      <c r="BE81" s="69"/>
    </row>
    <row r="82" spans="1:57" ht="114.75" x14ac:dyDescent="0.25">
      <c r="A82" s="149">
        <v>25</v>
      </c>
      <c r="B82" s="51">
        <f>ROW('Initial Search'!182:182)</f>
        <v>182</v>
      </c>
      <c r="C82" s="46" t="str">
        <f>'Initial Search'!D182</f>
        <v>A graph-based algorithm for three-way merging of ordered collections in EMF models</v>
      </c>
      <c r="D82" s="49">
        <f>'Initial Search'!C182</f>
        <v>2015</v>
      </c>
      <c r="E82" s="49" t="str">
        <f>'Initial Search'!O182</f>
        <v>BTMerge</v>
      </c>
      <c r="F82" s="40" t="str">
        <f>'Initial Search'!M182</f>
        <v>Accepted</v>
      </c>
      <c r="G82" s="40" t="str">
        <f>'Initial Search'!N182</f>
        <v>Approved</v>
      </c>
      <c r="H82" s="36"/>
      <c r="I82" s="29"/>
      <c r="J82" s="29" t="s">
        <v>1623</v>
      </c>
      <c r="K82" s="29"/>
      <c r="L82" s="53" t="s">
        <v>2142</v>
      </c>
      <c r="M82" s="37"/>
      <c r="N82" s="36"/>
      <c r="O82" s="29" t="s">
        <v>1623</v>
      </c>
      <c r="P82" s="29"/>
      <c r="Q82" s="29" t="s">
        <v>1623</v>
      </c>
      <c r="R82" s="29"/>
      <c r="S82" s="29"/>
      <c r="T82" s="37" t="s">
        <v>2145</v>
      </c>
      <c r="U82" s="39" t="s">
        <v>2141</v>
      </c>
      <c r="V82" s="39" t="s">
        <v>1623</v>
      </c>
      <c r="W82" s="39"/>
      <c r="X82" s="29" t="s">
        <v>1915</v>
      </c>
      <c r="Y82" s="42" t="s">
        <v>2258</v>
      </c>
      <c r="Z82" s="29" t="s">
        <v>1686</v>
      </c>
      <c r="AA82" s="29" t="s">
        <v>1877</v>
      </c>
      <c r="AB82" s="53" t="s">
        <v>2630</v>
      </c>
      <c r="AC82" s="53" t="s">
        <v>2677</v>
      </c>
      <c r="AD82" s="37" t="s">
        <v>2690</v>
      </c>
      <c r="AE82" s="36" t="s">
        <v>1778</v>
      </c>
      <c r="AF82" s="37"/>
      <c r="AG82" s="36" t="s">
        <v>1778</v>
      </c>
      <c r="AH82" s="37"/>
      <c r="AI82" s="39" t="s">
        <v>2144</v>
      </c>
      <c r="AJ82" s="37" t="s">
        <v>2139</v>
      </c>
      <c r="AK82" s="96"/>
      <c r="AL82" s="36" t="s">
        <v>1792</v>
      </c>
      <c r="AM82" s="37" t="s">
        <v>2138</v>
      </c>
      <c r="AN82" s="39" t="s">
        <v>1778</v>
      </c>
      <c r="AO82" s="37"/>
      <c r="AP82" s="36" t="s">
        <v>2146</v>
      </c>
      <c r="AQ82" s="37"/>
      <c r="AR82" s="39" t="s">
        <v>1743</v>
      </c>
      <c r="AS82" s="29" t="s">
        <v>1693</v>
      </c>
      <c r="AT82" s="37" t="s">
        <v>2137</v>
      </c>
      <c r="AU82" s="36" t="s">
        <v>1766</v>
      </c>
      <c r="AV82" s="29"/>
      <c r="AW82" s="37"/>
      <c r="AX82" s="39" t="s">
        <v>2851</v>
      </c>
      <c r="AY82" s="205"/>
      <c r="AZ82" s="53" t="s">
        <v>2926</v>
      </c>
      <c r="BA82" s="88" t="s">
        <v>2925</v>
      </c>
      <c r="BB82" s="224" t="s">
        <v>3091</v>
      </c>
      <c r="BC82" s="37" t="s">
        <v>2927</v>
      </c>
      <c r="BE82" s="69"/>
    </row>
    <row r="83" spans="1:57" ht="51" x14ac:dyDescent="0.25">
      <c r="A83" s="149">
        <v>55</v>
      </c>
      <c r="B83" s="51">
        <f>ROW('Initial Search'!87:87)</f>
        <v>87</v>
      </c>
      <c r="C83" s="46" t="str">
        <f>'Initial Search'!D87</f>
        <v>Multifaceted Consistency Checking of Collaborative Engineering Artifacts</v>
      </c>
      <c r="D83" s="49">
        <f>'Initial Search'!C87</f>
        <v>2019</v>
      </c>
      <c r="E83" s="49" t="str">
        <f>'Initial Search'!O87</f>
        <v>Tröls et al.</v>
      </c>
      <c r="F83" s="40" t="str">
        <f>'Initial Search'!M87</f>
        <v>Accepted</v>
      </c>
      <c r="G83" s="124" t="str">
        <f>'Initial Search'!N87</f>
        <v>Approved</v>
      </c>
      <c r="H83" s="36" t="s">
        <v>1623</v>
      </c>
      <c r="I83" s="29"/>
      <c r="J83" s="29"/>
      <c r="K83" s="29"/>
      <c r="L83" s="53"/>
      <c r="M83" s="37"/>
      <c r="N83" s="36"/>
      <c r="O83" s="29" t="s">
        <v>1623</v>
      </c>
      <c r="P83" s="29"/>
      <c r="Q83" s="29"/>
      <c r="R83" s="29"/>
      <c r="S83" s="29"/>
      <c r="T83" s="37"/>
      <c r="U83" s="39" t="s">
        <v>3285</v>
      </c>
      <c r="V83" s="39"/>
      <c r="W83" s="39"/>
      <c r="X83" s="29" t="s">
        <v>1710</v>
      </c>
      <c r="Y83" s="29" t="s">
        <v>2258</v>
      </c>
      <c r="Z83" s="29" t="s">
        <v>1685</v>
      </c>
      <c r="AA83" s="29" t="s">
        <v>1723</v>
      </c>
      <c r="AB83" s="29" t="s">
        <v>1712</v>
      </c>
      <c r="AC83" s="53" t="s">
        <v>3524</v>
      </c>
      <c r="AD83" s="37" t="s">
        <v>3599</v>
      </c>
      <c r="AE83" s="36" t="s">
        <v>1778</v>
      </c>
      <c r="AF83" s="37"/>
      <c r="AG83" s="36" t="s">
        <v>1778</v>
      </c>
      <c r="AH83" s="37"/>
      <c r="AI83" s="36" t="s">
        <v>2588</v>
      </c>
      <c r="AJ83" s="37"/>
      <c r="AK83" s="96" t="s">
        <v>2197</v>
      </c>
      <c r="AL83" s="36" t="s">
        <v>1670</v>
      </c>
      <c r="AM83" s="37"/>
      <c r="AN83" s="36" t="s">
        <v>1778</v>
      </c>
      <c r="AO83" s="83"/>
      <c r="AP83" s="36" t="s">
        <v>1801</v>
      </c>
      <c r="AQ83" s="37"/>
      <c r="AR83" s="39" t="s">
        <v>1743</v>
      </c>
      <c r="AS83" s="53" t="s">
        <v>3518</v>
      </c>
      <c r="AT83" s="37"/>
      <c r="AU83" s="36"/>
      <c r="AV83" s="29"/>
      <c r="AW83" s="37"/>
      <c r="AX83" s="205" t="s">
        <v>3284</v>
      </c>
      <c r="AY83" s="205" t="s">
        <v>3813</v>
      </c>
      <c r="AZ83" s="53" t="s">
        <v>2851</v>
      </c>
      <c r="BA83" s="88"/>
      <c r="BB83" s="224" t="s">
        <v>3520</v>
      </c>
      <c r="BC83" s="37" t="s">
        <v>3286</v>
      </c>
      <c r="BE83" s="69"/>
    </row>
    <row r="84" spans="1:57" ht="30" hidden="1" x14ac:dyDescent="0.25">
      <c r="A84"/>
      <c r="B84" s="51">
        <f>ROW('Initial Search'!88:88)</f>
        <v>88</v>
      </c>
      <c r="C84" s="46" t="str">
        <f>'Initial Search'!D88</f>
        <v>Real-Time Collaborative Software Modeling Using UML with Rational Software Architect</v>
      </c>
      <c r="D84" s="49">
        <f>'Initial Search'!C88</f>
        <v>2006</v>
      </c>
      <c r="E84" s="49" t="str">
        <f>'Initial Search'!O88</f>
        <v>CoRSA</v>
      </c>
      <c r="F84" s="40" t="str">
        <f>'Initial Search'!M88</f>
        <v>Rejected</v>
      </c>
      <c r="G84" s="124"/>
      <c r="H84" s="36"/>
      <c r="I84" s="29"/>
      <c r="J84" s="29"/>
      <c r="K84" s="29"/>
      <c r="L84" s="53"/>
      <c r="M84" s="37"/>
      <c r="N84" s="36"/>
      <c r="O84" s="29"/>
      <c r="P84" s="29"/>
      <c r="Q84" s="29"/>
      <c r="R84" s="29"/>
      <c r="S84" s="29"/>
      <c r="T84" s="37"/>
      <c r="U84" s="39"/>
      <c r="V84" s="39"/>
      <c r="W84" s="39"/>
      <c r="X84" s="29"/>
      <c r="Y84" s="29"/>
      <c r="Z84" s="29"/>
      <c r="AA84" s="29"/>
      <c r="AB84" s="29"/>
      <c r="AC84" s="29"/>
      <c r="AD84" s="37"/>
      <c r="AE84" s="36"/>
      <c r="AF84" s="37"/>
      <c r="AG84" s="36"/>
      <c r="AH84" s="37"/>
      <c r="AI84" s="36"/>
      <c r="AJ84" s="37"/>
      <c r="AK84" s="101"/>
      <c r="AL84" s="36"/>
      <c r="AM84" s="37"/>
      <c r="AN84" s="41"/>
      <c r="AO84" s="83"/>
      <c r="AP84" s="36"/>
      <c r="AQ84" s="37"/>
      <c r="AR84" s="39"/>
      <c r="AS84" s="29"/>
      <c r="AT84" s="37"/>
      <c r="AU84" s="36"/>
      <c r="AV84" s="29"/>
      <c r="AW84" s="37"/>
      <c r="AX84" s="205"/>
      <c r="AY84" s="205"/>
      <c r="AZ84" s="204"/>
      <c r="BA84" s="88"/>
      <c r="BB84" s="88"/>
      <c r="BC84" s="37"/>
      <c r="BE84" s="69"/>
    </row>
    <row r="85" spans="1:57" ht="30" hidden="1" x14ac:dyDescent="0.25">
      <c r="A85"/>
      <c r="B85" s="51">
        <f>ROW('Initial Search'!179:179)</f>
        <v>179</v>
      </c>
      <c r="C85" s="46" t="str">
        <f>'Initial Search'!D179</f>
        <v>Maintaining constraints of UML models in distributed collaborative environments</v>
      </c>
      <c r="D85" s="49">
        <f>'Initial Search'!C179</f>
        <v>2009</v>
      </c>
      <c r="E85" s="49" t="str">
        <f>'Initial Search'!O179</f>
        <v>CoRSA</v>
      </c>
      <c r="F85" s="40" t="str">
        <f>'Initial Search'!M179</f>
        <v>Rejected</v>
      </c>
      <c r="G85" s="124"/>
      <c r="H85" s="36"/>
      <c r="I85" s="29"/>
      <c r="J85" s="29"/>
      <c r="K85" s="29"/>
      <c r="L85" s="53"/>
      <c r="M85" s="37"/>
      <c r="N85" s="36"/>
      <c r="O85" s="29"/>
      <c r="P85" s="29"/>
      <c r="Q85" s="29"/>
      <c r="R85" s="29"/>
      <c r="S85" s="29"/>
      <c r="T85" s="37"/>
      <c r="U85" s="39"/>
      <c r="V85" s="39"/>
      <c r="W85" s="39"/>
      <c r="X85" s="29"/>
      <c r="Y85" s="29"/>
      <c r="Z85" s="29"/>
      <c r="AA85" s="29"/>
      <c r="AB85" s="29"/>
      <c r="AC85" s="29"/>
      <c r="AD85" s="37"/>
      <c r="AE85" s="36"/>
      <c r="AF85" s="37"/>
      <c r="AG85" s="36"/>
      <c r="AH85" s="37"/>
      <c r="AI85" s="36"/>
      <c r="AJ85" s="37"/>
      <c r="AK85" s="101"/>
      <c r="AL85" s="36"/>
      <c r="AM85" s="37"/>
      <c r="AN85" s="36"/>
      <c r="AO85" s="83"/>
      <c r="AP85" s="36"/>
      <c r="AQ85" s="37"/>
      <c r="AR85" s="39"/>
      <c r="AS85" s="29"/>
      <c r="AT85" s="37"/>
      <c r="AU85" s="36"/>
      <c r="AV85" s="29"/>
      <c r="AW85" s="37"/>
      <c r="AX85" s="205"/>
      <c r="AY85" s="205"/>
      <c r="AZ85" s="204"/>
      <c r="BA85" s="88"/>
      <c r="BB85" s="88"/>
      <c r="BC85" s="37"/>
      <c r="BE85" s="69"/>
    </row>
    <row r="86" spans="1:57" ht="30" hidden="1" x14ac:dyDescent="0.25">
      <c r="A86"/>
      <c r="B86" s="51">
        <f>ROW('Initial Search'!89:89)</f>
        <v>89</v>
      </c>
      <c r="C86" s="46" t="str">
        <f>'Initial Search'!D89</f>
        <v>Towards a Framework for Distributed and Collaborative Modeling</v>
      </c>
      <c r="D86" s="49">
        <f>'Initial Search'!C89</f>
        <v>2009</v>
      </c>
      <c r="E86" s="49" t="str">
        <f>'Initial Search'!O89</f>
        <v>DISCOM</v>
      </c>
      <c r="F86" s="40" t="str">
        <f>'Initial Search'!M89</f>
        <v>Rejected</v>
      </c>
      <c r="G86" s="124"/>
      <c r="H86" s="36"/>
      <c r="I86" s="29"/>
      <c r="J86" s="29"/>
      <c r="K86" s="29"/>
      <c r="L86" s="53"/>
      <c r="M86" s="37"/>
      <c r="N86" s="36"/>
      <c r="O86" s="29"/>
      <c r="P86" s="29"/>
      <c r="Q86" s="29"/>
      <c r="R86" s="29"/>
      <c r="S86" s="29"/>
      <c r="T86" s="37"/>
      <c r="U86" s="39"/>
      <c r="V86" s="39"/>
      <c r="W86" s="39"/>
      <c r="X86" s="29"/>
      <c r="Y86" s="29"/>
      <c r="Z86" s="29"/>
      <c r="AA86" s="29"/>
      <c r="AB86" s="29"/>
      <c r="AC86" s="29"/>
      <c r="AD86" s="37"/>
      <c r="AE86" s="36"/>
      <c r="AF86" s="37"/>
      <c r="AG86" s="36"/>
      <c r="AH86" s="37"/>
      <c r="AI86" s="36"/>
      <c r="AJ86" s="37"/>
      <c r="AK86" s="101"/>
      <c r="AL86" s="36"/>
      <c r="AM86" s="37"/>
      <c r="AN86" s="39"/>
      <c r="AO86" s="83"/>
      <c r="AP86" s="36"/>
      <c r="AQ86" s="37"/>
      <c r="AR86" s="39"/>
      <c r="AS86" s="29"/>
      <c r="AT86" s="37"/>
      <c r="AU86" s="36"/>
      <c r="AV86" s="29"/>
      <c r="AW86" s="37"/>
      <c r="AX86" s="205"/>
      <c r="AY86" s="205"/>
      <c r="AZ86" s="204"/>
      <c r="BA86" s="88"/>
      <c r="BB86" s="88"/>
      <c r="BC86" s="37"/>
      <c r="BE86" s="69"/>
    </row>
    <row r="87" spans="1:57" ht="114.75" x14ac:dyDescent="0.25">
      <c r="A87" s="149">
        <v>25</v>
      </c>
      <c r="B87" s="51">
        <f>ROW('Initial Search'!221:221)</f>
        <v>221</v>
      </c>
      <c r="C87" s="46" t="str">
        <f>'Initial Search'!D221</f>
        <v>Merging of EMF models - Formal foundations</v>
      </c>
      <c r="D87" s="49">
        <f>'Initial Search'!C221</f>
        <v>2012</v>
      </c>
      <c r="E87" s="49" t="str">
        <f>'Initial Search'!O221</f>
        <v>BTMerge</v>
      </c>
      <c r="F87" s="40" t="str">
        <f>'Initial Search'!M221</f>
        <v>Accepted</v>
      </c>
      <c r="G87" s="40" t="str">
        <f>'Initial Search'!N221</f>
        <v>Approved</v>
      </c>
      <c r="H87" s="36"/>
      <c r="I87" s="29"/>
      <c r="J87" s="29" t="s">
        <v>1623</v>
      </c>
      <c r="K87" s="29"/>
      <c r="L87" s="53"/>
      <c r="M87" s="37"/>
      <c r="N87" s="36"/>
      <c r="O87" s="29" t="s">
        <v>1623</v>
      </c>
      <c r="P87" s="29"/>
      <c r="Q87" s="29" t="s">
        <v>1623</v>
      </c>
      <c r="R87" s="29"/>
      <c r="S87" s="29"/>
      <c r="T87" s="37" t="s">
        <v>2150</v>
      </c>
      <c r="U87" s="39" t="s">
        <v>2148</v>
      </c>
      <c r="V87" s="39" t="s">
        <v>1623</v>
      </c>
      <c r="W87" s="39"/>
      <c r="X87" s="29" t="s">
        <v>1915</v>
      </c>
      <c r="Y87" s="42" t="s">
        <v>2258</v>
      </c>
      <c r="Z87" s="29" t="s">
        <v>1686</v>
      </c>
      <c r="AA87" s="29" t="s">
        <v>1877</v>
      </c>
      <c r="AB87" s="29" t="s">
        <v>1778</v>
      </c>
      <c r="AC87" s="29" t="s">
        <v>1699</v>
      </c>
      <c r="AD87" s="37"/>
      <c r="AE87" s="36" t="s">
        <v>3778</v>
      </c>
      <c r="AF87" s="37"/>
      <c r="AG87" s="36" t="s">
        <v>1778</v>
      </c>
      <c r="AH87" s="37"/>
      <c r="AI87" s="39" t="s">
        <v>1833</v>
      </c>
      <c r="AJ87" s="37" t="s">
        <v>2149</v>
      </c>
      <c r="AK87" s="96"/>
      <c r="AL87" s="36" t="s">
        <v>1792</v>
      </c>
      <c r="AM87" s="37"/>
      <c r="AN87" s="39" t="s">
        <v>1778</v>
      </c>
      <c r="AO87" s="37"/>
      <c r="AP87" s="36" t="s">
        <v>1778</v>
      </c>
      <c r="AQ87" s="37"/>
      <c r="AR87" s="39" t="s">
        <v>1709</v>
      </c>
      <c r="AS87" s="29" t="s">
        <v>1778</v>
      </c>
      <c r="AT87" s="37" t="s">
        <v>1778</v>
      </c>
      <c r="AU87" s="36" t="s">
        <v>1778</v>
      </c>
      <c r="AV87" s="29"/>
      <c r="AW87" s="37"/>
      <c r="AX87" s="39" t="s">
        <v>2985</v>
      </c>
      <c r="AY87" s="205" t="s">
        <v>2922</v>
      </c>
      <c r="AZ87" s="53" t="s">
        <v>2851</v>
      </c>
      <c r="BA87" s="88"/>
      <c r="BB87" s="224" t="s">
        <v>3057</v>
      </c>
      <c r="BC87" s="37" t="s">
        <v>2923</v>
      </c>
      <c r="BE87" s="69"/>
    </row>
    <row r="88" spans="1:57" hidden="1" x14ac:dyDescent="0.25">
      <c r="A88"/>
      <c r="B88" s="51">
        <f>ROW('Initial Search'!96:96)</f>
        <v>96</v>
      </c>
      <c r="C88" s="46" t="str">
        <f>'Initial Search'!D96</f>
        <v>Collaborative Modeling - A Design Science Approach</v>
      </c>
      <c r="D88" s="49">
        <f>'Initial Search'!C96</f>
        <v>2009</v>
      </c>
      <c r="E88" s="49" t="str">
        <f>'Initial Search'!O96</f>
        <v>COMA</v>
      </c>
      <c r="F88" s="40" t="str">
        <f>'Initial Search'!M96</f>
        <v>Rejected</v>
      </c>
      <c r="G88" s="124"/>
      <c r="H88" s="36"/>
      <c r="I88" s="29"/>
      <c r="J88" s="29"/>
      <c r="K88" s="29"/>
      <c r="L88" s="53"/>
      <c r="M88" s="37"/>
      <c r="N88" s="36"/>
      <c r="O88" s="29"/>
      <c r="P88" s="29"/>
      <c r="Q88" s="29"/>
      <c r="R88" s="29"/>
      <c r="S88" s="29"/>
      <c r="T88" s="37"/>
      <c r="U88" s="39"/>
      <c r="V88" s="39"/>
      <c r="W88" s="39"/>
      <c r="X88" s="29"/>
      <c r="Y88" s="29"/>
      <c r="Z88" s="29"/>
      <c r="AA88" s="29"/>
      <c r="AB88" s="29"/>
      <c r="AC88" s="29"/>
      <c r="AD88" s="37"/>
      <c r="AE88" s="36"/>
      <c r="AF88" s="37"/>
      <c r="AG88" s="36"/>
      <c r="AH88" s="37"/>
      <c r="AI88" s="36"/>
      <c r="AJ88" s="37"/>
      <c r="AK88" s="101"/>
      <c r="AL88" s="36"/>
      <c r="AM88" s="37"/>
      <c r="AN88" s="39"/>
      <c r="AO88" s="83"/>
      <c r="AP88" s="36"/>
      <c r="AQ88" s="37"/>
      <c r="AR88" s="39"/>
      <c r="AS88" s="29"/>
      <c r="AT88" s="37"/>
      <c r="AU88" s="36"/>
      <c r="AV88" s="29"/>
      <c r="AW88" s="37"/>
      <c r="AX88" s="205"/>
      <c r="AY88" s="205"/>
      <c r="AZ88" s="204"/>
      <c r="BA88" s="88"/>
      <c r="BB88" s="88"/>
      <c r="BC88" s="37"/>
      <c r="BE88" s="69"/>
    </row>
    <row r="89" spans="1:57" ht="51" x14ac:dyDescent="0.25">
      <c r="A89" s="149">
        <v>25</v>
      </c>
      <c r="B89" s="51">
        <f>ROW('Initial Search'!108:108)</f>
        <v>108</v>
      </c>
      <c r="C89" s="46" t="str">
        <f>'Initial Search'!D108</f>
        <v>A formal approach to three-way merging of EMF models</v>
      </c>
      <c r="D89" s="49">
        <f>'Initial Search'!C108</f>
        <v>2010</v>
      </c>
      <c r="E89" s="49" t="str">
        <f>'Initial Search'!O108</f>
        <v>BTMerge</v>
      </c>
      <c r="F89" s="40" t="str">
        <f>'Initial Search'!M108</f>
        <v>Accepted</v>
      </c>
      <c r="G89" s="40" t="str">
        <f>'Initial Search'!N108</f>
        <v>Approved</v>
      </c>
      <c r="H89" s="36"/>
      <c r="I89" s="29"/>
      <c r="J89" s="29" t="s">
        <v>1623</v>
      </c>
      <c r="K89" s="29"/>
      <c r="L89" s="53"/>
      <c r="M89" s="37"/>
      <c r="N89" s="36"/>
      <c r="O89" s="29" t="s">
        <v>1623</v>
      </c>
      <c r="P89" s="29"/>
      <c r="Q89" s="29" t="s">
        <v>1623</v>
      </c>
      <c r="R89" s="29"/>
      <c r="S89" s="29"/>
      <c r="T89" s="37" t="s">
        <v>2151</v>
      </c>
      <c r="U89" s="39" t="s">
        <v>1976</v>
      </c>
      <c r="V89" s="39" t="s">
        <v>1623</v>
      </c>
      <c r="W89" s="39"/>
      <c r="X89" s="29" t="s">
        <v>1915</v>
      </c>
      <c r="Y89" s="42" t="s">
        <v>2258</v>
      </c>
      <c r="Z89" s="29" t="s">
        <v>1686</v>
      </c>
      <c r="AA89" s="29" t="s">
        <v>1877</v>
      </c>
      <c r="AB89" s="53" t="s">
        <v>2153</v>
      </c>
      <c r="AC89" s="29" t="s">
        <v>1699</v>
      </c>
      <c r="AD89" s="37" t="s">
        <v>2152</v>
      </c>
      <c r="AE89" s="36" t="s">
        <v>1778</v>
      </c>
      <c r="AF89" s="37"/>
      <c r="AG89" s="36" t="s">
        <v>1778</v>
      </c>
      <c r="AH89" s="37"/>
      <c r="AI89" s="36" t="s">
        <v>2091</v>
      </c>
      <c r="AJ89" s="37" t="s">
        <v>2154</v>
      </c>
      <c r="AK89" s="96"/>
      <c r="AL89" s="36" t="s">
        <v>1792</v>
      </c>
      <c r="AM89" s="37" t="s">
        <v>2155</v>
      </c>
      <c r="AN89" s="36" t="s">
        <v>1778</v>
      </c>
      <c r="AO89" s="37"/>
      <c r="AP89" s="36" t="s">
        <v>1778</v>
      </c>
      <c r="AQ89" s="37"/>
      <c r="AR89" s="39" t="s">
        <v>1709</v>
      </c>
      <c r="AS89" s="29" t="s">
        <v>1778</v>
      </c>
      <c r="AT89" s="37" t="s">
        <v>1778</v>
      </c>
      <c r="AU89" s="36" t="s">
        <v>1778</v>
      </c>
      <c r="AV89" s="29"/>
      <c r="AW89" s="37"/>
      <c r="AX89" s="39" t="s">
        <v>2851</v>
      </c>
      <c r="AY89" s="205"/>
      <c r="AZ89" s="53" t="s">
        <v>2851</v>
      </c>
      <c r="BA89" s="88"/>
      <c r="BB89" s="224" t="s">
        <v>2851</v>
      </c>
      <c r="BC89" s="37"/>
      <c r="BE89" s="69"/>
    </row>
    <row r="90" spans="1:57" ht="191.25" x14ac:dyDescent="0.25">
      <c r="A90" s="149">
        <v>42</v>
      </c>
      <c r="B90" s="51">
        <f>ROW('Initial Search'!98:98)</f>
        <v>98</v>
      </c>
      <c r="C90" s="46" t="str">
        <f>'Initial Search'!D98</f>
        <v>Consistency Control for Model Versions in Evolving Model-Driven Software Product Lines</v>
      </c>
      <c r="D90" s="49">
        <f>'Initial Search'!C98</f>
        <v>2019</v>
      </c>
      <c r="E90" s="49" t="str">
        <f>'Initial Search'!O98</f>
        <v>SuperMod</v>
      </c>
      <c r="F90" s="40" t="str">
        <f>'Initial Search'!M98</f>
        <v>Accepted</v>
      </c>
      <c r="G90" s="40" t="str">
        <f>'Initial Search'!N98</f>
        <v>Approved</v>
      </c>
      <c r="H90" s="36"/>
      <c r="I90" s="29"/>
      <c r="J90" s="29" t="s">
        <v>1623</v>
      </c>
      <c r="K90" s="29"/>
      <c r="L90" s="53" t="s">
        <v>2426</v>
      </c>
      <c r="M90" s="37" t="s">
        <v>2428</v>
      </c>
      <c r="N90" s="36"/>
      <c r="O90" s="29" t="s">
        <v>1623</v>
      </c>
      <c r="P90" s="29"/>
      <c r="Q90" s="29"/>
      <c r="R90" s="29"/>
      <c r="S90" s="29"/>
      <c r="T90" s="37" t="s">
        <v>2431</v>
      </c>
      <c r="U90" s="39" t="s">
        <v>2427</v>
      </c>
      <c r="V90" s="39" t="s">
        <v>1623</v>
      </c>
      <c r="W90" s="39"/>
      <c r="X90" s="29" t="s">
        <v>1915</v>
      </c>
      <c r="Y90" s="42" t="s">
        <v>2258</v>
      </c>
      <c r="Z90" s="29" t="s">
        <v>1686</v>
      </c>
      <c r="AA90" s="29" t="s">
        <v>1877</v>
      </c>
      <c r="AB90" s="53" t="s">
        <v>1712</v>
      </c>
      <c r="AC90" s="29" t="s">
        <v>2562</v>
      </c>
      <c r="AD90" s="37" t="s">
        <v>2430</v>
      </c>
      <c r="AE90" s="36" t="s">
        <v>3762</v>
      </c>
      <c r="AF90" s="37" t="s">
        <v>3800</v>
      </c>
      <c r="AG90" s="36" t="s">
        <v>1778</v>
      </c>
      <c r="AH90" s="37"/>
      <c r="AI90" s="39" t="s">
        <v>2192</v>
      </c>
      <c r="AJ90" s="37" t="s">
        <v>2433</v>
      </c>
      <c r="AK90" s="96" t="s">
        <v>2197</v>
      </c>
      <c r="AL90" s="36" t="s">
        <v>1792</v>
      </c>
      <c r="AM90" s="37" t="s">
        <v>2432</v>
      </c>
      <c r="AN90" s="41" t="s">
        <v>1778</v>
      </c>
      <c r="AO90" s="37"/>
      <c r="AP90" s="36" t="s">
        <v>2586</v>
      </c>
      <c r="AQ90" s="37" t="s">
        <v>3788</v>
      </c>
      <c r="AR90" s="39" t="s">
        <v>1765</v>
      </c>
      <c r="AS90" s="29" t="s">
        <v>1693</v>
      </c>
      <c r="AT90" s="37" t="s">
        <v>2429</v>
      </c>
      <c r="AU90" s="36" t="s">
        <v>1766</v>
      </c>
      <c r="AV90" s="29" t="s">
        <v>1677</v>
      </c>
      <c r="AW90" s="37" t="s">
        <v>2434</v>
      </c>
      <c r="AX90" s="39" t="s">
        <v>2993</v>
      </c>
      <c r="AY90" s="205" t="s">
        <v>2928</v>
      </c>
      <c r="AZ90" s="53" t="s">
        <v>2851</v>
      </c>
      <c r="BA90" s="88"/>
      <c r="BB90" s="224" t="s">
        <v>2851</v>
      </c>
      <c r="BC90" s="37"/>
      <c r="BE90" s="69"/>
    </row>
    <row r="91" spans="1:57" ht="76.5" x14ac:dyDescent="0.25">
      <c r="A91" s="148">
        <v>26</v>
      </c>
      <c r="B91" s="51">
        <f>ROW('Initial Search'!229:229)</f>
        <v>229</v>
      </c>
      <c r="C91" s="46" t="str">
        <f>'Initial Search'!D229</f>
        <v>Managing Model Conflicts in Distributed Development</v>
      </c>
      <c r="D91" s="49">
        <f>'Initial Search'!C229</f>
        <v>2008</v>
      </c>
      <c r="E91" s="49" t="str">
        <f>'Initial Search'!O229</f>
        <v>Cicchetti et al.</v>
      </c>
      <c r="F91" s="40" t="str">
        <f>'Initial Search'!M229</f>
        <v>Accepted</v>
      </c>
      <c r="G91" s="40" t="str">
        <f>'Initial Search'!N229</f>
        <v>Approved</v>
      </c>
      <c r="H91" s="36"/>
      <c r="I91" s="29" t="s">
        <v>1623</v>
      </c>
      <c r="J91" s="29" t="s">
        <v>1623</v>
      </c>
      <c r="K91" s="29"/>
      <c r="L91" s="53"/>
      <c r="M91" s="37"/>
      <c r="N91" s="36"/>
      <c r="O91" s="29" t="s">
        <v>1623</v>
      </c>
      <c r="P91" s="29"/>
      <c r="Q91" s="29" t="s">
        <v>1623</v>
      </c>
      <c r="R91" s="29"/>
      <c r="S91" s="29"/>
      <c r="T91" s="37" t="s">
        <v>2158</v>
      </c>
      <c r="U91" s="39" t="s">
        <v>2157</v>
      </c>
      <c r="V91" s="39"/>
      <c r="W91" s="39"/>
      <c r="X91" s="29" t="s">
        <v>1915</v>
      </c>
      <c r="Y91" s="42" t="s">
        <v>2258</v>
      </c>
      <c r="Z91" s="29" t="s">
        <v>1686</v>
      </c>
      <c r="AA91" s="29" t="s">
        <v>1723</v>
      </c>
      <c r="AB91" s="53" t="s">
        <v>2131</v>
      </c>
      <c r="AC91" s="29" t="s">
        <v>1699</v>
      </c>
      <c r="AD91" s="37" t="s">
        <v>2156</v>
      </c>
      <c r="AE91" s="36" t="s">
        <v>2160</v>
      </c>
      <c r="AF91" s="37" t="s">
        <v>2159</v>
      </c>
      <c r="AG91" s="36" t="s">
        <v>1778</v>
      </c>
      <c r="AH91" s="37"/>
      <c r="AI91" s="36" t="s">
        <v>2091</v>
      </c>
      <c r="AJ91" s="37" t="s">
        <v>2691</v>
      </c>
      <c r="AK91" s="96"/>
      <c r="AL91" s="36" t="s">
        <v>1670</v>
      </c>
      <c r="AM91" s="37"/>
      <c r="AN91" s="41" t="s">
        <v>1778</v>
      </c>
      <c r="AO91" s="37"/>
      <c r="AP91" s="36" t="s">
        <v>2146</v>
      </c>
      <c r="AQ91" s="37"/>
      <c r="AR91" s="39" t="s">
        <v>1743</v>
      </c>
      <c r="AS91" s="29" t="s">
        <v>1693</v>
      </c>
      <c r="AT91" s="37" t="s">
        <v>2161</v>
      </c>
      <c r="AU91" s="36" t="s">
        <v>1766</v>
      </c>
      <c r="AV91" s="29" t="s">
        <v>1678</v>
      </c>
      <c r="AW91" s="37"/>
      <c r="AX91" s="39" t="s">
        <v>2851</v>
      </c>
      <c r="AY91" s="205"/>
      <c r="AZ91" s="53" t="s">
        <v>2851</v>
      </c>
      <c r="BA91" s="88"/>
      <c r="BB91" s="224" t="s">
        <v>3059</v>
      </c>
      <c r="BC91" s="37" t="s">
        <v>2929</v>
      </c>
      <c r="BE91" s="69"/>
    </row>
    <row r="92" spans="1:57" ht="30" hidden="1" x14ac:dyDescent="0.25">
      <c r="A92"/>
      <c r="B92" s="51">
        <f>ROW('Initial Search'!230:230)</f>
        <v>230</v>
      </c>
      <c r="C92" s="46" t="str">
        <f>'Initial Search'!D231</f>
        <v>Integrated revision and variation control for evolving model-driven software product lines</v>
      </c>
      <c r="D92" s="49">
        <f>'Initial Search'!C231</f>
        <v>2019</v>
      </c>
      <c r="E92" s="49" t="str">
        <f>'Initial Search'!O231</f>
        <v>Product line</v>
      </c>
      <c r="F92" s="40" t="str">
        <f>'Initial Search'!M231</f>
        <v>Rejected</v>
      </c>
      <c r="G92" s="124"/>
      <c r="H92" s="36"/>
      <c r="I92" s="29"/>
      <c r="J92" s="29"/>
      <c r="K92" s="29"/>
      <c r="L92" s="53"/>
      <c r="M92" s="37"/>
      <c r="N92" s="36"/>
      <c r="O92" s="29"/>
      <c r="P92" s="29"/>
      <c r="Q92" s="29"/>
      <c r="R92" s="29"/>
      <c r="S92" s="29"/>
      <c r="T92" s="37"/>
      <c r="U92" s="39"/>
      <c r="V92" s="39"/>
      <c r="W92" s="39"/>
      <c r="X92" s="29"/>
      <c r="Y92" s="29"/>
      <c r="Z92" s="29"/>
      <c r="AA92" s="29"/>
      <c r="AB92" s="29"/>
      <c r="AC92" s="29"/>
      <c r="AD92" s="37"/>
      <c r="AE92" s="36"/>
      <c r="AF92" s="37"/>
      <c r="AG92" s="36"/>
      <c r="AH92" s="37"/>
      <c r="AI92" s="36"/>
      <c r="AJ92" s="37"/>
      <c r="AK92" s="83"/>
      <c r="AL92" s="36"/>
      <c r="AM92" s="37"/>
      <c r="AN92" s="36"/>
      <c r="AO92" s="83"/>
      <c r="AP92" s="36"/>
      <c r="AQ92" s="37"/>
      <c r="AR92" s="39"/>
      <c r="AS92" s="29"/>
      <c r="AT92" s="37"/>
      <c r="AU92" s="36"/>
      <c r="AV92" s="29"/>
      <c r="AW92" s="37"/>
      <c r="AX92" s="205"/>
      <c r="AY92" s="205"/>
      <c r="AZ92" s="204"/>
      <c r="BA92" s="88"/>
      <c r="BB92" s="88"/>
      <c r="BC92" s="37"/>
      <c r="BE92" s="69"/>
    </row>
    <row r="93" spans="1:57" ht="89.25" x14ac:dyDescent="0.25">
      <c r="A93" s="148">
        <v>27</v>
      </c>
      <c r="B93" s="51">
        <f>ROW('Initial Search'!111:111)</f>
        <v>111</v>
      </c>
      <c r="C93" s="46" t="str">
        <f>'Initial Search'!D111</f>
        <v>Foundations of Collaborative, Real-Time Feature Modeling</v>
      </c>
      <c r="D93" s="49">
        <f>'Initial Search'!C111</f>
        <v>2019</v>
      </c>
      <c r="E93" s="49" t="str">
        <f>'Initial Search'!O111</f>
        <v>variED</v>
      </c>
      <c r="F93" s="40" t="str">
        <f>'Initial Search'!M111</f>
        <v>Accepted</v>
      </c>
      <c r="G93" s="40" t="str">
        <f>'Initial Search'!N111</f>
        <v>Approved</v>
      </c>
      <c r="H93" s="36"/>
      <c r="I93" s="29"/>
      <c r="J93" s="29"/>
      <c r="K93" s="29"/>
      <c r="L93" s="53" t="s">
        <v>2162</v>
      </c>
      <c r="M93" s="37"/>
      <c r="N93" s="36"/>
      <c r="O93" s="29" t="s">
        <v>1623</v>
      </c>
      <c r="P93" s="29"/>
      <c r="Q93" s="29"/>
      <c r="R93" s="29"/>
      <c r="S93" s="29"/>
      <c r="T93" s="37" t="s">
        <v>2165</v>
      </c>
      <c r="U93" s="39" t="s">
        <v>1976</v>
      </c>
      <c r="V93" s="39"/>
      <c r="W93" s="39"/>
      <c r="X93" s="29" t="s">
        <v>1710</v>
      </c>
      <c r="Y93" s="42" t="s">
        <v>2258</v>
      </c>
      <c r="Z93" s="29" t="s">
        <v>1685</v>
      </c>
      <c r="AA93" s="29" t="s">
        <v>1723</v>
      </c>
      <c r="AB93" s="29" t="s">
        <v>2732</v>
      </c>
      <c r="AC93" s="29" t="s">
        <v>1698</v>
      </c>
      <c r="AD93" s="37" t="s">
        <v>2164</v>
      </c>
      <c r="AE93" s="36" t="s">
        <v>1976</v>
      </c>
      <c r="AF93" s="37" t="s">
        <v>3801</v>
      </c>
      <c r="AG93" s="36" t="s">
        <v>1778</v>
      </c>
      <c r="AH93" s="37"/>
      <c r="AI93" s="39" t="s">
        <v>1833</v>
      </c>
      <c r="AJ93" s="37" t="s">
        <v>3605</v>
      </c>
      <c r="AK93" s="96" t="s">
        <v>2197</v>
      </c>
      <c r="AL93" s="36" t="s">
        <v>1670</v>
      </c>
      <c r="AM93" s="37" t="s">
        <v>2166</v>
      </c>
      <c r="AN93" s="39" t="s">
        <v>1778</v>
      </c>
      <c r="AO93" s="37"/>
      <c r="AP93" s="36" t="s">
        <v>1801</v>
      </c>
      <c r="AQ93" s="37" t="s">
        <v>2731</v>
      </c>
      <c r="AR93" s="39" t="s">
        <v>1743</v>
      </c>
      <c r="AS93" s="29" t="s">
        <v>2216</v>
      </c>
      <c r="AT93" s="37" t="s">
        <v>2167</v>
      </c>
      <c r="AU93" s="36" t="s">
        <v>1766</v>
      </c>
      <c r="AV93" s="29" t="s">
        <v>1677</v>
      </c>
      <c r="AW93" s="37"/>
      <c r="AX93" s="39" t="s">
        <v>2851</v>
      </c>
      <c r="AY93" s="205"/>
      <c r="AZ93" s="53" t="s">
        <v>2851</v>
      </c>
      <c r="BA93" s="88"/>
      <c r="BB93" s="224" t="s">
        <v>3061</v>
      </c>
      <c r="BC93" s="37" t="s">
        <v>2930</v>
      </c>
      <c r="BE93" s="70" t="s">
        <v>2163</v>
      </c>
    </row>
    <row r="94" spans="1:57" ht="45" hidden="1" x14ac:dyDescent="0.25">
      <c r="A94"/>
      <c r="B94" s="51">
        <f>ROW('Initial Search'!112:112)</f>
        <v>112</v>
      </c>
      <c r="C94" s="46" t="str">
        <f>'Initial Search'!D112</f>
        <v>Towards accurate conflict detection in a VCS for model artifacts: a comparison of two semantically enhanced approaches</v>
      </c>
      <c r="D94" s="49">
        <f>'Initial Search'!C112</f>
        <v>2009</v>
      </c>
      <c r="E94" s="49" t="str">
        <f>'Initial Search'!O112</f>
        <v>SMoVer</v>
      </c>
      <c r="F94" s="40" t="str">
        <f>'Initial Search'!M112</f>
        <v>Rejected</v>
      </c>
      <c r="G94" s="124"/>
      <c r="H94" s="36"/>
      <c r="I94" s="29" t="s">
        <v>1623</v>
      </c>
      <c r="J94" s="29"/>
      <c r="K94" s="29"/>
      <c r="L94" s="53"/>
      <c r="M94" s="37"/>
      <c r="N94" s="36"/>
      <c r="O94" s="29" t="s">
        <v>1623</v>
      </c>
      <c r="P94" s="29"/>
      <c r="Q94" s="29"/>
      <c r="R94" s="29"/>
      <c r="S94" s="29"/>
      <c r="T94" s="37"/>
      <c r="U94" s="39" t="s">
        <v>1976</v>
      </c>
      <c r="V94" s="39"/>
      <c r="W94" s="39"/>
      <c r="X94" s="29" t="s">
        <v>1915</v>
      </c>
      <c r="Y94" s="29" t="s">
        <v>2258</v>
      </c>
      <c r="Z94" s="29" t="s">
        <v>1686</v>
      </c>
      <c r="AA94" s="29" t="s">
        <v>1877</v>
      </c>
      <c r="AB94" s="53" t="s">
        <v>2471</v>
      </c>
      <c r="AC94" s="29" t="s">
        <v>1699</v>
      </c>
      <c r="AD94" s="37"/>
      <c r="AE94" s="36" t="s">
        <v>1778</v>
      </c>
      <c r="AF94" s="37"/>
      <c r="AG94" s="36" t="s">
        <v>1778</v>
      </c>
      <c r="AH94" s="37"/>
      <c r="AI94" s="39" t="s">
        <v>3240</v>
      </c>
      <c r="AJ94" s="37"/>
      <c r="AK94" s="83"/>
      <c r="AL94" s="36"/>
      <c r="AM94" s="37"/>
      <c r="AN94" s="39"/>
      <c r="AO94" s="37"/>
      <c r="AP94" s="36"/>
      <c r="AQ94" s="37"/>
      <c r="AR94" s="39"/>
      <c r="AS94" s="29"/>
      <c r="AT94" s="37"/>
      <c r="AU94" s="36"/>
      <c r="AV94" s="29"/>
      <c r="AW94" s="37"/>
      <c r="AX94" s="205"/>
      <c r="AY94" s="205"/>
      <c r="AZ94" s="204"/>
      <c r="BA94" s="88"/>
      <c r="BB94" s="88"/>
      <c r="BC94" s="37"/>
      <c r="BE94" s="69"/>
    </row>
    <row r="95" spans="1:57" ht="191.25" x14ac:dyDescent="0.25">
      <c r="A95" s="149">
        <v>28</v>
      </c>
      <c r="B95" s="51">
        <f>ROW('Initial Search'!238:238)</f>
        <v>238</v>
      </c>
      <c r="C95" s="46" t="str">
        <f>'Initial Search'!D238</f>
        <v>Models in Conflict – Towards a Semantically Enhanced Version Control System for Models</v>
      </c>
      <c r="D95" s="49">
        <f>'Initial Search'!C238</f>
        <v>2007</v>
      </c>
      <c r="E95" s="49" t="str">
        <f>'Initial Search'!O238</f>
        <v>SMoVer</v>
      </c>
      <c r="F95" s="40" t="str">
        <f>'Initial Search'!M238</f>
        <v>Accepted</v>
      </c>
      <c r="G95" s="40" t="str">
        <f>'Initial Search'!N238</f>
        <v>Approved</v>
      </c>
      <c r="H95" s="36"/>
      <c r="I95" s="29"/>
      <c r="J95" s="29" t="s">
        <v>1623</v>
      </c>
      <c r="K95" s="29"/>
      <c r="L95" s="53"/>
      <c r="M95" s="37"/>
      <c r="N95" s="36"/>
      <c r="O95" s="29" t="s">
        <v>1623</v>
      </c>
      <c r="P95" s="29"/>
      <c r="Q95" s="29" t="s">
        <v>1623</v>
      </c>
      <c r="R95" s="29" t="s">
        <v>1623</v>
      </c>
      <c r="S95" s="29" t="s">
        <v>1623</v>
      </c>
      <c r="T95" s="37" t="s">
        <v>2170</v>
      </c>
      <c r="U95" s="39" t="s">
        <v>2169</v>
      </c>
      <c r="V95" s="39"/>
      <c r="W95" s="39"/>
      <c r="X95" s="29" t="s">
        <v>1915</v>
      </c>
      <c r="Y95" s="42" t="s">
        <v>2258</v>
      </c>
      <c r="Z95" s="29" t="s">
        <v>1686</v>
      </c>
      <c r="AA95" s="29" t="s">
        <v>1877</v>
      </c>
      <c r="AB95" s="53" t="s">
        <v>2471</v>
      </c>
      <c r="AC95" s="29" t="s">
        <v>1699</v>
      </c>
      <c r="AD95" s="37"/>
      <c r="AE95" s="36" t="s">
        <v>3763</v>
      </c>
      <c r="AF95" s="37"/>
      <c r="AG95" s="36" t="s">
        <v>1778</v>
      </c>
      <c r="AH95" s="37"/>
      <c r="AI95" s="39" t="s">
        <v>2589</v>
      </c>
      <c r="AJ95" s="37" t="s">
        <v>2591</v>
      </c>
      <c r="AK95" s="96" t="s">
        <v>2196</v>
      </c>
      <c r="AL95" s="36" t="s">
        <v>1670</v>
      </c>
      <c r="AM95" s="37"/>
      <c r="AN95" s="39" t="s">
        <v>1778</v>
      </c>
      <c r="AO95" s="37"/>
      <c r="AP95" s="36" t="s">
        <v>2146</v>
      </c>
      <c r="AQ95" s="37" t="s">
        <v>2735</v>
      </c>
      <c r="AR95" s="39" t="s">
        <v>1743</v>
      </c>
      <c r="AS95" s="29" t="s">
        <v>1693</v>
      </c>
      <c r="AT95" s="37" t="s">
        <v>2171</v>
      </c>
      <c r="AU95" s="36" t="s">
        <v>1766</v>
      </c>
      <c r="AV95" s="29" t="s">
        <v>2172</v>
      </c>
      <c r="AW95" s="37" t="s">
        <v>1680</v>
      </c>
      <c r="AX95" s="39" t="s">
        <v>2987</v>
      </c>
      <c r="AY95" s="205" t="s">
        <v>2931</v>
      </c>
      <c r="AZ95" s="53" t="s">
        <v>2851</v>
      </c>
      <c r="BA95" s="88"/>
      <c r="BB95" s="224" t="s">
        <v>3063</v>
      </c>
      <c r="BC95" s="37" t="s">
        <v>2932</v>
      </c>
      <c r="BE95" s="69"/>
    </row>
    <row r="96" spans="1:57" ht="114.75" x14ac:dyDescent="0.25">
      <c r="A96" s="149">
        <v>28</v>
      </c>
      <c r="B96" s="51">
        <f>ROW('Initial Search'!290:290)</f>
        <v>290</v>
      </c>
      <c r="C96" s="46" t="str">
        <f>'Initial Search'!D290</f>
        <v>Semantically enhanced conflict detection between model versions in SMoVer by example</v>
      </c>
      <c r="D96" s="49">
        <f>'Initial Search'!C290</f>
        <v>2007</v>
      </c>
      <c r="E96" s="49" t="str">
        <f>'Initial Search'!O290</f>
        <v>SMoVer</v>
      </c>
      <c r="F96" s="40" t="str">
        <f>'Initial Search'!M290</f>
        <v>Accepted</v>
      </c>
      <c r="G96" s="40" t="str">
        <f>'Initial Search'!N290</f>
        <v>Approved</v>
      </c>
      <c r="H96" s="36"/>
      <c r="I96" s="29"/>
      <c r="J96" s="29" t="s">
        <v>1623</v>
      </c>
      <c r="K96" s="29"/>
      <c r="L96" s="53"/>
      <c r="M96" s="37"/>
      <c r="N96" s="36"/>
      <c r="O96" s="29"/>
      <c r="P96" s="29"/>
      <c r="Q96" s="29" t="s">
        <v>1623</v>
      </c>
      <c r="R96" s="29" t="s">
        <v>1623</v>
      </c>
      <c r="S96" s="29" t="s">
        <v>1623</v>
      </c>
      <c r="T96" s="37"/>
      <c r="U96" s="39" t="s">
        <v>2469</v>
      </c>
      <c r="V96" s="39"/>
      <c r="W96" s="39"/>
      <c r="X96" s="29" t="s">
        <v>1915</v>
      </c>
      <c r="Y96" s="42" t="s">
        <v>2258</v>
      </c>
      <c r="Z96" s="29" t="s">
        <v>1686</v>
      </c>
      <c r="AA96" s="29" t="s">
        <v>1877</v>
      </c>
      <c r="AB96" s="53" t="s">
        <v>2471</v>
      </c>
      <c r="AC96" s="29" t="s">
        <v>1699</v>
      </c>
      <c r="AD96" s="37"/>
      <c r="AE96" s="36" t="s">
        <v>3763</v>
      </c>
      <c r="AF96" s="37" t="s">
        <v>3779</v>
      </c>
      <c r="AG96" s="36" t="s">
        <v>1778</v>
      </c>
      <c r="AH96" s="37"/>
      <c r="AI96" s="39" t="s">
        <v>2589</v>
      </c>
      <c r="AJ96" s="37" t="s">
        <v>2592</v>
      </c>
      <c r="AK96" s="96" t="s">
        <v>2196</v>
      </c>
      <c r="AL96" s="36" t="s">
        <v>1670</v>
      </c>
      <c r="AM96" s="37"/>
      <c r="AN96" s="39" t="s">
        <v>1778</v>
      </c>
      <c r="AO96" s="83"/>
      <c r="AP96" s="36" t="s">
        <v>1778</v>
      </c>
      <c r="AQ96" s="37"/>
      <c r="AR96" s="39" t="s">
        <v>1743</v>
      </c>
      <c r="AS96" s="29" t="s">
        <v>1693</v>
      </c>
      <c r="AT96" s="37"/>
      <c r="AU96" s="36" t="s">
        <v>1766</v>
      </c>
      <c r="AV96" s="29" t="s">
        <v>2172</v>
      </c>
      <c r="AW96" s="37" t="s">
        <v>1680</v>
      </c>
      <c r="AX96" s="39" t="s">
        <v>2851</v>
      </c>
      <c r="AY96" s="205"/>
      <c r="AZ96" s="53" t="s">
        <v>2851</v>
      </c>
      <c r="BA96" s="88"/>
      <c r="BB96" s="224" t="s">
        <v>3064</v>
      </c>
      <c r="BC96" s="37" t="s">
        <v>2933</v>
      </c>
      <c r="BE96" s="69"/>
    </row>
    <row r="97" spans="1:64" ht="30" hidden="1" customHeight="1" x14ac:dyDescent="0.25">
      <c r="A97"/>
      <c r="B97" s="51">
        <f>ROW('Initial Search'!116:116)</f>
        <v>116</v>
      </c>
      <c r="C97" s="46" t="str">
        <f>'Initial Search'!D116</f>
        <v>Supporting automatic model inconsistency fixing</v>
      </c>
      <c r="D97" s="49">
        <f>'Initial Search'!C116</f>
        <v>2009</v>
      </c>
      <c r="E97" s="49" t="str">
        <f>'Initial Search'!O116</f>
        <v>Beanbag</v>
      </c>
      <c r="F97" s="40" t="str">
        <f>'Initial Search'!M116</f>
        <v>Rejected</v>
      </c>
      <c r="G97" s="124"/>
      <c r="H97" s="36"/>
      <c r="I97" s="29"/>
      <c r="J97" s="29"/>
      <c r="K97" s="29"/>
      <c r="L97" s="53"/>
      <c r="M97" s="37"/>
      <c r="N97" s="36"/>
      <c r="O97" s="29"/>
      <c r="P97" s="29"/>
      <c r="Q97" s="29"/>
      <c r="R97" s="29"/>
      <c r="S97" s="29"/>
      <c r="T97" s="37"/>
      <c r="U97" s="39"/>
      <c r="V97" s="39"/>
      <c r="W97" s="39"/>
      <c r="X97" s="29" t="s">
        <v>1778</v>
      </c>
      <c r="Y97" s="29"/>
      <c r="Z97" s="29"/>
      <c r="AA97" s="29"/>
      <c r="AB97" s="29" t="s">
        <v>2470</v>
      </c>
      <c r="AC97" s="29"/>
      <c r="AD97" s="37"/>
      <c r="AE97" s="36"/>
      <c r="AF97" s="37"/>
      <c r="AG97" s="36"/>
      <c r="AH97" s="37"/>
      <c r="AI97" s="36"/>
      <c r="AJ97" s="37"/>
      <c r="AK97" s="83" t="s">
        <v>1778</v>
      </c>
      <c r="AL97" s="36"/>
      <c r="AM97" s="37"/>
      <c r="AN97" s="36"/>
      <c r="AO97" s="83"/>
      <c r="AP97" s="36"/>
      <c r="AQ97" s="37"/>
      <c r="AR97" s="39" t="s">
        <v>1778</v>
      </c>
      <c r="AS97" s="29"/>
      <c r="AT97" s="37"/>
      <c r="AU97" s="36"/>
      <c r="AV97" s="29"/>
      <c r="AW97" s="37"/>
      <c r="AX97" s="205"/>
      <c r="AY97" s="205"/>
      <c r="AZ97" s="204"/>
      <c r="BA97" s="88"/>
      <c r="BB97" s="88"/>
      <c r="BC97" s="37"/>
      <c r="BE97" s="69"/>
    </row>
    <row r="98" spans="1:64" ht="153" hidden="1" x14ac:dyDescent="0.25">
      <c r="A98"/>
      <c r="B98" s="51">
        <f>ROW('Initial Search'!125:125)</f>
        <v>125</v>
      </c>
      <c r="C98" s="46" t="str">
        <f>'Initial Search'!D125</f>
        <v>Specifying overlaps of heterogeneous models for global consistency checking</v>
      </c>
      <c r="D98" s="49">
        <f>'Initial Search'!C125</f>
        <v>2010</v>
      </c>
      <c r="E98" s="49" t="str">
        <f>'Initial Search'!O125</f>
        <v>CCM-algorithm</v>
      </c>
      <c r="F98" s="40" t="str">
        <f>'Initial Search'!M125</f>
        <v>Rejected</v>
      </c>
      <c r="G98" s="124"/>
      <c r="H98" s="36"/>
      <c r="I98" s="29" t="s">
        <v>1623</v>
      </c>
      <c r="J98" s="29"/>
      <c r="K98" s="29"/>
      <c r="L98" s="53"/>
      <c r="M98" s="37"/>
      <c r="N98" s="36"/>
      <c r="O98" s="29" t="s">
        <v>1623</v>
      </c>
      <c r="P98" s="29"/>
      <c r="Q98" s="29" t="s">
        <v>1623</v>
      </c>
      <c r="R98" s="29" t="s">
        <v>1623</v>
      </c>
      <c r="S98" s="29"/>
      <c r="T98" s="37" t="s">
        <v>3242</v>
      </c>
      <c r="U98" s="39" t="s">
        <v>3241</v>
      </c>
      <c r="V98" s="39"/>
      <c r="W98" s="39"/>
      <c r="X98" s="29" t="s">
        <v>1915</v>
      </c>
      <c r="Y98" s="29" t="s">
        <v>2258</v>
      </c>
      <c r="Z98" s="29" t="s">
        <v>1686</v>
      </c>
      <c r="AA98" s="29" t="s">
        <v>1877</v>
      </c>
      <c r="AB98" s="29" t="s">
        <v>3243</v>
      </c>
      <c r="AC98" s="29" t="s">
        <v>3244</v>
      </c>
      <c r="AD98" s="37" t="s">
        <v>3245</v>
      </c>
      <c r="AE98" s="36"/>
      <c r="AF98" s="37"/>
      <c r="AG98" s="36"/>
      <c r="AH98" s="37"/>
      <c r="AI98" s="36" t="s">
        <v>2588</v>
      </c>
      <c r="AJ98" s="37"/>
      <c r="AK98" s="83" t="s">
        <v>2196</v>
      </c>
      <c r="AL98" s="36" t="s">
        <v>1670</v>
      </c>
      <c r="AM98" s="37"/>
      <c r="AN98" s="41"/>
      <c r="AO98" s="83"/>
      <c r="AP98" s="36"/>
      <c r="AQ98" s="37"/>
      <c r="AR98" s="39" t="s">
        <v>1709</v>
      </c>
      <c r="AS98" s="29"/>
      <c r="AT98" s="37"/>
      <c r="AU98" s="36"/>
      <c r="AV98" s="29"/>
      <c r="AW98" s="37"/>
      <c r="AX98" s="205"/>
      <c r="AY98" s="205"/>
      <c r="AZ98" s="204"/>
      <c r="BA98" s="88"/>
      <c r="BB98" s="224" t="s">
        <v>3247</v>
      </c>
      <c r="BC98" s="37" t="s">
        <v>3246</v>
      </c>
      <c r="BE98" s="69"/>
    </row>
    <row r="99" spans="1:64" ht="30" hidden="1" x14ac:dyDescent="0.25">
      <c r="A99"/>
      <c r="B99" s="51">
        <f>ROW('Initial Search'!252:252)</f>
        <v>252</v>
      </c>
      <c r="C99" s="46" t="str">
        <f>'Initial Search'!D253</f>
        <v>Specifying Overlaps of Heterogeneous Models for Global Consistency Checking</v>
      </c>
      <c r="D99" s="49">
        <f>'Initial Search'!C253</f>
        <v>2010</v>
      </c>
      <c r="E99" s="49" t="str">
        <f>'Initial Search'!O253</f>
        <v>CCM-algorithm</v>
      </c>
      <c r="F99" s="40" t="str">
        <f>'Initial Search'!M253</f>
        <v>Rejected</v>
      </c>
      <c r="G99" s="124"/>
      <c r="H99" s="36"/>
      <c r="I99" s="29"/>
      <c r="J99" s="29"/>
      <c r="K99" s="29"/>
      <c r="L99" s="53"/>
      <c r="M99" s="37"/>
      <c r="N99" s="36"/>
      <c r="O99" s="29"/>
      <c r="P99" s="29"/>
      <c r="Q99" s="29"/>
      <c r="R99" s="29"/>
      <c r="S99" s="29"/>
      <c r="T99" s="37"/>
      <c r="U99" s="39"/>
      <c r="V99" s="39"/>
      <c r="W99" s="39"/>
      <c r="X99" s="29"/>
      <c r="Y99" s="29"/>
      <c r="Z99" s="29"/>
      <c r="AA99" s="29"/>
      <c r="AB99" s="29"/>
      <c r="AC99" s="29"/>
      <c r="AD99" s="37"/>
      <c r="AE99" s="36"/>
      <c r="AF99" s="37"/>
      <c r="AG99" s="36"/>
      <c r="AH99" s="37"/>
      <c r="AI99" s="36"/>
      <c r="AJ99" s="37"/>
      <c r="AK99" s="83"/>
      <c r="AL99" s="36"/>
      <c r="AM99" s="37"/>
      <c r="AN99" s="36"/>
      <c r="AO99" s="83"/>
      <c r="AP99" s="36"/>
      <c r="AQ99" s="37"/>
      <c r="AR99" s="39"/>
      <c r="AS99" s="29"/>
      <c r="AT99" s="37"/>
      <c r="AU99" s="36"/>
      <c r="AV99" s="29"/>
      <c r="AW99" s="37"/>
      <c r="AX99" s="205"/>
      <c r="AY99" s="205"/>
      <c r="AZ99" s="204"/>
      <c r="BA99" s="88"/>
      <c r="BB99" s="88"/>
      <c r="BC99" s="37"/>
      <c r="BD99" s="7"/>
      <c r="BE99" s="69"/>
      <c r="BF99" s="7"/>
      <c r="BG99" s="33"/>
      <c r="BH99" s="7"/>
      <c r="BI99" s="7"/>
      <c r="BJ99" s="7"/>
      <c r="BK99" s="7"/>
      <c r="BL99" s="7"/>
    </row>
    <row r="100" spans="1:64" hidden="1" x14ac:dyDescent="0.25">
      <c r="A100"/>
      <c r="B100" s="51">
        <f>ROW('Initial Search'!116:116)</f>
        <v>116</v>
      </c>
      <c r="C100" s="46" t="str">
        <f>'Initial Search'!D116</f>
        <v>Supporting automatic model inconsistency fixing</v>
      </c>
      <c r="D100" s="49">
        <f>'Initial Search'!C116</f>
        <v>2009</v>
      </c>
      <c r="E100" s="49" t="str">
        <f>'Initial Search'!O116</f>
        <v>Beanbag</v>
      </c>
      <c r="F100" s="40" t="str">
        <f>'Initial Search'!M116</f>
        <v>Rejected</v>
      </c>
      <c r="G100" s="124">
        <f>'Initial Search'!N116</f>
        <v>0</v>
      </c>
      <c r="H100" s="36"/>
      <c r="I100" s="29"/>
      <c r="J100" s="29"/>
      <c r="K100" s="29"/>
      <c r="L100" s="53"/>
      <c r="M100" s="37"/>
      <c r="N100" s="36"/>
      <c r="O100" s="29"/>
      <c r="P100" s="29"/>
      <c r="Q100" s="29"/>
      <c r="R100" s="29"/>
      <c r="S100" s="29"/>
      <c r="T100" s="37"/>
      <c r="U100" s="39"/>
      <c r="V100" s="39"/>
      <c r="W100" s="39"/>
      <c r="X100" s="29"/>
      <c r="Y100" s="29"/>
      <c r="Z100" s="29"/>
      <c r="AA100" s="29"/>
      <c r="AB100" s="29"/>
      <c r="AC100" s="29"/>
      <c r="AD100" s="37"/>
      <c r="AE100" s="36"/>
      <c r="AF100" s="37"/>
      <c r="AG100" s="36"/>
      <c r="AH100" s="37"/>
      <c r="AI100" s="36"/>
      <c r="AJ100" s="37"/>
      <c r="AK100" s="83"/>
      <c r="AL100" s="36"/>
      <c r="AM100" s="37"/>
      <c r="AN100" s="39"/>
      <c r="AO100" s="37"/>
      <c r="AP100" s="36"/>
      <c r="AQ100" s="37"/>
      <c r="AR100" s="39"/>
      <c r="AS100" s="29"/>
      <c r="AT100" s="37"/>
      <c r="AU100" s="36"/>
      <c r="AV100" s="29"/>
      <c r="AW100" s="37"/>
      <c r="AX100" s="205"/>
      <c r="AY100" s="205"/>
      <c r="AZ100" s="204"/>
      <c r="BA100" s="88"/>
      <c r="BB100" s="88"/>
      <c r="BC100" s="37"/>
      <c r="BE100" s="69"/>
    </row>
    <row r="101" spans="1:64" ht="102" x14ac:dyDescent="0.25">
      <c r="A101" s="149">
        <v>29</v>
      </c>
      <c r="B101" s="51">
        <f>ROW('Initial Search'!131:131)</f>
        <v>131</v>
      </c>
      <c r="C101" s="46" t="str">
        <f>'Initial Search'!D131</f>
        <v>A New Approach for Meaningful XML Schema Merging</v>
      </c>
      <c r="D101" s="49">
        <f>'Initial Search'!C131</f>
        <v>2014</v>
      </c>
      <c r="E101" s="49" t="str">
        <f>'Initial Search'!O131</f>
        <v>XSD-aware (XSM)</v>
      </c>
      <c r="F101" s="40" t="str">
        <f>'Initial Search'!M131</f>
        <v>Accepted</v>
      </c>
      <c r="G101" s="40" t="str">
        <f>'Initial Search'!N131</f>
        <v>Approved</v>
      </c>
      <c r="H101" s="36"/>
      <c r="I101" s="29"/>
      <c r="J101" s="29"/>
      <c r="K101" s="29"/>
      <c r="L101" s="53" t="s">
        <v>2174</v>
      </c>
      <c r="M101" s="37" t="s">
        <v>2178</v>
      </c>
      <c r="N101" s="36"/>
      <c r="O101" s="29" t="s">
        <v>1623</v>
      </c>
      <c r="P101" s="29"/>
      <c r="Q101" s="29"/>
      <c r="R101" s="29"/>
      <c r="S101" s="29"/>
      <c r="T101" s="37" t="s">
        <v>2177</v>
      </c>
      <c r="U101" s="39" t="s">
        <v>2180</v>
      </c>
      <c r="V101" s="39" t="s">
        <v>1623</v>
      </c>
      <c r="W101" s="39"/>
      <c r="X101" s="29" t="s">
        <v>1915</v>
      </c>
      <c r="Y101" s="42" t="s">
        <v>2258</v>
      </c>
      <c r="Z101" s="29" t="s">
        <v>1686</v>
      </c>
      <c r="AA101" s="29" t="s">
        <v>1877</v>
      </c>
      <c r="AB101" s="53" t="s">
        <v>2182</v>
      </c>
      <c r="AC101" s="29" t="s">
        <v>1699</v>
      </c>
      <c r="AD101" s="37" t="s">
        <v>2176</v>
      </c>
      <c r="AE101" s="36" t="s">
        <v>3762</v>
      </c>
      <c r="AF101" s="37" t="s">
        <v>3802</v>
      </c>
      <c r="AG101" s="36" t="s">
        <v>1778</v>
      </c>
      <c r="AH101" s="37"/>
      <c r="AI101" s="39" t="s">
        <v>2589</v>
      </c>
      <c r="AJ101" s="37"/>
      <c r="AK101" s="96" t="s">
        <v>2197</v>
      </c>
      <c r="AL101" s="36" t="s">
        <v>2260</v>
      </c>
      <c r="AM101" s="37" t="s">
        <v>2737</v>
      </c>
      <c r="AN101" s="39" t="s">
        <v>1778</v>
      </c>
      <c r="AO101" s="37"/>
      <c r="AP101" s="36" t="s">
        <v>2179</v>
      </c>
      <c r="AQ101" s="37" t="s">
        <v>2738</v>
      </c>
      <c r="AR101" s="39" t="s">
        <v>1743</v>
      </c>
      <c r="AS101" s="29" t="s">
        <v>1693</v>
      </c>
      <c r="AT101" s="37" t="s">
        <v>2181</v>
      </c>
      <c r="AU101" s="36" t="s">
        <v>1679</v>
      </c>
      <c r="AV101" s="29" t="s">
        <v>1682</v>
      </c>
      <c r="AW101" s="37"/>
      <c r="AX101" s="39" t="s">
        <v>2851</v>
      </c>
      <c r="AY101" s="205"/>
      <c r="AZ101" s="53" t="s">
        <v>2851</v>
      </c>
      <c r="BA101" s="88"/>
      <c r="BB101" s="224" t="s">
        <v>3065</v>
      </c>
      <c r="BC101" s="37" t="s">
        <v>2935</v>
      </c>
      <c r="BE101" s="69"/>
    </row>
    <row r="102" spans="1:64" ht="63.75" x14ac:dyDescent="0.25">
      <c r="A102" s="149">
        <v>54</v>
      </c>
      <c r="B102" s="51">
        <f>ROW('Initial Search'!134:134)</f>
        <v>134</v>
      </c>
      <c r="C102" s="46" t="str">
        <f>'Initial Search'!D134</f>
        <v>Enhancing version control with domain-specific semantics</v>
      </c>
      <c r="D102" s="49">
        <f>'Initial Search'!C134</f>
        <v>2013</v>
      </c>
      <c r="E102" s="49" t="str">
        <f>'Initial Search'!O134</f>
        <v>Foucault et al.</v>
      </c>
      <c r="F102" s="40" t="str">
        <f>'Initial Search'!M134</f>
        <v>Accepted</v>
      </c>
      <c r="G102" s="40" t="str">
        <f>'Initial Search'!N134</f>
        <v>Approved</v>
      </c>
      <c r="H102" s="36"/>
      <c r="I102" s="29" t="s">
        <v>1623</v>
      </c>
      <c r="J102" s="29"/>
      <c r="K102" s="29"/>
      <c r="M102" s="37" t="s">
        <v>2184</v>
      </c>
      <c r="N102" s="36"/>
      <c r="O102" s="29" t="s">
        <v>1623</v>
      </c>
      <c r="P102" s="29"/>
      <c r="Q102" s="29"/>
      <c r="R102" s="29"/>
      <c r="S102" s="29"/>
      <c r="T102" s="37"/>
      <c r="U102" s="39" t="s">
        <v>2187</v>
      </c>
      <c r="V102" s="39"/>
      <c r="W102" s="39"/>
      <c r="X102" s="29" t="s">
        <v>1915</v>
      </c>
      <c r="Y102" s="29" t="s">
        <v>2258</v>
      </c>
      <c r="Z102" s="29" t="s">
        <v>1686</v>
      </c>
      <c r="AA102" s="29" t="s">
        <v>1723</v>
      </c>
      <c r="AB102" s="29" t="s">
        <v>1712</v>
      </c>
      <c r="AC102" s="29" t="s">
        <v>1699</v>
      </c>
      <c r="AD102" s="37"/>
      <c r="AE102" s="36" t="s">
        <v>3762</v>
      </c>
      <c r="AF102" s="37" t="s">
        <v>3803</v>
      </c>
      <c r="AG102" s="36" t="s">
        <v>1778</v>
      </c>
      <c r="AH102" s="37"/>
      <c r="AI102" s="39" t="s">
        <v>3229</v>
      </c>
      <c r="AJ102" s="37" t="s">
        <v>3268</v>
      </c>
      <c r="AK102" s="96" t="s">
        <v>2197</v>
      </c>
      <c r="AL102" s="36" t="s">
        <v>1670</v>
      </c>
      <c r="AM102" s="37"/>
      <c r="AN102" s="39" t="s">
        <v>1778</v>
      </c>
      <c r="AO102" s="37"/>
      <c r="AP102" s="36" t="s">
        <v>1801</v>
      </c>
      <c r="AQ102" s="37"/>
      <c r="AR102" s="39" t="s">
        <v>1755</v>
      </c>
      <c r="AS102" s="29" t="s">
        <v>1693</v>
      </c>
      <c r="AT102" s="37" t="s">
        <v>2186</v>
      </c>
      <c r="AU102" s="36" t="s">
        <v>1679</v>
      </c>
      <c r="AV102" s="29"/>
      <c r="AW102" s="37"/>
      <c r="AX102" s="39" t="s">
        <v>2851</v>
      </c>
      <c r="AY102" s="205"/>
      <c r="AZ102" s="53" t="s">
        <v>2851</v>
      </c>
      <c r="BA102" s="88"/>
      <c r="BB102" s="224" t="s">
        <v>3270</v>
      </c>
      <c r="BC102" s="37" t="s">
        <v>3269</v>
      </c>
      <c r="BE102" s="69"/>
    </row>
    <row r="103" spans="1:64" ht="30" hidden="1" x14ac:dyDescent="0.25">
      <c r="A103"/>
      <c r="B103" s="51">
        <f>ROW('Initial Search'!147:147)</f>
        <v>147</v>
      </c>
      <c r="C103" s="46" t="str">
        <f>'Initial Search'!D147</f>
        <v>A Model-driven Collaborative Modeling Method for Software</v>
      </c>
      <c r="D103" s="49">
        <f>'Initial Search'!C147</f>
        <v>2020</v>
      </c>
      <c r="E103" s="49" t="str">
        <f>'Initial Search'!O147</f>
        <v>Sun et al.</v>
      </c>
      <c r="F103" s="40" t="str">
        <f>'Initial Search'!M147</f>
        <v>Rejected</v>
      </c>
      <c r="G103" s="124"/>
      <c r="H103" s="36"/>
      <c r="I103" s="29"/>
      <c r="J103" s="29"/>
      <c r="K103" s="29"/>
      <c r="L103" s="53"/>
      <c r="M103" s="37"/>
      <c r="N103" s="36"/>
      <c r="O103" s="29"/>
      <c r="P103" s="29"/>
      <c r="Q103" s="29"/>
      <c r="R103" s="29"/>
      <c r="S103" s="29"/>
      <c r="T103" s="37"/>
      <c r="U103" s="39"/>
      <c r="V103" s="39"/>
      <c r="W103" s="39"/>
      <c r="X103" s="29"/>
      <c r="Y103" s="29"/>
      <c r="Z103" s="29"/>
      <c r="AA103" s="29"/>
      <c r="AB103" s="29"/>
      <c r="AC103" s="29"/>
      <c r="AD103" s="37"/>
      <c r="AE103" s="36"/>
      <c r="AF103" s="37"/>
      <c r="AG103" s="36"/>
      <c r="AH103" s="37"/>
      <c r="AI103" s="36"/>
      <c r="AJ103" s="37"/>
      <c r="AK103" s="83"/>
      <c r="AL103" s="36"/>
      <c r="AM103" s="37"/>
      <c r="AN103" s="36"/>
      <c r="AO103" s="83"/>
      <c r="AP103" s="36"/>
      <c r="AQ103" s="37"/>
      <c r="AR103" s="39"/>
      <c r="AS103" s="29"/>
      <c r="AT103" s="37"/>
      <c r="AU103" s="36"/>
      <c r="AV103" s="29"/>
      <c r="AW103" s="37"/>
      <c r="AX103" s="205"/>
      <c r="AY103" s="205"/>
      <c r="AZ103" s="204"/>
      <c r="BA103" s="88"/>
      <c r="BB103" s="88"/>
      <c r="BC103" s="37"/>
      <c r="BE103" s="69"/>
    </row>
    <row r="104" spans="1:64" hidden="1" x14ac:dyDescent="0.25">
      <c r="A104"/>
      <c r="B104" s="51">
        <f>ROW('Initial Search'!149:149)</f>
        <v>149</v>
      </c>
      <c r="C104" s="46" t="str">
        <f>'Initial Search'!D149</f>
        <v>Collaborative Modeling Empowered By Modeling Deltas</v>
      </c>
      <c r="D104" s="49">
        <f>'Initial Search'!C149</f>
        <v>2015</v>
      </c>
      <c r="E104" s="49" t="str">
        <f>'Initial Search'!O149</f>
        <v>DOL</v>
      </c>
      <c r="F104" s="40" t="str">
        <f>'Initial Search'!M149</f>
        <v>Rejected</v>
      </c>
      <c r="G104" s="124"/>
      <c r="H104" s="36"/>
      <c r="I104" s="29"/>
      <c r="J104" s="29"/>
      <c r="K104" s="29"/>
      <c r="L104" s="53"/>
      <c r="M104" s="37"/>
      <c r="N104" s="36"/>
      <c r="O104" s="29"/>
      <c r="P104" s="29"/>
      <c r="Q104" s="29"/>
      <c r="R104" s="29"/>
      <c r="S104" s="29"/>
      <c r="T104" s="37"/>
      <c r="U104" s="39"/>
      <c r="V104" s="39"/>
      <c r="W104" s="39"/>
      <c r="X104" s="29"/>
      <c r="Y104" s="29"/>
      <c r="Z104" s="29"/>
      <c r="AA104" s="29"/>
      <c r="AB104" s="29"/>
      <c r="AC104" s="29"/>
      <c r="AD104" s="37"/>
      <c r="AE104" s="36"/>
      <c r="AF104" s="37"/>
      <c r="AG104" s="36"/>
      <c r="AH104" s="37"/>
      <c r="AI104" s="36"/>
      <c r="AJ104" s="37"/>
      <c r="AK104" s="83"/>
      <c r="AL104" s="36"/>
      <c r="AM104" s="37"/>
      <c r="AN104" s="41"/>
      <c r="AO104" s="83"/>
      <c r="AP104" s="36"/>
      <c r="AQ104" s="37"/>
      <c r="AR104" s="39"/>
      <c r="AS104" s="29"/>
      <c r="AT104" s="37"/>
      <c r="AU104" s="36"/>
      <c r="AV104" s="29"/>
      <c r="AW104" s="37"/>
      <c r="AX104" s="205"/>
      <c r="AY104" s="205"/>
      <c r="AZ104" s="204"/>
      <c r="BA104" s="88"/>
      <c r="BB104" s="88"/>
      <c r="BC104" s="37"/>
      <c r="BE104" s="69"/>
    </row>
    <row r="105" spans="1:64" ht="63.75" x14ac:dyDescent="0.25">
      <c r="A105" s="148">
        <v>56</v>
      </c>
      <c r="B105" s="51">
        <f>ROW('Initial Search'!151:151)</f>
        <v>151</v>
      </c>
      <c r="C105" s="46" t="str">
        <f>'Initial Search'!D151</f>
        <v>Merging models based on given correspondences</v>
      </c>
      <c r="D105" s="49">
        <f>'Initial Search'!C151</f>
        <v>2003</v>
      </c>
      <c r="E105" s="49" t="str">
        <f>'Initial Search'!O151</f>
        <v>Vanilla</v>
      </c>
      <c r="F105" s="40" t="str">
        <f>'Initial Search'!M151</f>
        <v>Accepted</v>
      </c>
      <c r="G105" s="40" t="str">
        <f>'Initial Search'!N151</f>
        <v>Approved</v>
      </c>
      <c r="H105" s="36" t="s">
        <v>1623</v>
      </c>
      <c r="I105" s="29"/>
      <c r="J105" s="29"/>
      <c r="K105" s="29"/>
      <c r="L105" s="53"/>
      <c r="M105" s="37"/>
      <c r="N105" s="36"/>
      <c r="O105" s="29" t="s">
        <v>1623</v>
      </c>
      <c r="P105" s="29"/>
      <c r="Q105" s="29"/>
      <c r="R105" s="29"/>
      <c r="S105" s="29" t="s">
        <v>1623</v>
      </c>
      <c r="T105" s="37"/>
      <c r="U105" s="39" t="s">
        <v>2191</v>
      </c>
      <c r="V105" s="39"/>
      <c r="W105" s="39"/>
      <c r="X105" s="29" t="s">
        <v>1915</v>
      </c>
      <c r="Y105" s="29" t="s">
        <v>2258</v>
      </c>
      <c r="Z105" s="29" t="s">
        <v>1686</v>
      </c>
      <c r="AA105" s="29" t="s">
        <v>1877</v>
      </c>
      <c r="AB105" s="53" t="s">
        <v>2188</v>
      </c>
      <c r="AC105" s="29" t="s">
        <v>1698</v>
      </c>
      <c r="AD105" s="37" t="s">
        <v>2189</v>
      </c>
      <c r="AE105" s="36" t="s">
        <v>3762</v>
      </c>
      <c r="AF105" s="37" t="s">
        <v>3804</v>
      </c>
      <c r="AG105" s="36" t="s">
        <v>1778</v>
      </c>
      <c r="AH105" s="37"/>
      <c r="AI105" s="39" t="s">
        <v>2192</v>
      </c>
      <c r="AJ105" s="37" t="s">
        <v>3290</v>
      </c>
      <c r="AK105" s="96" t="s">
        <v>2197</v>
      </c>
      <c r="AL105" s="39" t="s">
        <v>2193</v>
      </c>
      <c r="AM105" s="37" t="s">
        <v>2194</v>
      </c>
      <c r="AN105" s="36" t="s">
        <v>1778</v>
      </c>
      <c r="AO105" s="37"/>
      <c r="AP105" s="36" t="s">
        <v>2179</v>
      </c>
      <c r="AQ105" s="37"/>
      <c r="AR105" s="39" t="s">
        <v>1755</v>
      </c>
      <c r="AS105" s="29" t="s">
        <v>1693</v>
      </c>
      <c r="AT105" s="37" t="s">
        <v>2195</v>
      </c>
      <c r="AU105" s="36" t="s">
        <v>1778</v>
      </c>
      <c r="AV105" s="29"/>
      <c r="AW105" s="37"/>
      <c r="AX105" s="39" t="s">
        <v>2851</v>
      </c>
      <c r="AY105" s="205"/>
      <c r="AZ105" s="53" t="s">
        <v>2851</v>
      </c>
      <c r="BA105" s="88"/>
      <c r="BB105" s="224" t="s">
        <v>3289</v>
      </c>
      <c r="BC105" s="37"/>
      <c r="BE105" s="93" t="s">
        <v>2190</v>
      </c>
    </row>
    <row r="106" spans="1:64" ht="89.25" x14ac:dyDescent="0.25">
      <c r="A106" s="148">
        <v>30</v>
      </c>
      <c r="B106" s="51">
        <f>ROW('Initial Search'!154:154)</f>
        <v>154</v>
      </c>
      <c r="C106" s="46" t="str">
        <f>'Initial Search'!D154</f>
        <v>Conflict resolution for on-the-fly change propagation in business processes</v>
      </c>
      <c r="D106" s="49">
        <f>'Initial Search'!C154</f>
        <v>2014</v>
      </c>
      <c r="E106" s="49" t="str">
        <f>'Initial Search'!O154</f>
        <v>Mafazi et al.</v>
      </c>
      <c r="F106" s="40" t="str">
        <f>'Initial Search'!M154</f>
        <v>Accepted</v>
      </c>
      <c r="G106" s="40" t="str">
        <f>'Initial Search'!N154</f>
        <v>Approved</v>
      </c>
      <c r="H106" s="36"/>
      <c r="I106" s="29"/>
      <c r="J106" s="29"/>
      <c r="K106" s="29" t="s">
        <v>1623</v>
      </c>
      <c r="L106" s="53"/>
      <c r="M106" s="37" t="s">
        <v>2201</v>
      </c>
      <c r="N106" s="36"/>
      <c r="O106" s="29" t="s">
        <v>1623</v>
      </c>
      <c r="P106" s="29"/>
      <c r="Q106" s="29"/>
      <c r="R106" s="29" t="s">
        <v>1623</v>
      </c>
      <c r="S106" s="29"/>
      <c r="T106" s="37" t="s">
        <v>2202</v>
      </c>
      <c r="U106" s="39" t="s">
        <v>2205</v>
      </c>
      <c r="V106" s="39"/>
      <c r="W106" s="39"/>
      <c r="X106" s="29" t="s">
        <v>1915</v>
      </c>
      <c r="Y106" s="42" t="s">
        <v>2258</v>
      </c>
      <c r="Z106" s="29" t="s">
        <v>1686</v>
      </c>
      <c r="AA106" s="29" t="s">
        <v>1723</v>
      </c>
      <c r="AB106" s="29" t="s">
        <v>2203</v>
      </c>
      <c r="AC106" s="29" t="s">
        <v>1699</v>
      </c>
      <c r="AD106" s="37"/>
      <c r="AE106" s="36" t="s">
        <v>3762</v>
      </c>
      <c r="AF106" s="37" t="s">
        <v>3805</v>
      </c>
      <c r="AG106" s="36"/>
      <c r="AH106" s="37"/>
      <c r="AI106" s="39" t="s">
        <v>2192</v>
      </c>
      <c r="AJ106" s="37" t="s">
        <v>2204</v>
      </c>
      <c r="AK106" s="96" t="s">
        <v>2197</v>
      </c>
      <c r="AL106" s="39" t="s">
        <v>1792</v>
      </c>
      <c r="AM106" s="37" t="s">
        <v>2571</v>
      </c>
      <c r="AN106" s="39" t="s">
        <v>1778</v>
      </c>
      <c r="AO106" s="37"/>
      <c r="AP106" s="36" t="s">
        <v>1778</v>
      </c>
      <c r="AQ106" s="37"/>
      <c r="AR106" s="39" t="s">
        <v>1709</v>
      </c>
      <c r="AS106" s="29" t="s">
        <v>1778</v>
      </c>
      <c r="AT106" s="37" t="s">
        <v>1778</v>
      </c>
      <c r="AU106" s="36" t="s">
        <v>1778</v>
      </c>
      <c r="AV106" s="29"/>
      <c r="AW106" s="37"/>
      <c r="AX106" s="39" t="s">
        <v>2998</v>
      </c>
      <c r="AY106" s="205" t="s">
        <v>2936</v>
      </c>
      <c r="AZ106" s="53" t="s">
        <v>2851</v>
      </c>
      <c r="BA106" s="88"/>
      <c r="BB106" s="224" t="s">
        <v>3066</v>
      </c>
      <c r="BC106" s="37" t="s">
        <v>2937</v>
      </c>
    </row>
    <row r="107" spans="1:64" ht="45" hidden="1" customHeight="1" x14ac:dyDescent="0.25">
      <c r="A107"/>
      <c r="B107" s="51">
        <f>ROW('Initial Search'!175:175)</f>
        <v>175</v>
      </c>
      <c r="C107" s="46" t="str">
        <f>'Initial Search'!D175</f>
        <v>Correct composition in the presence of behavioural conflicts and dephasing</v>
      </c>
      <c r="D107" s="49">
        <f>'Initial Search'!C175</f>
        <v>2019</v>
      </c>
      <c r="E107" s="49" t="str">
        <f>'Initial Search'!O175</f>
        <v>SMT</v>
      </c>
      <c r="F107" s="40" t="str">
        <f>'Initial Search'!M175</f>
        <v>Rejected</v>
      </c>
      <c r="G107" s="124"/>
      <c r="H107" s="36"/>
      <c r="I107" s="29"/>
      <c r="J107" s="29"/>
      <c r="K107" s="29"/>
      <c r="L107" s="53"/>
      <c r="M107" s="37"/>
      <c r="N107" s="36"/>
      <c r="O107" s="29"/>
      <c r="P107" s="29"/>
      <c r="Q107" s="29"/>
      <c r="R107" s="29"/>
      <c r="S107" s="29"/>
      <c r="T107" s="37"/>
      <c r="U107" s="39"/>
      <c r="V107" s="39"/>
      <c r="W107" s="39"/>
      <c r="X107" s="29"/>
      <c r="Y107" s="29"/>
      <c r="Z107" s="29"/>
      <c r="AA107" s="29"/>
      <c r="AB107" s="29"/>
      <c r="AC107" s="29"/>
      <c r="AD107" s="37"/>
      <c r="AE107" s="36"/>
      <c r="AF107" s="37"/>
      <c r="AG107" s="36"/>
      <c r="AH107" s="37"/>
      <c r="AI107" s="36"/>
      <c r="AJ107" s="37"/>
      <c r="AK107" s="101"/>
      <c r="AL107" s="36"/>
      <c r="AM107" s="37"/>
      <c r="AN107" s="39"/>
      <c r="AO107" s="83"/>
      <c r="AP107" s="36"/>
      <c r="AQ107" s="37"/>
      <c r="AR107" s="39"/>
      <c r="AS107" s="29"/>
      <c r="AT107" s="37"/>
      <c r="AU107" s="36"/>
      <c r="AV107" s="29"/>
      <c r="AW107" s="37"/>
      <c r="AX107" s="205"/>
      <c r="AY107" s="205"/>
      <c r="AZ107" s="204"/>
      <c r="BA107" s="88"/>
      <c r="BB107" s="88"/>
      <c r="BC107" s="37"/>
    </row>
    <row r="108" spans="1:64" ht="60" hidden="1" customHeight="1" x14ac:dyDescent="0.25">
      <c r="A108"/>
      <c r="B108" s="51">
        <f>ROW('Initial Search'!180:180)</f>
        <v>180</v>
      </c>
      <c r="C108" s="46" t="str">
        <f>'Initial Search'!D180</f>
        <v>Structuring the modeling space and supporting evolution in software product line engineering</v>
      </c>
      <c r="D108" s="49">
        <f>'Initial Search'!C180</f>
        <v>2010</v>
      </c>
      <c r="E108" s="49" t="str">
        <f>'Initial Search'!O180</f>
        <v>Siemens VAI</v>
      </c>
      <c r="F108" s="40" t="str">
        <f>'Initial Search'!M180</f>
        <v>Rejected</v>
      </c>
      <c r="G108" s="124"/>
      <c r="H108" s="36"/>
      <c r="I108" s="29"/>
      <c r="J108" s="29"/>
      <c r="K108" s="29"/>
      <c r="L108" s="53"/>
      <c r="M108" s="37"/>
      <c r="N108" s="36"/>
      <c r="O108" s="29"/>
      <c r="P108" s="29"/>
      <c r="Q108" s="29"/>
      <c r="R108" s="29"/>
      <c r="S108" s="29"/>
      <c r="T108" s="37"/>
      <c r="U108" s="39"/>
      <c r="V108" s="39"/>
      <c r="W108" s="39"/>
      <c r="X108" s="29"/>
      <c r="Y108" s="29"/>
      <c r="Z108" s="29"/>
      <c r="AA108" s="29"/>
      <c r="AB108" s="29"/>
      <c r="AC108" s="29"/>
      <c r="AD108" s="37"/>
      <c r="AE108" s="36"/>
      <c r="AF108" s="37"/>
      <c r="AG108" s="36"/>
      <c r="AH108" s="37"/>
      <c r="AI108" s="36"/>
      <c r="AJ108" s="37"/>
      <c r="AK108" s="101"/>
      <c r="AL108" s="36"/>
      <c r="AM108" s="37"/>
      <c r="AN108" s="39"/>
      <c r="AO108" s="83"/>
      <c r="AP108" s="36"/>
      <c r="AQ108" s="37"/>
      <c r="AR108" s="39"/>
      <c r="AS108" s="29"/>
      <c r="AT108" s="37"/>
      <c r="AU108" s="36"/>
      <c r="AV108" s="29"/>
      <c r="AW108" s="37"/>
      <c r="AX108" s="205"/>
      <c r="AY108" s="205"/>
      <c r="AZ108" s="204"/>
      <c r="BA108" s="88"/>
      <c r="BB108" s="88"/>
      <c r="BC108" s="37"/>
    </row>
    <row r="109" spans="1:64" ht="76.5" x14ac:dyDescent="0.25">
      <c r="A109" s="149">
        <v>31</v>
      </c>
      <c r="B109" s="51">
        <f>ROW('Initial Search'!183:183)</f>
        <v>183</v>
      </c>
      <c r="C109" s="46" t="str">
        <f>'Initial Search'!D183</f>
        <v>Formal Model Merging Applied to Class Diagram Integration</v>
      </c>
      <c r="D109" s="49">
        <f>'Initial Search'!C183</f>
        <v>2007</v>
      </c>
      <c r="E109" s="49" t="str">
        <f>'Initial Search'!O183</f>
        <v>MOMENT</v>
      </c>
      <c r="F109" s="40" t="str">
        <f>'Initial Search'!M183</f>
        <v>Accepted</v>
      </c>
      <c r="G109" s="40" t="str">
        <f>'Initial Search'!N183</f>
        <v>Approved</v>
      </c>
      <c r="H109" s="36" t="s">
        <v>1623</v>
      </c>
      <c r="I109" s="29"/>
      <c r="J109" s="29"/>
      <c r="K109" s="29"/>
      <c r="L109" s="53"/>
      <c r="M109" s="37" t="s">
        <v>1746</v>
      </c>
      <c r="N109" s="36"/>
      <c r="O109" s="29"/>
      <c r="P109" s="29"/>
      <c r="Q109" s="29"/>
      <c r="R109" s="29"/>
      <c r="S109" s="125" t="s">
        <v>1623</v>
      </c>
      <c r="T109" s="37" t="s">
        <v>2210</v>
      </c>
      <c r="U109" s="39" t="s">
        <v>2209</v>
      </c>
      <c r="V109" s="39" t="s">
        <v>1623</v>
      </c>
      <c r="W109" s="39"/>
      <c r="X109" s="29" t="s">
        <v>1915</v>
      </c>
      <c r="Y109" s="42" t="s">
        <v>2258</v>
      </c>
      <c r="Z109" s="29" t="s">
        <v>1686</v>
      </c>
      <c r="AA109" s="29" t="s">
        <v>1723</v>
      </c>
      <c r="AB109" s="29" t="s">
        <v>2211</v>
      </c>
      <c r="AC109" s="29" t="s">
        <v>1698</v>
      </c>
      <c r="AD109" s="37"/>
      <c r="AE109" s="36" t="s">
        <v>3762</v>
      </c>
      <c r="AF109" s="37" t="s">
        <v>3806</v>
      </c>
      <c r="AG109" s="36" t="s">
        <v>1778</v>
      </c>
      <c r="AH109" s="37"/>
      <c r="AI109" s="39" t="s">
        <v>2597</v>
      </c>
      <c r="AJ109" s="37" t="s">
        <v>2212</v>
      </c>
      <c r="AK109" s="96" t="s">
        <v>2197</v>
      </c>
      <c r="AL109" s="36" t="s">
        <v>2260</v>
      </c>
      <c r="AM109" s="37" t="s">
        <v>2213</v>
      </c>
      <c r="AN109" s="36" t="s">
        <v>1778</v>
      </c>
      <c r="AO109" s="37"/>
      <c r="AP109" s="36" t="s">
        <v>1778</v>
      </c>
      <c r="AQ109" s="37"/>
      <c r="AR109" s="39" t="s">
        <v>1743</v>
      </c>
      <c r="AS109" s="29" t="s">
        <v>1693</v>
      </c>
      <c r="AT109" s="37" t="s">
        <v>2214</v>
      </c>
      <c r="AU109" s="36" t="s">
        <v>1679</v>
      </c>
      <c r="AV109" s="29" t="s">
        <v>1682</v>
      </c>
      <c r="AW109" s="37"/>
      <c r="AX109" s="39" t="s">
        <v>2851</v>
      </c>
      <c r="AY109" s="205"/>
      <c r="AZ109" s="53" t="s">
        <v>2851</v>
      </c>
      <c r="BA109" s="88"/>
      <c r="BB109" s="224" t="s">
        <v>3067</v>
      </c>
      <c r="BC109" s="37" t="s">
        <v>2940</v>
      </c>
    </row>
    <row r="110" spans="1:64" ht="140.25" x14ac:dyDescent="0.25">
      <c r="A110" s="148">
        <v>32</v>
      </c>
      <c r="B110" s="51">
        <f>ROW('Initial Search'!184:184)</f>
        <v>184</v>
      </c>
      <c r="C110" s="46" t="str">
        <f>'Initial Search'!D184</f>
        <v>Near real-time collaborative modeling for view-based Web information systems engineering</v>
      </c>
      <c r="D110" s="49">
        <f>'Initial Search'!C184</f>
        <v>2017</v>
      </c>
      <c r="E110" s="49" t="str">
        <f>'Initial Search'!O184</f>
        <v>SyncMeta</v>
      </c>
      <c r="F110" s="40" t="str">
        <f>'Initial Search'!M184</f>
        <v>Accepted</v>
      </c>
      <c r="G110" s="40" t="str">
        <f>'Initial Search'!N184</f>
        <v>Approved</v>
      </c>
      <c r="H110" s="36" t="s">
        <v>1623</v>
      </c>
      <c r="I110" s="29"/>
      <c r="J110" s="29"/>
      <c r="K110" s="29"/>
      <c r="L110" s="53" t="s">
        <v>2221</v>
      </c>
      <c r="M110" s="37"/>
      <c r="N110" s="36"/>
      <c r="O110" s="29" t="s">
        <v>1623</v>
      </c>
      <c r="P110" s="29"/>
      <c r="Q110" s="29" t="s">
        <v>1623</v>
      </c>
      <c r="R110" s="29"/>
      <c r="S110" s="29"/>
      <c r="T110" s="37" t="s">
        <v>2218</v>
      </c>
      <c r="U110" s="39" t="s">
        <v>2220</v>
      </c>
      <c r="V110" s="39"/>
      <c r="W110" s="39" t="s">
        <v>1623</v>
      </c>
      <c r="X110" s="29" t="s">
        <v>1710</v>
      </c>
      <c r="Y110" s="42" t="s">
        <v>2258</v>
      </c>
      <c r="Z110" s="29" t="s">
        <v>1685</v>
      </c>
      <c r="AA110" s="29" t="s">
        <v>1723</v>
      </c>
      <c r="AB110" s="29" t="s">
        <v>1712</v>
      </c>
      <c r="AC110" s="29" t="s">
        <v>2208</v>
      </c>
      <c r="AD110" s="37"/>
      <c r="AE110" s="36" t="s">
        <v>3763</v>
      </c>
      <c r="AF110" s="37" t="s">
        <v>3780</v>
      </c>
      <c r="AG110" s="39" t="s">
        <v>2635</v>
      </c>
      <c r="AH110" s="37" t="s">
        <v>2634</v>
      </c>
      <c r="AI110" s="36" t="s">
        <v>1778</v>
      </c>
      <c r="AJ110" s="37"/>
      <c r="AK110" s="96" t="s">
        <v>1778</v>
      </c>
      <c r="AL110" s="36" t="s">
        <v>1778</v>
      </c>
      <c r="AM110" s="37"/>
      <c r="AN110" s="41" t="s">
        <v>1778</v>
      </c>
      <c r="AO110" s="37"/>
      <c r="AP110" s="36" t="s">
        <v>1778</v>
      </c>
      <c r="AQ110" s="37"/>
      <c r="AR110" s="39" t="s">
        <v>1743</v>
      </c>
      <c r="AS110" s="29" t="s">
        <v>2216</v>
      </c>
      <c r="AT110" s="64" t="s">
        <v>2217</v>
      </c>
      <c r="AU110" s="36" t="s">
        <v>1679</v>
      </c>
      <c r="AV110" s="29" t="s">
        <v>1677</v>
      </c>
      <c r="AW110" s="37"/>
      <c r="AX110" s="39" t="s">
        <v>2994</v>
      </c>
      <c r="AY110" s="205" t="s">
        <v>2945</v>
      </c>
      <c r="AZ110" s="53" t="s">
        <v>2851</v>
      </c>
      <c r="BA110" s="88"/>
      <c r="BB110" s="224" t="s">
        <v>3071</v>
      </c>
      <c r="BC110" s="37" t="s">
        <v>2946</v>
      </c>
      <c r="BE110" s="93" t="s">
        <v>2219</v>
      </c>
    </row>
    <row r="111" spans="1:64" ht="30" hidden="1" x14ac:dyDescent="0.25">
      <c r="A111"/>
      <c r="B111" s="51">
        <f>ROW('Initial Search'!187:187)</f>
        <v>187</v>
      </c>
      <c r="C111" s="46" t="str">
        <f>'Initial Search'!D187</f>
        <v>Online Collaborative Environment for Designing Complex Computational Systems</v>
      </c>
      <c r="D111" s="49">
        <f>'Initial Search'!C187</f>
        <v>2014</v>
      </c>
      <c r="E111" s="49" t="str">
        <f>'Initial Search'!O187</f>
        <v>WebGME</v>
      </c>
      <c r="F111" s="40" t="str">
        <f>'Initial Search'!M187</f>
        <v>Rejected</v>
      </c>
      <c r="G111" s="124"/>
      <c r="H111" s="36"/>
      <c r="I111" s="29"/>
      <c r="J111" s="29"/>
      <c r="K111" s="29"/>
      <c r="L111" s="53"/>
      <c r="M111" s="37"/>
      <c r="N111" s="36"/>
      <c r="O111" s="29"/>
      <c r="P111" s="29"/>
      <c r="Q111" s="29"/>
      <c r="R111" s="29"/>
      <c r="S111" s="29"/>
      <c r="T111" s="37"/>
      <c r="U111" s="39"/>
      <c r="V111" s="39"/>
      <c r="W111" s="39"/>
      <c r="X111" s="29"/>
      <c r="Y111" s="29"/>
      <c r="Z111" s="29"/>
      <c r="AA111" s="29"/>
      <c r="AB111" s="29"/>
      <c r="AC111" s="29"/>
      <c r="AD111" s="37"/>
      <c r="AE111" s="36"/>
      <c r="AF111" s="37"/>
      <c r="AG111" s="36"/>
      <c r="AH111" s="37"/>
      <c r="AI111" s="36"/>
      <c r="AJ111" s="37"/>
      <c r="AK111" s="101"/>
      <c r="AL111" s="36"/>
      <c r="AM111" s="37"/>
      <c r="AN111" s="36"/>
      <c r="AO111" s="83"/>
      <c r="AP111" s="36"/>
      <c r="AQ111" s="37"/>
      <c r="AR111" s="39"/>
      <c r="AS111" s="29"/>
      <c r="AT111" s="37"/>
      <c r="AU111" s="36"/>
      <c r="AV111" s="29"/>
      <c r="AW111" s="37"/>
      <c r="AX111" s="205"/>
      <c r="AY111" s="205"/>
      <c r="AZ111" s="204"/>
      <c r="BA111" s="88"/>
      <c r="BB111" s="88"/>
      <c r="BC111" s="37"/>
    </row>
    <row r="112" spans="1:64" ht="30" hidden="1" x14ac:dyDescent="0.25">
      <c r="A112"/>
      <c r="B112" s="51">
        <f>ROW('Initial Search'!188:188)</f>
        <v>188</v>
      </c>
      <c r="C112" s="46" t="str">
        <f>'Initial Search'!D188</f>
        <v>An approach to distributed building modeling on the basis of versions and changes</v>
      </c>
      <c r="D112" s="49">
        <f>'Initial Search'!C188</f>
        <v>2011</v>
      </c>
      <c r="E112" s="49" t="str">
        <f>'Initial Search'!O188</f>
        <v>CADEMIA</v>
      </c>
      <c r="F112" s="40" t="str">
        <f>'Initial Search'!M188</f>
        <v>Rejected</v>
      </c>
      <c r="G112" s="124"/>
      <c r="H112" s="36"/>
      <c r="I112" s="29"/>
      <c r="J112" s="29"/>
      <c r="K112" s="29"/>
      <c r="L112" s="53"/>
      <c r="M112" s="37"/>
      <c r="N112" s="36"/>
      <c r="O112" s="29"/>
      <c r="P112" s="29"/>
      <c r="Q112" s="29"/>
      <c r="R112" s="29"/>
      <c r="S112" s="29"/>
      <c r="T112" s="37"/>
      <c r="U112" s="39"/>
      <c r="V112" s="39"/>
      <c r="W112" s="39"/>
      <c r="X112" s="29"/>
      <c r="Y112" s="29"/>
      <c r="Z112" s="29"/>
      <c r="AA112" s="29"/>
      <c r="AB112" s="29"/>
      <c r="AC112" s="29"/>
      <c r="AD112" s="37"/>
      <c r="AE112" s="36"/>
      <c r="AF112" s="37"/>
      <c r="AG112" s="36"/>
      <c r="AH112" s="37"/>
      <c r="AI112" s="36"/>
      <c r="AJ112" s="37"/>
      <c r="AK112" s="101"/>
      <c r="AL112" s="36"/>
      <c r="AM112" s="37"/>
      <c r="AN112" s="39"/>
      <c r="AO112" s="83"/>
      <c r="AP112" s="36"/>
      <c r="AQ112" s="37"/>
      <c r="AR112" s="39"/>
      <c r="AS112" s="29"/>
      <c r="AT112" s="37"/>
      <c r="AU112" s="36"/>
      <c r="AV112" s="29"/>
      <c r="AW112" s="37"/>
      <c r="AX112" s="205"/>
      <c r="AY112" s="205"/>
      <c r="AZ112" s="204"/>
      <c r="BA112" s="88"/>
      <c r="BB112" s="88"/>
      <c r="BC112" s="37"/>
    </row>
    <row r="113" spans="1:55" ht="30" hidden="1" x14ac:dyDescent="0.25">
      <c r="A113"/>
      <c r="B113" s="51">
        <f>ROW('Initial Search'!191:191)</f>
        <v>191</v>
      </c>
      <c r="C113" s="46" t="str">
        <f>'Initial Search'!D191</f>
        <v>Consistency of UML class, object and statechart diagrams using ontology reasoners</v>
      </c>
      <c r="D113" s="49">
        <f>'Initial Search'!C191</f>
        <v>2015</v>
      </c>
      <c r="E113" s="49" t="str">
        <f>'Initial Search'!O191</f>
        <v>OWL2DL</v>
      </c>
      <c r="F113" s="40" t="str">
        <f>'Initial Search'!M191</f>
        <v>Rejected</v>
      </c>
      <c r="G113" s="124"/>
      <c r="H113" s="36"/>
      <c r="I113" s="29"/>
      <c r="J113" s="29"/>
      <c r="K113" s="29"/>
      <c r="L113" s="53"/>
      <c r="M113" s="37"/>
      <c r="N113" s="36"/>
      <c r="O113" s="29"/>
      <c r="P113" s="29"/>
      <c r="Q113" s="29"/>
      <c r="R113" s="29"/>
      <c r="S113" s="29"/>
      <c r="T113" s="37"/>
      <c r="U113" s="39"/>
      <c r="V113" s="39"/>
      <c r="W113" s="39"/>
      <c r="X113" s="29"/>
      <c r="Y113" s="29"/>
      <c r="Z113" s="29"/>
      <c r="AA113" s="29"/>
      <c r="AB113" s="29"/>
      <c r="AC113" s="29"/>
      <c r="AD113" s="37"/>
      <c r="AE113" s="36"/>
      <c r="AF113" s="37"/>
      <c r="AG113" s="36"/>
      <c r="AH113" s="37"/>
      <c r="AI113" s="36"/>
      <c r="AJ113" s="37"/>
      <c r="AK113" s="101"/>
      <c r="AL113" s="36"/>
      <c r="AM113" s="37"/>
      <c r="AN113" s="39"/>
      <c r="AO113" s="83"/>
      <c r="AP113" s="36"/>
      <c r="AQ113" s="37"/>
      <c r="AR113" s="39"/>
      <c r="AS113" s="29"/>
      <c r="AT113" s="37"/>
      <c r="AU113" s="36"/>
      <c r="AV113" s="29"/>
      <c r="AW113" s="37"/>
      <c r="AX113" s="205"/>
      <c r="AY113" s="205"/>
      <c r="AZ113" s="204"/>
      <c r="BA113" s="88"/>
      <c r="BB113" s="88"/>
      <c r="BC113" s="37"/>
    </row>
    <row r="114" spans="1:55" ht="30" hidden="1" x14ac:dyDescent="0.25">
      <c r="A114"/>
      <c r="B114" s="51">
        <f>ROW('Initial Search'!194:194)</f>
        <v>194</v>
      </c>
      <c r="C114" s="46" t="str">
        <f>'Initial Search'!D194</f>
        <v>A model for capturing and representing the engineering design process</v>
      </c>
      <c r="D114" s="49">
        <f>'Initial Search'!C194</f>
        <v>2007</v>
      </c>
      <c r="E114" s="49" t="str">
        <f>'Initial Search'!O194</f>
        <v>CoMoDe</v>
      </c>
      <c r="F114" s="40" t="str">
        <f>'Initial Search'!M194</f>
        <v>Rejected</v>
      </c>
      <c r="G114" s="124"/>
      <c r="H114" s="36"/>
      <c r="I114" s="29"/>
      <c r="J114" s="29"/>
      <c r="K114" s="29"/>
      <c r="L114" s="53"/>
      <c r="M114" s="37"/>
      <c r="N114" s="36"/>
      <c r="O114" s="29"/>
      <c r="P114" s="29"/>
      <c r="Q114" s="29"/>
      <c r="R114" s="29"/>
      <c r="S114" s="29"/>
      <c r="T114" s="37"/>
      <c r="U114" s="39"/>
      <c r="V114" s="39"/>
      <c r="W114" s="39"/>
      <c r="X114" s="29"/>
      <c r="Y114" s="29"/>
      <c r="Z114" s="29"/>
      <c r="AA114" s="29"/>
      <c r="AB114" s="29"/>
      <c r="AC114" s="29"/>
      <c r="AD114" s="37"/>
      <c r="AE114" s="36"/>
      <c r="AF114" s="37"/>
      <c r="AG114" s="36"/>
      <c r="AH114" s="37"/>
      <c r="AI114" s="36"/>
      <c r="AJ114" s="37"/>
      <c r="AK114" s="101"/>
      <c r="AL114" s="36"/>
      <c r="AM114" s="37"/>
      <c r="AN114" s="39"/>
      <c r="AO114" s="83"/>
      <c r="AP114" s="36"/>
      <c r="AQ114" s="37"/>
      <c r="AR114" s="39"/>
      <c r="AS114" s="29"/>
      <c r="AT114" s="37"/>
      <c r="AU114" s="36"/>
      <c r="AV114" s="29"/>
      <c r="AW114" s="37"/>
      <c r="AX114" s="205"/>
      <c r="AY114" s="205"/>
      <c r="AZ114" s="204"/>
      <c r="BA114" s="88"/>
      <c r="BB114" s="88"/>
      <c r="BC114" s="37"/>
    </row>
    <row r="115" spans="1:55" ht="30" hidden="1" x14ac:dyDescent="0.25">
      <c r="A115"/>
      <c r="B115" s="51">
        <f>ROW('Initial Search'!196:196)</f>
        <v>196</v>
      </c>
      <c r="C115" s="46" t="str">
        <f>'Initial Search'!D196</f>
        <v>Automatic extraction of product line architecture and feature models from UML class diagram variants</v>
      </c>
      <c r="D115" s="49">
        <f>'Initial Search'!C196</f>
        <v>2020</v>
      </c>
      <c r="E115" s="49" t="str">
        <f>'Initial Search'!O196</f>
        <v>ModelVars2SPL</v>
      </c>
      <c r="F115" s="40" t="str">
        <f>'Initial Search'!M196</f>
        <v>Rejected</v>
      </c>
      <c r="G115" s="124"/>
      <c r="H115" s="36"/>
      <c r="I115" s="29"/>
      <c r="J115" s="29"/>
      <c r="K115" s="29"/>
      <c r="L115" s="53"/>
      <c r="M115" s="37"/>
      <c r="N115" s="36"/>
      <c r="O115" s="29"/>
      <c r="P115" s="29"/>
      <c r="Q115" s="29"/>
      <c r="R115" s="29"/>
      <c r="S115" s="29"/>
      <c r="T115" s="37"/>
      <c r="U115" s="39"/>
      <c r="V115" s="39"/>
      <c r="W115" s="39"/>
      <c r="X115" s="29"/>
      <c r="Y115" s="29"/>
      <c r="Z115" s="29"/>
      <c r="AA115" s="29"/>
      <c r="AB115" s="29"/>
      <c r="AC115" s="29"/>
      <c r="AD115" s="37"/>
      <c r="AE115" s="36"/>
      <c r="AF115" s="37"/>
      <c r="AG115" s="36"/>
      <c r="AH115" s="37"/>
      <c r="AI115" s="36"/>
      <c r="AJ115" s="37"/>
      <c r="AK115" s="101"/>
      <c r="AL115" s="36"/>
      <c r="AM115" s="37"/>
      <c r="AN115" s="36"/>
      <c r="AO115" s="83"/>
      <c r="AP115" s="36"/>
      <c r="AQ115" s="37"/>
      <c r="AR115" s="39"/>
      <c r="AS115" s="29"/>
      <c r="AT115" s="37"/>
      <c r="AU115" s="36"/>
      <c r="AV115" s="29"/>
      <c r="AW115" s="37"/>
      <c r="AX115" s="205"/>
      <c r="AY115" s="205"/>
      <c r="AZ115" s="204"/>
      <c r="BA115" s="88"/>
      <c r="BB115" s="88"/>
      <c r="BC115" s="37"/>
    </row>
    <row r="116" spans="1:55" ht="153" x14ac:dyDescent="0.25">
      <c r="A116" s="148">
        <v>32</v>
      </c>
      <c r="B116" s="51">
        <f>ROW('Initial Search'!283:283)</f>
        <v>283</v>
      </c>
      <c r="C116" s="46" t="str">
        <f>'Initial Search'!D283</f>
        <v>Near Real-Time Collaborative Conceptual Modeling on the Web</v>
      </c>
      <c r="D116" s="49">
        <f>'Initial Search'!C283</f>
        <v>2015</v>
      </c>
      <c r="E116" s="49" t="str">
        <f>'Initial Search'!O283</f>
        <v>SyncMeta</v>
      </c>
      <c r="F116" s="40" t="str">
        <f>'Initial Search'!M283</f>
        <v>Accepted</v>
      </c>
      <c r="G116" s="40" t="str">
        <f>'Initial Search'!N283</f>
        <v>Approved</v>
      </c>
      <c r="H116" s="36"/>
      <c r="I116" s="29"/>
      <c r="J116" s="29"/>
      <c r="K116" s="29"/>
      <c r="L116" s="53" t="s">
        <v>2274</v>
      </c>
      <c r="M116" s="37"/>
      <c r="N116" s="36"/>
      <c r="O116" s="29" t="s">
        <v>1623</v>
      </c>
      <c r="P116" s="29"/>
      <c r="Q116" s="29"/>
      <c r="R116" s="29"/>
      <c r="S116" s="29"/>
      <c r="T116" s="37"/>
      <c r="U116" s="39" t="s">
        <v>2270</v>
      </c>
      <c r="V116" s="39"/>
      <c r="W116" s="39"/>
      <c r="X116" s="29" t="s">
        <v>1710</v>
      </c>
      <c r="Y116" s="42" t="s">
        <v>2258</v>
      </c>
      <c r="Z116" s="29" t="s">
        <v>1685</v>
      </c>
      <c r="AA116" s="29" t="s">
        <v>1723</v>
      </c>
      <c r="AB116" s="29" t="s">
        <v>1712</v>
      </c>
      <c r="AC116" s="29" t="s">
        <v>2208</v>
      </c>
      <c r="AD116" s="37"/>
      <c r="AE116" s="36" t="s">
        <v>3763</v>
      </c>
      <c r="AF116" s="37"/>
      <c r="AG116" s="36" t="s">
        <v>1778</v>
      </c>
      <c r="AH116" s="37"/>
      <c r="AI116" s="36" t="s">
        <v>2458</v>
      </c>
      <c r="AJ116" s="37" t="s">
        <v>2273</v>
      </c>
      <c r="AK116" s="96" t="s">
        <v>2197</v>
      </c>
      <c r="AL116" s="36" t="s">
        <v>2260</v>
      </c>
      <c r="AM116" s="37" t="s">
        <v>2271</v>
      </c>
      <c r="AN116" s="41" t="s">
        <v>1778</v>
      </c>
      <c r="AO116" s="83"/>
      <c r="AP116" s="89" t="s">
        <v>2584</v>
      </c>
      <c r="AQ116" s="37" t="s">
        <v>2823</v>
      </c>
      <c r="AR116" s="39" t="s">
        <v>1743</v>
      </c>
      <c r="AS116" s="29" t="s">
        <v>2216</v>
      </c>
      <c r="AT116" s="37"/>
      <c r="AU116" s="36" t="s">
        <v>1679</v>
      </c>
      <c r="AV116" s="29" t="s">
        <v>1677</v>
      </c>
      <c r="AW116" s="37"/>
      <c r="AX116" s="39" t="s">
        <v>2996</v>
      </c>
      <c r="AY116" s="205" t="s">
        <v>2941</v>
      </c>
      <c r="AZ116" s="53" t="s">
        <v>2851</v>
      </c>
      <c r="BA116" s="88"/>
      <c r="BB116" s="224" t="s">
        <v>3070</v>
      </c>
      <c r="BC116" s="37" t="s">
        <v>2942</v>
      </c>
    </row>
    <row r="117" spans="1:55" ht="153" x14ac:dyDescent="0.25">
      <c r="A117" s="148">
        <v>32</v>
      </c>
      <c r="B117" s="51">
        <f>ROW('Initial Search'!286:286)</f>
        <v>286</v>
      </c>
      <c r="C117" s="46" t="str">
        <f>'Initial Search'!D286</f>
        <v>View-based near real-time collaborative modeling for information systems engineering</v>
      </c>
      <c r="D117" s="49">
        <f>'Initial Search'!C286</f>
        <v>2016</v>
      </c>
      <c r="E117" s="49" t="str">
        <f>'Initial Search'!O286</f>
        <v>SyncMeta</v>
      </c>
      <c r="F117" s="40" t="str">
        <f>'Initial Search'!M286</f>
        <v>Accepted</v>
      </c>
      <c r="G117" s="40" t="str">
        <f>'Initial Search'!N286</f>
        <v>Approved</v>
      </c>
      <c r="H117" s="36"/>
      <c r="I117" s="29"/>
      <c r="J117" s="29"/>
      <c r="K117" s="29"/>
      <c r="L117" s="53" t="s">
        <v>2274</v>
      </c>
      <c r="M117" s="37" t="s">
        <v>2466</v>
      </c>
      <c r="N117" s="36"/>
      <c r="O117" s="29" t="s">
        <v>1623</v>
      </c>
      <c r="P117" s="29"/>
      <c r="Q117" s="29"/>
      <c r="R117" s="29"/>
      <c r="S117" s="29"/>
      <c r="T117" s="37"/>
      <c r="U117" s="39" t="s">
        <v>2270</v>
      </c>
      <c r="V117" s="39"/>
      <c r="W117" s="39"/>
      <c r="X117" s="29" t="s">
        <v>1710</v>
      </c>
      <c r="Y117" s="42" t="s">
        <v>2258</v>
      </c>
      <c r="Z117" s="29" t="s">
        <v>1685</v>
      </c>
      <c r="AA117" s="29" t="s">
        <v>1723</v>
      </c>
      <c r="AB117" s="29" t="s">
        <v>1712</v>
      </c>
      <c r="AC117" s="29" t="s">
        <v>2208</v>
      </c>
      <c r="AD117" s="37" t="s">
        <v>2467</v>
      </c>
      <c r="AE117" s="36" t="s">
        <v>3763</v>
      </c>
      <c r="AF117" s="37"/>
      <c r="AG117" s="36" t="s">
        <v>1778</v>
      </c>
      <c r="AH117" s="37"/>
      <c r="AI117" s="36" t="s">
        <v>2458</v>
      </c>
      <c r="AJ117" s="37" t="s">
        <v>2633</v>
      </c>
      <c r="AK117" s="96" t="s">
        <v>2197</v>
      </c>
      <c r="AL117" s="36" t="s">
        <v>2260</v>
      </c>
      <c r="AM117" s="37" t="s">
        <v>2272</v>
      </c>
      <c r="AN117" s="41" t="s">
        <v>1778</v>
      </c>
      <c r="AO117" s="83"/>
      <c r="AP117" s="89" t="s">
        <v>2584</v>
      </c>
      <c r="AQ117" s="37" t="s">
        <v>2825</v>
      </c>
      <c r="AR117" s="39" t="s">
        <v>1743</v>
      </c>
      <c r="AS117" s="29" t="s">
        <v>2216</v>
      </c>
      <c r="AT117" s="64" t="s">
        <v>2465</v>
      </c>
      <c r="AU117" s="36" t="s">
        <v>1679</v>
      </c>
      <c r="AV117" s="29" t="s">
        <v>1677</v>
      </c>
      <c r="AW117" s="37"/>
      <c r="AX117" s="39" t="s">
        <v>2997</v>
      </c>
      <c r="AY117" s="205" t="s">
        <v>2943</v>
      </c>
      <c r="AZ117" s="53" t="s">
        <v>2851</v>
      </c>
      <c r="BA117" s="88"/>
      <c r="BB117" s="224" t="s">
        <v>3069</v>
      </c>
      <c r="BC117" s="37" t="s">
        <v>2944</v>
      </c>
    </row>
    <row r="118" spans="1:55" ht="229.5" x14ac:dyDescent="0.25">
      <c r="A118" s="148">
        <v>33</v>
      </c>
      <c r="B118" s="51">
        <f>ROW('Initial Search'!199:199)</f>
        <v>199</v>
      </c>
      <c r="C118" s="46" t="str">
        <f>'Initial Search'!D199</f>
        <v>Odyssey-SCM: An integrated software configuration management infrastructure for UML models</v>
      </c>
      <c r="D118" s="49">
        <f>'Initial Search'!C199</f>
        <v>2006</v>
      </c>
      <c r="E118" s="49" t="str">
        <f>'Initial Search'!O199</f>
        <v>Odyssey</v>
      </c>
      <c r="F118" s="40" t="str">
        <f>'Initial Search'!M199</f>
        <v>Accepted</v>
      </c>
      <c r="G118" s="40" t="str">
        <f>'Initial Search'!N199</f>
        <v>Approved</v>
      </c>
      <c r="H118" s="36"/>
      <c r="I118" s="29" t="s">
        <v>1623</v>
      </c>
      <c r="J118" s="29"/>
      <c r="K118" s="29"/>
      <c r="L118" s="53"/>
      <c r="M118" s="37"/>
      <c r="N118" s="36"/>
      <c r="O118" s="29" t="s">
        <v>1623</v>
      </c>
      <c r="P118" s="29"/>
      <c r="Q118" s="29"/>
      <c r="R118" s="29"/>
      <c r="S118" s="29"/>
      <c r="T118" s="37"/>
      <c r="U118" s="39" t="s">
        <v>2228</v>
      </c>
      <c r="V118" s="39"/>
      <c r="W118" s="39"/>
      <c r="X118" s="29" t="s">
        <v>1915</v>
      </c>
      <c r="Y118" s="42" t="s">
        <v>2258</v>
      </c>
      <c r="Z118" s="29" t="s">
        <v>1686</v>
      </c>
      <c r="AA118" s="29" t="s">
        <v>1877</v>
      </c>
      <c r="AB118" s="29" t="s">
        <v>2225</v>
      </c>
      <c r="AC118" s="29" t="s">
        <v>1699</v>
      </c>
      <c r="AD118" s="37" t="s">
        <v>2223</v>
      </c>
      <c r="AE118" s="36" t="s">
        <v>3763</v>
      </c>
      <c r="AF118" s="37"/>
      <c r="AG118" s="36" t="s">
        <v>1778</v>
      </c>
      <c r="AH118" s="37"/>
      <c r="AI118" s="36" t="s">
        <v>2589</v>
      </c>
      <c r="AJ118" s="37" t="s">
        <v>2227</v>
      </c>
      <c r="AK118" s="96" t="s">
        <v>2196</v>
      </c>
      <c r="AL118" s="36" t="s">
        <v>1670</v>
      </c>
      <c r="AM118" s="37"/>
      <c r="AN118" s="41" t="s">
        <v>1778</v>
      </c>
      <c r="AO118" s="37"/>
      <c r="AP118" s="36" t="s">
        <v>1801</v>
      </c>
      <c r="AQ118" s="37"/>
      <c r="AR118" s="39" t="s">
        <v>1743</v>
      </c>
      <c r="AS118" s="29" t="s">
        <v>1693</v>
      </c>
      <c r="AT118" s="37" t="s">
        <v>2224</v>
      </c>
      <c r="AU118" s="36" t="s">
        <v>2267</v>
      </c>
      <c r="AV118" s="29" t="s">
        <v>1682</v>
      </c>
      <c r="AW118" s="37" t="s">
        <v>1680</v>
      </c>
      <c r="AX118" s="39" t="s">
        <v>2851</v>
      </c>
      <c r="AY118" s="205"/>
      <c r="AZ118" s="53"/>
      <c r="BA118" s="88" t="s">
        <v>2947</v>
      </c>
      <c r="BB118" s="224" t="s">
        <v>3072</v>
      </c>
      <c r="BC118" s="37" t="s">
        <v>2950</v>
      </c>
    </row>
    <row r="119" spans="1:55" ht="76.5" hidden="1" x14ac:dyDescent="0.25">
      <c r="A119"/>
      <c r="B119" s="51">
        <f>ROW('Initial Search'!207:207)</f>
        <v>207</v>
      </c>
      <c r="C119" s="46" t="str">
        <f>'Initial Search'!D208</f>
        <v>Reusing process patterns in software process models modification</v>
      </c>
      <c r="D119" s="49">
        <f>'Initial Search'!C208</f>
        <v>2018</v>
      </c>
      <c r="E119" s="49" t="str">
        <f>'Initial Search'!O208</f>
        <v>Reuse pattern</v>
      </c>
      <c r="F119" s="40" t="str">
        <f>'Initial Search'!M208</f>
        <v>Rejected</v>
      </c>
      <c r="G119" s="124"/>
      <c r="H119" s="36"/>
      <c r="I119" s="29"/>
      <c r="J119" s="29"/>
      <c r="K119" s="29" t="s">
        <v>1623</v>
      </c>
      <c r="L119" s="53"/>
      <c r="M119" s="37" t="s">
        <v>2230</v>
      </c>
      <c r="N119" s="36"/>
      <c r="O119" s="29" t="s">
        <v>1623</v>
      </c>
      <c r="P119" s="29"/>
      <c r="Q119" s="29" t="s">
        <v>1623</v>
      </c>
      <c r="R119" s="29"/>
      <c r="S119" s="29"/>
      <c r="T119" s="37" t="s">
        <v>2232</v>
      </c>
      <c r="U119" s="39" t="s">
        <v>2231</v>
      </c>
      <c r="V119" s="39"/>
      <c r="W119" s="39"/>
      <c r="X119" s="29"/>
      <c r="Y119" s="29"/>
      <c r="Z119" s="29"/>
      <c r="AA119" s="29"/>
      <c r="AB119" s="29"/>
      <c r="AC119" s="29" t="s">
        <v>2208</v>
      </c>
      <c r="AD119" s="37"/>
      <c r="AE119" s="36" t="s">
        <v>1778</v>
      </c>
      <c r="AF119" s="37"/>
      <c r="AG119" s="36" t="s">
        <v>1778</v>
      </c>
      <c r="AH119" s="37"/>
      <c r="AI119" s="39" t="s">
        <v>2233</v>
      </c>
      <c r="AJ119" s="37" t="s">
        <v>2235</v>
      </c>
      <c r="AK119" s="96" t="s">
        <v>2197</v>
      </c>
      <c r="AL119" s="36" t="s">
        <v>2260</v>
      </c>
      <c r="AM119" s="37" t="s">
        <v>2234</v>
      </c>
      <c r="AN119" s="36" t="s">
        <v>1778</v>
      </c>
      <c r="AO119" s="37"/>
      <c r="AP119" s="36" t="s">
        <v>1778</v>
      </c>
      <c r="AQ119" s="37"/>
      <c r="AR119" s="39" t="s">
        <v>1755</v>
      </c>
      <c r="AS119" s="29" t="s">
        <v>1693</v>
      </c>
      <c r="AT119" s="37"/>
      <c r="AU119" s="36" t="s">
        <v>1778</v>
      </c>
      <c r="AV119" s="29" t="s">
        <v>1778</v>
      </c>
      <c r="AW119" s="37"/>
      <c r="AX119" s="205"/>
      <c r="AY119" s="205"/>
      <c r="AZ119" s="204"/>
      <c r="BA119" s="88"/>
      <c r="BB119" s="88"/>
      <c r="BC119" s="37"/>
    </row>
    <row r="120" spans="1:55" ht="30" hidden="1" x14ac:dyDescent="0.25">
      <c r="A120"/>
      <c r="B120" s="51">
        <f>ROW('Initial Search'!222:222)</f>
        <v>222</v>
      </c>
      <c r="C120" s="46" t="str">
        <f>'Initial Search'!D223</f>
        <v>Requirements for Practical Model Merge – An Industrial Perspective</v>
      </c>
      <c r="D120" s="49">
        <f>'Initial Search'!C223</f>
        <v>2009</v>
      </c>
      <c r="E120" s="49" t="str">
        <f>'Initial Search'!O223</f>
        <v>Requirements</v>
      </c>
      <c r="F120" s="40" t="str">
        <f>'Initial Search'!M223</f>
        <v>Rejected</v>
      </c>
      <c r="G120" s="124"/>
      <c r="H120" s="36"/>
      <c r="I120" s="29"/>
      <c r="J120" s="29"/>
      <c r="K120" s="29"/>
      <c r="L120" s="53"/>
      <c r="M120" s="37"/>
      <c r="N120" s="36"/>
      <c r="O120" s="29"/>
      <c r="P120" s="29"/>
      <c r="Q120" s="29"/>
      <c r="R120" s="29"/>
      <c r="S120" s="29"/>
      <c r="T120" s="37"/>
      <c r="U120" s="39"/>
      <c r="V120" s="39"/>
      <c r="W120" s="39"/>
      <c r="X120" s="29"/>
      <c r="Y120" s="29"/>
      <c r="Z120" s="29"/>
      <c r="AA120" s="29"/>
      <c r="AB120" s="29"/>
      <c r="AC120" s="29"/>
      <c r="AD120" s="37"/>
      <c r="AE120" s="36"/>
      <c r="AF120" s="37"/>
      <c r="AG120" s="36"/>
      <c r="AH120" s="37"/>
      <c r="AI120" s="36"/>
      <c r="AJ120" s="37"/>
      <c r="AK120" s="101"/>
      <c r="AL120" s="36"/>
      <c r="AM120" s="37"/>
      <c r="AN120" s="39"/>
      <c r="AO120" s="83"/>
      <c r="AP120" s="36"/>
      <c r="AQ120" s="37"/>
      <c r="AR120" s="39"/>
      <c r="AS120" s="29"/>
      <c r="AT120" s="37"/>
      <c r="AU120" s="36"/>
      <c r="AV120" s="29"/>
      <c r="AW120" s="37"/>
      <c r="AX120" s="205"/>
      <c r="AY120" s="205"/>
      <c r="AZ120" s="204"/>
      <c r="BA120" s="88"/>
      <c r="BB120" s="88"/>
      <c r="BC120" s="37"/>
    </row>
    <row r="121" spans="1:55" hidden="1" x14ac:dyDescent="0.25">
      <c r="A121"/>
      <c r="B121" s="51">
        <f>ROW('Initial Search'!225:225)</f>
        <v>225</v>
      </c>
      <c r="C121" s="46" t="str">
        <f>'Initial Search'!D226</f>
        <v>Merging Models with the Epsilon Merging Language (EML)</v>
      </c>
      <c r="D121" s="49">
        <f>'Initial Search'!C226</f>
        <v>2006</v>
      </c>
      <c r="E121" s="49" t="str">
        <f>'Initial Search'!O226</f>
        <v>EML</v>
      </c>
      <c r="F121" s="40" t="str">
        <f>'Initial Search'!M226</f>
        <v>Rejected</v>
      </c>
      <c r="G121" s="124"/>
      <c r="H121" s="36"/>
      <c r="I121" s="29"/>
      <c r="J121" s="29"/>
      <c r="K121" s="29"/>
      <c r="L121" s="53"/>
      <c r="M121" s="37"/>
      <c r="N121" s="36"/>
      <c r="O121" s="29"/>
      <c r="P121" s="29"/>
      <c r="Q121" s="29"/>
      <c r="R121" s="29"/>
      <c r="S121" s="29"/>
      <c r="T121" s="37"/>
      <c r="U121" s="39"/>
      <c r="V121" s="39"/>
      <c r="W121" s="39"/>
      <c r="X121" s="29"/>
      <c r="Y121" s="29"/>
      <c r="Z121" s="29"/>
      <c r="AA121" s="29"/>
      <c r="AB121" s="29"/>
      <c r="AC121" s="29"/>
      <c r="AD121" s="37"/>
      <c r="AE121" s="36"/>
      <c r="AF121" s="37"/>
      <c r="AG121" s="36"/>
      <c r="AH121" s="37"/>
      <c r="AI121" s="36"/>
      <c r="AJ121" s="37"/>
      <c r="AK121" s="101"/>
      <c r="AL121" s="36"/>
      <c r="AM121" s="37"/>
      <c r="AN121" s="39"/>
      <c r="AO121" s="83"/>
      <c r="AP121" s="36"/>
      <c r="AQ121" s="37"/>
      <c r="AR121" s="39"/>
      <c r="AS121" s="29"/>
      <c r="AT121" s="37"/>
      <c r="AU121" s="36"/>
      <c r="AV121" s="29"/>
      <c r="AW121" s="37"/>
      <c r="AX121" s="205"/>
      <c r="AY121" s="205"/>
      <c r="AZ121" s="204"/>
      <c r="BA121" s="88"/>
      <c r="BB121" s="88"/>
      <c r="BC121" s="37"/>
    </row>
    <row r="122" spans="1:55" ht="30" hidden="1" x14ac:dyDescent="0.25">
      <c r="A122"/>
      <c r="B122" s="51">
        <f>ROW('Initial Search'!226:226)</f>
        <v>226</v>
      </c>
      <c r="C122" s="46" t="str">
        <f>'Initial Search'!D227</f>
        <v>A Graphical Specification of Model Composition with Triple Graph Grammars</v>
      </c>
      <c r="D122" s="49">
        <f>'Initial Search'!C227</f>
        <v>2012</v>
      </c>
      <c r="E122" s="49" t="str">
        <f>'Initial Search'!O227</f>
        <v>TGG</v>
      </c>
      <c r="F122" s="40" t="str">
        <f>'Initial Search'!M227</f>
        <v>Rejected</v>
      </c>
      <c r="G122" s="124"/>
      <c r="H122" s="36"/>
      <c r="I122" s="29"/>
      <c r="J122" s="29"/>
      <c r="K122" s="29"/>
      <c r="L122" s="53"/>
      <c r="M122" s="37"/>
      <c r="N122" s="36"/>
      <c r="O122" s="29"/>
      <c r="P122" s="29"/>
      <c r="Q122" s="29"/>
      <c r="R122" s="29"/>
      <c r="S122" s="29"/>
      <c r="T122" s="37"/>
      <c r="U122" s="39"/>
      <c r="V122" s="39"/>
      <c r="W122" s="39"/>
      <c r="X122" s="29"/>
      <c r="Y122" s="29"/>
      <c r="Z122" s="29"/>
      <c r="AA122" s="29"/>
      <c r="AB122" s="29"/>
      <c r="AC122" s="29"/>
      <c r="AD122" s="37"/>
      <c r="AE122" s="36"/>
      <c r="AF122" s="37"/>
      <c r="AG122" s="36"/>
      <c r="AH122" s="37"/>
      <c r="AI122" s="36"/>
      <c r="AJ122" s="37"/>
      <c r="AK122" s="101"/>
      <c r="AL122" s="36"/>
      <c r="AM122" s="37"/>
      <c r="AN122" s="39"/>
      <c r="AO122" s="83"/>
      <c r="AP122" s="36"/>
      <c r="AQ122" s="37"/>
      <c r="AR122" s="39"/>
      <c r="AS122" s="29"/>
      <c r="AT122" s="37"/>
      <c r="AU122" s="36"/>
      <c r="AV122" s="29"/>
      <c r="AW122" s="37"/>
      <c r="AX122" s="205"/>
      <c r="AY122" s="205"/>
      <c r="AZ122" s="204"/>
      <c r="BA122" s="88"/>
      <c r="BB122" s="88"/>
      <c r="BC122" s="37"/>
    </row>
    <row r="123" spans="1:55" ht="30" hidden="1" x14ac:dyDescent="0.25">
      <c r="A123"/>
      <c r="B123" s="51">
        <f>ROW('Initial Search'!230:230)</f>
        <v>230</v>
      </c>
      <c r="C123" s="46" t="str">
        <f>'Initial Search'!D230</f>
        <v>Towards a Distributed Modeling Process Based on Composite Models</v>
      </c>
      <c r="D123" s="49">
        <f>'Initial Search'!C230</f>
        <v>2013</v>
      </c>
      <c r="E123" s="49" t="str">
        <f>'Initial Search'!O230</f>
        <v>Strüber et al.</v>
      </c>
      <c r="F123" s="40" t="str">
        <f>'Initial Search'!M230</f>
        <v>Rejected</v>
      </c>
      <c r="G123" s="124"/>
      <c r="H123" s="36"/>
      <c r="I123" s="29"/>
      <c r="J123" s="29"/>
      <c r="K123" s="29"/>
      <c r="L123" s="53"/>
      <c r="M123" s="37"/>
      <c r="N123" s="36"/>
      <c r="O123" s="29"/>
      <c r="P123" s="29"/>
      <c r="Q123" s="29"/>
      <c r="R123" s="29"/>
      <c r="S123" s="29"/>
      <c r="T123" s="37"/>
      <c r="U123" s="39"/>
      <c r="V123" s="39"/>
      <c r="W123" s="39"/>
      <c r="X123" s="29"/>
      <c r="Y123" s="29"/>
      <c r="Z123" s="29"/>
      <c r="AA123" s="29"/>
      <c r="AB123" s="29"/>
      <c r="AC123" s="29"/>
      <c r="AD123" s="37"/>
      <c r="AE123" s="36"/>
      <c r="AF123" s="37"/>
      <c r="AG123" s="36"/>
      <c r="AH123" s="37"/>
      <c r="AI123" s="36"/>
      <c r="AJ123" s="37"/>
      <c r="AK123" s="101"/>
      <c r="AL123" s="36"/>
      <c r="AM123" s="37"/>
      <c r="AN123" s="36"/>
      <c r="AO123" s="83"/>
      <c r="AP123" s="36"/>
      <c r="AQ123" s="37"/>
      <c r="AR123" s="39"/>
      <c r="AS123" s="29"/>
      <c r="AT123" s="37"/>
      <c r="AU123" s="36"/>
      <c r="AV123" s="29"/>
      <c r="AW123" s="37"/>
      <c r="AX123" s="205"/>
      <c r="AY123" s="205"/>
      <c r="AZ123" s="204"/>
      <c r="BA123" s="88"/>
      <c r="BB123" s="88"/>
      <c r="BC123" s="37"/>
    </row>
    <row r="124" spans="1:55" ht="102" x14ac:dyDescent="0.25">
      <c r="A124" s="148">
        <v>34</v>
      </c>
      <c r="B124" s="51">
        <f>ROW('Initial Search'!232:232)</f>
        <v>232</v>
      </c>
      <c r="C124" s="46" t="str">
        <f>'Initial Search'!D232</f>
        <v>A Graph-Pattern Based Approach for Meta-Model Specific Conflict Detection in a General-Purpose Model Versioning System</v>
      </c>
      <c r="D124" s="49">
        <f>'Initial Search'!C232</f>
        <v>2013</v>
      </c>
      <c r="E124" s="49" t="str">
        <f>'Initial Search'!O232</f>
        <v>Diff-Merge</v>
      </c>
      <c r="F124" s="40" t="str">
        <f>'Initial Search'!M232</f>
        <v>Accepted</v>
      </c>
      <c r="G124" s="40" t="str">
        <f>'Initial Search'!N232</f>
        <v>Approved</v>
      </c>
      <c r="H124" s="36" t="s">
        <v>1623</v>
      </c>
      <c r="I124" s="29"/>
      <c r="J124" s="29"/>
      <c r="K124" s="29"/>
      <c r="L124" s="53"/>
      <c r="M124" s="37"/>
      <c r="N124" s="36"/>
      <c r="O124" s="29" t="s">
        <v>1623</v>
      </c>
      <c r="P124" s="29" t="s">
        <v>1623</v>
      </c>
      <c r="Q124" s="29"/>
      <c r="R124" s="29"/>
      <c r="S124" s="29"/>
      <c r="T124" s="37" t="s">
        <v>2237</v>
      </c>
      <c r="U124" s="39" t="s">
        <v>2236</v>
      </c>
      <c r="V124" s="39"/>
      <c r="W124" s="39"/>
      <c r="X124" s="29" t="s">
        <v>1915</v>
      </c>
      <c r="Y124" s="42" t="s">
        <v>2258</v>
      </c>
      <c r="Z124" s="29" t="s">
        <v>1686</v>
      </c>
      <c r="AA124" s="29" t="s">
        <v>1723</v>
      </c>
      <c r="AB124" s="29" t="s">
        <v>1712</v>
      </c>
      <c r="AC124" s="29" t="s">
        <v>1698</v>
      </c>
      <c r="AD124" s="37" t="s">
        <v>2238</v>
      </c>
      <c r="AE124" s="36" t="s">
        <v>2575</v>
      </c>
      <c r="AF124" s="37" t="s">
        <v>2577</v>
      </c>
      <c r="AG124" s="39" t="s">
        <v>1778</v>
      </c>
      <c r="AI124" s="36" t="s">
        <v>2091</v>
      </c>
      <c r="AJ124" s="37" t="s">
        <v>2581</v>
      </c>
      <c r="AK124" s="96" t="s">
        <v>2196</v>
      </c>
      <c r="AL124" s="36" t="s">
        <v>1670</v>
      </c>
      <c r="AM124" s="37"/>
      <c r="AN124" s="41" t="s">
        <v>1778</v>
      </c>
      <c r="AO124" s="37"/>
      <c r="AP124" s="36" t="s">
        <v>3781</v>
      </c>
      <c r="AQ124" s="37"/>
      <c r="AR124" s="39" t="s">
        <v>1765</v>
      </c>
      <c r="AS124" s="29" t="s">
        <v>1693</v>
      </c>
      <c r="AT124" s="37"/>
      <c r="AU124" s="36" t="s">
        <v>1800</v>
      </c>
      <c r="AV124" s="29" t="s">
        <v>1677</v>
      </c>
      <c r="AW124" s="37" t="s">
        <v>2239</v>
      </c>
      <c r="AX124" s="39" t="s">
        <v>2851</v>
      </c>
      <c r="AY124" s="205"/>
      <c r="AZ124" s="53" t="s">
        <v>2949</v>
      </c>
      <c r="BA124" s="88" t="s">
        <v>2948</v>
      </c>
      <c r="BB124" s="224" t="s">
        <v>2851</v>
      </c>
      <c r="BC124" s="37"/>
    </row>
    <row r="125" spans="1:55" ht="30" hidden="1" x14ac:dyDescent="0.25">
      <c r="A125"/>
      <c r="B125" s="51">
        <f>ROW('Initial Search'!241:241)</f>
        <v>241</v>
      </c>
      <c r="C125" s="46" t="str">
        <f>'Initial Search'!D242</f>
        <v>Goal Model Integration: Advanced Relationships and Rationales Documentation</v>
      </c>
      <c r="D125" s="49">
        <f>'Initial Search'!C242</f>
        <v>2019</v>
      </c>
      <c r="E125" s="49" t="str">
        <f>'Initial Search'!O242</f>
        <v>URN</v>
      </c>
      <c r="F125" s="40" t="str">
        <f>'Initial Search'!M242</f>
        <v>Rejected</v>
      </c>
      <c r="G125" s="124"/>
      <c r="H125" s="36"/>
      <c r="I125" s="29"/>
      <c r="J125" s="29"/>
      <c r="K125" s="29"/>
      <c r="L125" s="53"/>
      <c r="M125" s="37"/>
      <c r="N125" s="36"/>
      <c r="O125" s="29"/>
      <c r="P125" s="29"/>
      <c r="Q125" s="29"/>
      <c r="R125" s="29"/>
      <c r="S125" s="29"/>
      <c r="T125" s="37"/>
      <c r="U125" s="39"/>
      <c r="V125" s="39"/>
      <c r="W125" s="39"/>
      <c r="X125" s="29"/>
      <c r="Y125" s="29"/>
      <c r="Z125" s="29"/>
      <c r="AA125" s="29"/>
      <c r="AB125" s="29"/>
      <c r="AC125" s="29"/>
      <c r="AD125" s="37"/>
      <c r="AE125" s="36"/>
      <c r="AF125" s="37"/>
      <c r="AG125" s="36"/>
      <c r="AH125" s="37"/>
      <c r="AI125" s="36"/>
      <c r="AJ125" s="37"/>
      <c r="AK125" s="101"/>
      <c r="AL125" s="36"/>
      <c r="AM125" s="37"/>
      <c r="AN125" s="36"/>
      <c r="AO125" s="83"/>
      <c r="AP125" s="36"/>
      <c r="AQ125" s="37"/>
      <c r="AR125" s="39"/>
      <c r="AS125" s="29"/>
      <c r="AT125" s="37"/>
      <c r="AU125" s="36"/>
      <c r="AV125" s="29"/>
      <c r="AW125" s="37"/>
      <c r="AX125" s="205"/>
      <c r="AY125" s="205"/>
      <c r="AZ125" s="204"/>
      <c r="BA125" s="88"/>
      <c r="BB125" s="88"/>
      <c r="BC125" s="37"/>
    </row>
    <row r="126" spans="1:55" ht="76.5" x14ac:dyDescent="0.25">
      <c r="A126" s="148">
        <v>35</v>
      </c>
      <c r="B126" s="51">
        <f>ROW('Initial Search'!243:243)</f>
        <v>243</v>
      </c>
      <c r="C126" s="46" t="str">
        <f>'Initial Search'!D243</f>
        <v>Supporting Collaborative Work by Preserving Model Meaning When Merging Graphical Models</v>
      </c>
      <c r="D126" s="49">
        <f>'Initial Search'!C243</f>
        <v>2012</v>
      </c>
      <c r="E126" s="49" t="str">
        <f>'Initial Search'!O243</f>
        <v>Phalp et al.</v>
      </c>
      <c r="F126" s="40" t="str">
        <f>'Initial Search'!M243</f>
        <v>Accepted</v>
      </c>
      <c r="G126" s="40" t="str">
        <f>'Initial Search'!N243</f>
        <v>Approved</v>
      </c>
      <c r="H126" s="36"/>
      <c r="I126" s="42" t="s">
        <v>1623</v>
      </c>
      <c r="J126" s="29"/>
      <c r="K126" s="29"/>
      <c r="L126" s="53"/>
      <c r="M126" s="37" t="s">
        <v>1746</v>
      </c>
      <c r="N126" s="36"/>
      <c r="O126" s="29" t="s">
        <v>1623</v>
      </c>
      <c r="P126" s="29" t="s">
        <v>1623</v>
      </c>
      <c r="Q126" s="29"/>
      <c r="R126" s="29"/>
      <c r="S126" s="29"/>
      <c r="T126" s="37"/>
      <c r="U126" s="39" t="s">
        <v>2244</v>
      </c>
      <c r="V126" s="39"/>
      <c r="W126" s="39"/>
      <c r="X126" s="29" t="s">
        <v>1915</v>
      </c>
      <c r="Y126" s="42" t="s">
        <v>2258</v>
      </c>
      <c r="Z126" s="29" t="s">
        <v>1686</v>
      </c>
      <c r="AA126" s="29" t="s">
        <v>1877</v>
      </c>
      <c r="AB126" s="29" t="s">
        <v>1712</v>
      </c>
      <c r="AC126" s="29" t="s">
        <v>1699</v>
      </c>
      <c r="AD126" s="37" t="s">
        <v>2243</v>
      </c>
      <c r="AE126" s="36" t="s">
        <v>3763</v>
      </c>
      <c r="AF126" s="37"/>
      <c r="AG126" s="36" t="s">
        <v>1778</v>
      </c>
      <c r="AH126" s="37"/>
      <c r="AI126" s="36" t="s">
        <v>1833</v>
      </c>
      <c r="AJ126" s="37"/>
      <c r="AK126" s="96" t="s">
        <v>2196</v>
      </c>
      <c r="AL126" s="36" t="s">
        <v>1670</v>
      </c>
      <c r="AM126" s="37"/>
      <c r="AN126" s="39" t="s">
        <v>1623</v>
      </c>
      <c r="AO126" s="37" t="s">
        <v>2241</v>
      </c>
      <c r="AP126" s="39" t="s">
        <v>2584</v>
      </c>
      <c r="AQ126" s="37" t="s">
        <v>2242</v>
      </c>
      <c r="AR126" s="39" t="s">
        <v>1743</v>
      </c>
      <c r="AS126" s="29" t="s">
        <v>1693</v>
      </c>
      <c r="AT126" s="37"/>
      <c r="AU126" s="36" t="s">
        <v>1778</v>
      </c>
      <c r="AV126" s="29"/>
      <c r="AW126" s="37"/>
      <c r="AX126" s="39" t="s">
        <v>2851</v>
      </c>
      <c r="AY126" s="205"/>
      <c r="AZ126" s="39" t="s">
        <v>2851</v>
      </c>
      <c r="BA126" s="88"/>
      <c r="BB126" s="224" t="s">
        <v>2851</v>
      </c>
      <c r="BC126" s="37"/>
    </row>
    <row r="127" spans="1:55" hidden="1" x14ac:dyDescent="0.25">
      <c r="A127"/>
      <c r="B127" s="51">
        <f>ROW('Initial Search'!249:249)</f>
        <v>249</v>
      </c>
      <c r="C127" s="46" t="str">
        <f>'Initial Search'!D250</f>
        <v>Guided Merging of Sequence Diagrams</v>
      </c>
      <c r="D127" s="49">
        <f>'Initial Search'!C250</f>
        <v>2012</v>
      </c>
      <c r="E127" s="49" t="str">
        <f>'Initial Search'!O250</f>
        <v>SAT Solver</v>
      </c>
      <c r="F127" s="40" t="str">
        <f>'Initial Search'!M250</f>
        <v>Rejected</v>
      </c>
      <c r="G127" s="124"/>
      <c r="H127" s="36"/>
      <c r="I127" s="29"/>
      <c r="J127" s="29"/>
      <c r="K127" s="29"/>
      <c r="L127" s="53"/>
      <c r="M127" s="37"/>
      <c r="N127" s="36"/>
      <c r="O127" s="29"/>
      <c r="P127" s="29"/>
      <c r="Q127" s="29"/>
      <c r="R127" s="29"/>
      <c r="S127" s="29"/>
      <c r="T127" s="37"/>
      <c r="U127" s="39"/>
      <c r="V127" s="39"/>
      <c r="W127" s="39"/>
      <c r="X127" s="29"/>
      <c r="Y127" s="29"/>
      <c r="Z127" s="29"/>
      <c r="AA127" s="29"/>
      <c r="AB127" s="29"/>
      <c r="AC127" s="29"/>
      <c r="AD127" s="37"/>
      <c r="AE127" s="36"/>
      <c r="AF127" s="37"/>
      <c r="AG127" s="36"/>
      <c r="AH127" s="37"/>
      <c r="AI127" s="36"/>
      <c r="AJ127" s="37"/>
      <c r="AK127" s="83"/>
      <c r="AL127" s="36"/>
      <c r="AM127" s="37"/>
      <c r="AN127" s="39"/>
      <c r="AO127" s="83"/>
      <c r="AP127" s="36"/>
      <c r="AQ127" s="37"/>
      <c r="AR127" s="39"/>
      <c r="AS127" s="29"/>
      <c r="AT127" s="37"/>
      <c r="AU127" s="36"/>
      <c r="AV127" s="29"/>
      <c r="AW127" s="37"/>
      <c r="AX127" s="205"/>
      <c r="AY127" s="205"/>
      <c r="AZ127" s="204"/>
      <c r="BA127" s="88"/>
      <c r="BB127" s="88"/>
      <c r="BC127" s="37"/>
    </row>
    <row r="128" spans="1:55" ht="89.25" x14ac:dyDescent="0.25">
      <c r="A128" s="149">
        <v>36</v>
      </c>
      <c r="B128" s="51">
        <f>ROW('Initial Search'!251:251)</f>
        <v>251</v>
      </c>
      <c r="C128" s="46" t="str">
        <f>'Initial Search'!D251</f>
        <v>Model Consistency for Distributed Collaborative Modeling</v>
      </c>
      <c r="D128" s="49">
        <f>'Initial Search'!C251</f>
        <v>2017</v>
      </c>
      <c r="E128" s="49" t="str">
        <f>'Initial Search'!O251</f>
        <v>Model Consistency</v>
      </c>
      <c r="F128" s="40" t="str">
        <f>'Initial Search'!M251</f>
        <v>Accepted</v>
      </c>
      <c r="G128" s="40" t="str">
        <f>'Initial Search'!N251</f>
        <v>Approved</v>
      </c>
      <c r="H128" s="36"/>
      <c r="I128" s="29"/>
      <c r="J128" s="29" t="s">
        <v>1623</v>
      </c>
      <c r="K128" s="29"/>
      <c r="L128" s="53"/>
      <c r="M128" s="37"/>
      <c r="N128" s="36"/>
      <c r="O128" s="29" t="s">
        <v>1623</v>
      </c>
      <c r="P128" s="29"/>
      <c r="Q128" s="29" t="s">
        <v>1623</v>
      </c>
      <c r="R128" s="29"/>
      <c r="S128" s="29"/>
      <c r="T128" s="37"/>
      <c r="U128" s="39" t="s">
        <v>2206</v>
      </c>
      <c r="V128" s="39" t="s">
        <v>1623</v>
      </c>
      <c r="W128" s="39"/>
      <c r="X128" s="29" t="s">
        <v>1710</v>
      </c>
      <c r="Y128" s="42" t="s">
        <v>2258</v>
      </c>
      <c r="Z128" s="29" t="s">
        <v>1685</v>
      </c>
      <c r="AA128" s="29" t="s">
        <v>1723</v>
      </c>
      <c r="AB128" s="53" t="s">
        <v>2207</v>
      </c>
      <c r="AC128" s="29" t="s">
        <v>2208</v>
      </c>
      <c r="AD128" s="37"/>
      <c r="AE128" s="36" t="s">
        <v>3778</v>
      </c>
      <c r="AF128" s="37"/>
      <c r="AG128" s="39" t="s">
        <v>2580</v>
      </c>
      <c r="AH128" s="37" t="s">
        <v>2579</v>
      </c>
      <c r="AI128" s="39" t="s">
        <v>1778</v>
      </c>
      <c r="AJ128" s="37"/>
      <c r="AK128" s="96" t="s">
        <v>1778</v>
      </c>
      <c r="AL128" s="36" t="s">
        <v>1778</v>
      </c>
      <c r="AM128" s="37"/>
      <c r="AN128" s="36" t="s">
        <v>1778</v>
      </c>
      <c r="AO128" s="37"/>
      <c r="AP128" s="36" t="s">
        <v>1778</v>
      </c>
      <c r="AQ128" s="37"/>
      <c r="AR128" s="39" t="s">
        <v>1743</v>
      </c>
      <c r="AS128" s="29" t="s">
        <v>1693</v>
      </c>
      <c r="AT128" s="37"/>
      <c r="AU128" s="36" t="s">
        <v>1679</v>
      </c>
      <c r="AV128" s="29" t="s">
        <v>1682</v>
      </c>
      <c r="AW128" s="37" t="s">
        <v>1680</v>
      </c>
      <c r="AX128" s="39" t="s">
        <v>2851</v>
      </c>
      <c r="AY128" s="205"/>
      <c r="AZ128" s="53" t="s">
        <v>2851</v>
      </c>
      <c r="BA128" s="88"/>
      <c r="BB128" s="224" t="s">
        <v>3077</v>
      </c>
      <c r="BC128" s="37" t="s">
        <v>2951</v>
      </c>
    </row>
    <row r="129" spans="1:57" ht="63.75" x14ac:dyDescent="0.25">
      <c r="A129" s="149">
        <v>37</v>
      </c>
      <c r="B129" s="51">
        <f>ROW('Initial Search'!202:202)</f>
        <v>202</v>
      </c>
      <c r="C129" s="46" t="str">
        <f>'Initial Search'!D202</f>
        <v>A formalisation of the copy-modify-merge approach to version control in MDE</v>
      </c>
      <c r="D129" s="49">
        <f>'Initial Search'!C202</f>
        <v>2010</v>
      </c>
      <c r="E129" s="49" t="str">
        <f>'Initial Search'!O202</f>
        <v>DPF</v>
      </c>
      <c r="F129" s="40" t="str">
        <f>'Initial Search'!M202</f>
        <v>Accepted</v>
      </c>
      <c r="G129" s="40" t="str">
        <f>'Initial Search'!N202</f>
        <v>Approved</v>
      </c>
      <c r="H129" s="36" t="s">
        <v>1623</v>
      </c>
      <c r="I129" s="29"/>
      <c r="J129" s="29"/>
      <c r="K129" s="29"/>
      <c r="L129" s="53"/>
      <c r="M129" s="37"/>
      <c r="N129" s="36"/>
      <c r="O129" s="29" t="s">
        <v>1623</v>
      </c>
      <c r="P129" s="29"/>
      <c r="Q129" s="29"/>
      <c r="R129" s="29"/>
      <c r="S129" s="29"/>
      <c r="T129" s="37"/>
      <c r="U129" s="39" t="s">
        <v>2454</v>
      </c>
      <c r="V129" s="39" t="s">
        <v>1623</v>
      </c>
      <c r="W129" s="39"/>
      <c r="X129" s="29" t="s">
        <v>1915</v>
      </c>
      <c r="Y129" s="42" t="s">
        <v>2258</v>
      </c>
      <c r="Z129" s="29" t="s">
        <v>1686</v>
      </c>
      <c r="AA129" s="29" t="s">
        <v>1723</v>
      </c>
      <c r="AB129" s="53" t="s">
        <v>2253</v>
      </c>
      <c r="AC129" s="29" t="s">
        <v>1699</v>
      </c>
      <c r="AD129" s="37" t="s">
        <v>2455</v>
      </c>
      <c r="AE129" s="36" t="s">
        <v>3763</v>
      </c>
      <c r="AF129" s="37"/>
      <c r="AG129" s="39" t="s">
        <v>1778</v>
      </c>
      <c r="AH129" s="37"/>
      <c r="AI129" s="39" t="s">
        <v>2256</v>
      </c>
      <c r="AJ129" s="37" t="s">
        <v>2611</v>
      </c>
      <c r="AK129" s="96" t="s">
        <v>1778</v>
      </c>
      <c r="AL129" s="36" t="s">
        <v>1670</v>
      </c>
      <c r="AM129" s="37"/>
      <c r="AN129" s="41" t="s">
        <v>1778</v>
      </c>
      <c r="AO129" s="37"/>
      <c r="AP129" s="36" t="s">
        <v>1778</v>
      </c>
      <c r="AQ129" s="37"/>
      <c r="AR129" s="39" t="s">
        <v>1709</v>
      </c>
      <c r="AS129" s="29" t="s">
        <v>1778</v>
      </c>
      <c r="AT129" s="37"/>
      <c r="AU129" s="36" t="s">
        <v>1778</v>
      </c>
      <c r="AV129" s="29"/>
      <c r="AW129" s="37"/>
      <c r="AX129" s="39" t="s">
        <v>2851</v>
      </c>
      <c r="AY129" s="205"/>
      <c r="AZ129" s="53" t="s">
        <v>2851</v>
      </c>
      <c r="BA129" s="88"/>
      <c r="BB129" s="224" t="s">
        <v>3073</v>
      </c>
      <c r="BC129" s="37" t="s">
        <v>2953</v>
      </c>
    </row>
    <row r="130" spans="1:57" ht="102" x14ac:dyDescent="0.25">
      <c r="A130" s="148">
        <v>37</v>
      </c>
      <c r="B130" s="51">
        <f>ROW('Initial Search'!252:252)</f>
        <v>252</v>
      </c>
      <c r="C130" s="46" t="str">
        <f>'Initial Search'!D252</f>
        <v>A Category-Theoretical Approach to the Formalisation of Version Control in MDE</v>
      </c>
      <c r="D130" s="49">
        <f>'Initial Search'!C252</f>
        <v>2009</v>
      </c>
      <c r="E130" s="49" t="str">
        <f>'Initial Search'!O252</f>
        <v>DPF</v>
      </c>
      <c r="F130" s="40" t="str">
        <f>'Initial Search'!M252</f>
        <v>Accepted</v>
      </c>
      <c r="G130" s="40" t="str">
        <f>'Initial Search'!N252</f>
        <v>Approved</v>
      </c>
      <c r="H130" s="36" t="s">
        <v>1623</v>
      </c>
      <c r="I130" s="29"/>
      <c r="J130" s="29"/>
      <c r="K130" s="29"/>
      <c r="L130" s="53"/>
      <c r="M130" s="37"/>
      <c r="N130" s="36"/>
      <c r="O130" s="29" t="s">
        <v>1623</v>
      </c>
      <c r="P130" s="29"/>
      <c r="Q130" s="29"/>
      <c r="R130" s="29"/>
      <c r="S130" s="29"/>
      <c r="T130" s="37" t="s">
        <v>2254</v>
      </c>
      <c r="U130" s="39" t="s">
        <v>2249</v>
      </c>
      <c r="V130" s="39" t="s">
        <v>1623</v>
      </c>
      <c r="W130" s="39"/>
      <c r="X130" s="29" t="s">
        <v>1915</v>
      </c>
      <c r="Y130" s="42" t="s">
        <v>2258</v>
      </c>
      <c r="Z130" s="29" t="s">
        <v>1686</v>
      </c>
      <c r="AA130" s="29" t="s">
        <v>1723</v>
      </c>
      <c r="AB130" s="29" t="s">
        <v>2253</v>
      </c>
      <c r="AC130" s="29" t="s">
        <v>1699</v>
      </c>
      <c r="AD130" s="37" t="s">
        <v>2250</v>
      </c>
      <c r="AE130" s="36" t="s">
        <v>3763</v>
      </c>
      <c r="AF130" s="37" t="s">
        <v>3782</v>
      </c>
      <c r="AG130" s="36" t="s">
        <v>1778</v>
      </c>
      <c r="AH130" s="37"/>
      <c r="AI130" s="39" t="s">
        <v>2256</v>
      </c>
      <c r="AJ130" s="37" t="s">
        <v>2251</v>
      </c>
      <c r="AK130" s="96" t="s">
        <v>1778</v>
      </c>
      <c r="AL130" s="36" t="s">
        <v>1670</v>
      </c>
      <c r="AM130" s="37"/>
      <c r="AN130" s="41" t="s">
        <v>1778</v>
      </c>
      <c r="AO130" s="37"/>
      <c r="AP130" s="36" t="s">
        <v>1778</v>
      </c>
      <c r="AQ130" s="37"/>
      <c r="AR130" s="39" t="s">
        <v>1709</v>
      </c>
      <c r="AS130" s="29" t="s">
        <v>1778</v>
      </c>
      <c r="AT130" s="37"/>
      <c r="AU130" s="36" t="s">
        <v>1778</v>
      </c>
      <c r="AV130" s="29"/>
      <c r="AW130" s="37"/>
      <c r="AX130" s="39" t="s">
        <v>2851</v>
      </c>
      <c r="AY130" s="205"/>
      <c r="AZ130" s="53" t="s">
        <v>2851</v>
      </c>
      <c r="BA130" s="88"/>
      <c r="BB130" s="224" t="s">
        <v>3074</v>
      </c>
      <c r="BC130" s="37" t="s">
        <v>2952</v>
      </c>
      <c r="BE130" s="93" t="s">
        <v>2252</v>
      </c>
    </row>
    <row r="131" spans="1:57" ht="30" hidden="1" x14ac:dyDescent="0.25">
      <c r="A131"/>
      <c r="B131" s="51">
        <f>ROW('Initial Search'!253:253)</f>
        <v>253</v>
      </c>
      <c r="C131" s="46" t="str">
        <f>'Initial Search'!D254</f>
        <v>Software Support Requirements for Awareness in Collaborative Modeling</v>
      </c>
      <c r="D131" s="49">
        <f>'Initial Search'!C254</f>
        <v>2014</v>
      </c>
      <c r="E131" s="49" t="str">
        <f>'Initial Search'!O254</f>
        <v>GenMyModel</v>
      </c>
      <c r="F131" s="40" t="str">
        <f>'Initial Search'!M254</f>
        <v>Rejected</v>
      </c>
      <c r="G131" s="124"/>
      <c r="H131" s="36"/>
      <c r="I131" s="29"/>
      <c r="J131" s="29"/>
      <c r="K131" s="29"/>
      <c r="L131" s="53"/>
      <c r="M131" s="37"/>
      <c r="N131" s="36"/>
      <c r="O131" s="29"/>
      <c r="P131" s="29"/>
      <c r="Q131" s="29"/>
      <c r="R131" s="29"/>
      <c r="S131" s="29"/>
      <c r="T131" s="37"/>
      <c r="U131" s="39"/>
      <c r="V131" s="39"/>
      <c r="W131" s="39"/>
      <c r="X131" s="29"/>
      <c r="Y131" s="29"/>
      <c r="Z131" s="29"/>
      <c r="AA131" s="29"/>
      <c r="AB131" s="29"/>
      <c r="AC131" s="29"/>
      <c r="AD131" s="37"/>
      <c r="AE131" s="36"/>
      <c r="AF131" s="37"/>
      <c r="AG131" s="36"/>
      <c r="AH131" s="37"/>
      <c r="AI131" s="36"/>
      <c r="AJ131" s="37"/>
      <c r="AK131" s="96"/>
      <c r="AL131" s="36"/>
      <c r="AM131" s="37"/>
      <c r="AN131" s="36"/>
      <c r="AO131" s="37"/>
      <c r="AP131" s="36"/>
      <c r="AQ131" s="37"/>
      <c r="AR131" s="39"/>
      <c r="AS131" s="29"/>
      <c r="AT131" s="37"/>
      <c r="AU131" s="36"/>
      <c r="AV131" s="29"/>
      <c r="AW131" s="37"/>
      <c r="AX131" s="205"/>
      <c r="AY131" s="205"/>
      <c r="AZ131" s="204"/>
      <c r="BA131" s="88"/>
      <c r="BB131" s="88"/>
      <c r="BC131" s="37"/>
    </row>
    <row r="132" spans="1:57" hidden="1" x14ac:dyDescent="0.25">
      <c r="A132"/>
      <c r="B132" s="51">
        <f>ROW('Initial Search'!258:258)</f>
        <v>258</v>
      </c>
      <c r="C132" s="46" t="str">
        <f>'Initial Search'!D259</f>
        <v>Supporting Collaborative Design</v>
      </c>
      <c r="D132" s="49">
        <f>'Initial Search'!C259</f>
        <v>2002</v>
      </c>
      <c r="E132" s="49" t="str">
        <f>'Initial Search'!O259</f>
        <v>RAISE</v>
      </c>
      <c r="F132" s="40" t="str">
        <f>'Initial Search'!M259</f>
        <v>Rejected</v>
      </c>
      <c r="G132" s="124"/>
      <c r="H132" s="36"/>
      <c r="I132" s="29"/>
      <c r="J132" s="29"/>
      <c r="K132" s="29"/>
      <c r="L132" s="53"/>
      <c r="M132" s="37"/>
      <c r="N132" s="36"/>
      <c r="O132" s="29"/>
      <c r="P132" s="29"/>
      <c r="Q132" s="29"/>
      <c r="R132" s="29"/>
      <c r="S132" s="29"/>
      <c r="T132" s="37"/>
      <c r="U132" s="39"/>
      <c r="V132" s="39"/>
      <c r="W132" s="39"/>
      <c r="X132" s="29"/>
      <c r="Y132" s="29"/>
      <c r="Z132" s="29"/>
      <c r="AA132" s="29"/>
      <c r="AB132" s="29"/>
      <c r="AC132" s="29"/>
      <c r="AD132" s="37"/>
      <c r="AE132" s="36"/>
      <c r="AF132" s="37"/>
      <c r="AG132" s="36"/>
      <c r="AH132" s="37"/>
      <c r="AI132" s="36"/>
      <c r="AJ132" s="37"/>
      <c r="AK132" s="101"/>
      <c r="AL132" s="36"/>
      <c r="AM132" s="37"/>
      <c r="AN132" s="39"/>
      <c r="AO132" s="83"/>
      <c r="AP132" s="36"/>
      <c r="AQ132" s="37"/>
      <c r="AR132" s="39"/>
      <c r="AS132" s="29"/>
      <c r="AT132" s="37"/>
      <c r="AU132" s="36"/>
      <c r="AV132" s="29"/>
      <c r="AW132" s="37"/>
      <c r="AX132" s="205"/>
      <c r="AY132" s="205"/>
      <c r="AZ132" s="204"/>
      <c r="BA132" s="88"/>
      <c r="BB132" s="88"/>
      <c r="BC132" s="37"/>
    </row>
    <row r="133" spans="1:57" ht="63.75" x14ac:dyDescent="0.25">
      <c r="A133" s="272">
        <v>52</v>
      </c>
      <c r="B133" s="51">
        <f>ROW('Initial Search'!260:260)</f>
        <v>260</v>
      </c>
      <c r="C133" s="46" t="str">
        <f>'Initial Search'!D260</f>
        <v>Towards Online Collaborative Multi-view Modelling</v>
      </c>
      <c r="D133" s="49">
        <f>'Initial Search'!C260</f>
        <v>2018</v>
      </c>
      <c r="E133" s="49" t="str">
        <f>'Initial Search'!O260</f>
        <v>TouchCORE</v>
      </c>
      <c r="F133" s="40" t="str">
        <f>'Initial Search'!M260</f>
        <v>Accepted</v>
      </c>
      <c r="G133" s="124" t="str">
        <f>'Initial Search'!N260</f>
        <v>Approved</v>
      </c>
      <c r="H133" s="36" t="s">
        <v>1623</v>
      </c>
      <c r="I133" s="29"/>
      <c r="J133" s="29"/>
      <c r="K133" s="29"/>
      <c r="L133" s="53"/>
      <c r="M133" s="37"/>
      <c r="N133" s="36"/>
      <c r="O133" s="29" t="s">
        <v>1623</v>
      </c>
      <c r="P133" s="29"/>
      <c r="Q133" s="29"/>
      <c r="R133" s="29"/>
      <c r="S133" s="29"/>
      <c r="T133" s="37"/>
      <c r="U133" s="39"/>
      <c r="V133" s="39"/>
      <c r="W133" s="39"/>
      <c r="X133" s="29" t="s">
        <v>1915</v>
      </c>
      <c r="Y133" s="29" t="s">
        <v>2257</v>
      </c>
      <c r="Z133" s="29" t="s">
        <v>1685</v>
      </c>
      <c r="AA133" s="29" t="s">
        <v>1723</v>
      </c>
      <c r="AB133" s="29" t="s">
        <v>1712</v>
      </c>
      <c r="AC133" s="53" t="s">
        <v>3374</v>
      </c>
      <c r="AD133" s="37" t="s">
        <v>3248</v>
      </c>
      <c r="AE133" s="36" t="s">
        <v>3763</v>
      </c>
      <c r="AF133" s="37"/>
      <c r="AG133" s="39" t="s">
        <v>3254</v>
      </c>
      <c r="AH133" s="37" t="s">
        <v>3375</v>
      </c>
      <c r="AI133" s="36" t="s">
        <v>1778</v>
      </c>
      <c r="AJ133" s="37"/>
      <c r="AK133" s="96" t="s">
        <v>1778</v>
      </c>
      <c r="AL133" s="36" t="s">
        <v>1778</v>
      </c>
      <c r="AM133" s="37"/>
      <c r="AN133" s="39" t="s">
        <v>1778</v>
      </c>
      <c r="AO133" s="83"/>
      <c r="AP133" s="36" t="s">
        <v>1778</v>
      </c>
      <c r="AQ133" s="37"/>
      <c r="AR133" s="39" t="s">
        <v>1743</v>
      </c>
      <c r="AS133" s="29" t="s">
        <v>1693</v>
      </c>
      <c r="AT133" s="37"/>
      <c r="AU133" s="36" t="s">
        <v>2267</v>
      </c>
      <c r="AV133" s="29"/>
      <c r="AW133" s="37" t="s">
        <v>1680</v>
      </c>
      <c r="AX133" s="39" t="s">
        <v>3649</v>
      </c>
      <c r="AY133" s="205"/>
      <c r="AZ133" s="204"/>
      <c r="BA133" s="88"/>
      <c r="BB133" s="88" t="s">
        <v>3252</v>
      </c>
      <c r="BC133" s="37" t="s">
        <v>3251</v>
      </c>
      <c r="BE133" s="93" t="s">
        <v>3249</v>
      </c>
    </row>
    <row r="134" spans="1:57" ht="30" hidden="1" x14ac:dyDescent="0.25">
      <c r="A134"/>
      <c r="B134" s="51">
        <f>ROW('Initial Search'!261:261)</f>
        <v>261</v>
      </c>
      <c r="C134" s="46" t="str">
        <f>'Initial Search'!D262</f>
        <v>A Flexible Multi-mode Undo Mechanism for a Collaborative Modeling Environment</v>
      </c>
      <c r="D134" s="49">
        <f>'Initial Search'!C262</f>
        <v>2009</v>
      </c>
      <c r="E134" s="49" t="str">
        <f>'Initial Search'!O262</f>
        <v>Undo-Redo</v>
      </c>
      <c r="F134" s="40" t="str">
        <f>'Initial Search'!M262</f>
        <v>Rejected</v>
      </c>
      <c r="G134" s="124"/>
      <c r="H134" s="36"/>
      <c r="I134" s="29"/>
      <c r="J134" s="29"/>
      <c r="K134" s="29"/>
      <c r="L134" s="53"/>
      <c r="M134" s="37"/>
      <c r="N134" s="36"/>
      <c r="O134" s="29"/>
      <c r="P134" s="29"/>
      <c r="Q134" s="29"/>
      <c r="R134" s="29"/>
      <c r="S134" s="29"/>
      <c r="T134" s="37"/>
      <c r="U134" s="39"/>
      <c r="V134" s="39"/>
      <c r="W134" s="39"/>
      <c r="X134" s="29"/>
      <c r="Y134" s="29"/>
      <c r="Z134" s="29"/>
      <c r="AA134" s="29"/>
      <c r="AB134" s="29"/>
      <c r="AC134" s="29"/>
      <c r="AD134" s="37"/>
      <c r="AE134" s="36"/>
      <c r="AF134" s="37"/>
      <c r="AG134" s="36"/>
      <c r="AH134" s="37"/>
      <c r="AI134" s="36"/>
      <c r="AJ134" s="37"/>
      <c r="AK134" s="101"/>
      <c r="AL134" s="36"/>
      <c r="AM134" s="37"/>
      <c r="AN134" s="39"/>
      <c r="AO134" s="83"/>
      <c r="AP134" s="36"/>
      <c r="AQ134" s="37"/>
      <c r="AR134" s="39"/>
      <c r="AS134" s="29"/>
      <c r="AT134" s="37"/>
      <c r="AU134" s="36"/>
      <c r="AV134" s="29"/>
      <c r="AW134" s="37"/>
      <c r="AX134" s="205"/>
      <c r="AY134" s="205"/>
      <c r="AZ134" s="204"/>
      <c r="BA134" s="88"/>
      <c r="BB134" s="88"/>
      <c r="BC134" s="37"/>
    </row>
    <row r="135" spans="1:57" ht="30" hidden="1" x14ac:dyDescent="0.25">
      <c r="A135"/>
      <c r="B135" s="51">
        <f>ROW('Initial Search'!263:263)</f>
        <v>263</v>
      </c>
      <c r="C135" s="46" t="str">
        <f>'Initial Search'!D264</f>
        <v>SLIM—A Lightweight Environment for Synchronous Collaborative Modeling</v>
      </c>
      <c r="D135" s="49">
        <f>'Initial Search'!C264</f>
        <v>2009</v>
      </c>
      <c r="E135" s="49" t="str">
        <f>'Initial Search'!O264</f>
        <v>SLIM</v>
      </c>
      <c r="F135" s="40" t="str">
        <f>'Initial Search'!M264</f>
        <v>Rejected</v>
      </c>
      <c r="G135" s="124"/>
      <c r="H135" s="36"/>
      <c r="I135" s="29"/>
      <c r="J135" s="29"/>
      <c r="K135" s="29"/>
      <c r="L135" s="53"/>
      <c r="M135" s="37"/>
      <c r="N135" s="36"/>
      <c r="O135" s="29"/>
      <c r="P135" s="29"/>
      <c r="Q135" s="29"/>
      <c r="R135" s="29"/>
      <c r="S135" s="29"/>
      <c r="T135" s="37"/>
      <c r="U135" s="39"/>
      <c r="V135" s="39"/>
      <c r="W135" s="39"/>
      <c r="X135" s="29"/>
      <c r="Y135" s="29"/>
      <c r="Z135" s="29"/>
      <c r="AA135" s="29"/>
      <c r="AB135" s="29"/>
      <c r="AC135" s="29"/>
      <c r="AD135" s="37"/>
      <c r="AE135" s="36"/>
      <c r="AF135" s="37"/>
      <c r="AG135" s="36"/>
      <c r="AH135" s="37"/>
      <c r="AI135" s="36"/>
      <c r="AJ135" s="37"/>
      <c r="AK135" s="101"/>
      <c r="AL135" s="36"/>
      <c r="AM135" s="37"/>
      <c r="AN135" s="36"/>
      <c r="AO135" s="83"/>
      <c r="AP135" s="36"/>
      <c r="AQ135" s="37"/>
      <c r="AR135" s="39"/>
      <c r="AS135" s="29"/>
      <c r="AT135" s="37"/>
      <c r="AU135" s="36"/>
      <c r="AV135" s="29"/>
      <c r="AW135" s="37"/>
      <c r="AX135" s="205"/>
      <c r="AY135" s="205"/>
      <c r="AZ135" s="204"/>
      <c r="BA135" s="88"/>
      <c r="BB135" s="88"/>
      <c r="BC135" s="37"/>
    </row>
    <row r="136" spans="1:57" ht="30" hidden="1" x14ac:dyDescent="0.25">
      <c r="A136"/>
      <c r="B136" s="51">
        <f>ROW('Initial Search'!264:264)</f>
        <v>264</v>
      </c>
      <c r="C136" s="46" t="str">
        <f>'Initial Search'!D265</f>
        <v>A Web-Based Collaborative Metamodeling Environment with Secure Remote Model Access</v>
      </c>
      <c r="D136" s="49">
        <f>'Initial Search'!C265</f>
        <v>2010</v>
      </c>
      <c r="E136" s="49" t="str">
        <f>'Initial Search'!O265</f>
        <v>GEMSjax</v>
      </c>
      <c r="F136" s="40" t="str">
        <f>'Initial Search'!M265</f>
        <v>Rejected</v>
      </c>
      <c r="G136" s="124"/>
      <c r="H136" s="36"/>
      <c r="I136" s="29"/>
      <c r="J136" s="29"/>
      <c r="K136" s="29"/>
      <c r="L136" s="53"/>
      <c r="M136" s="37"/>
      <c r="N136" s="36"/>
      <c r="O136" s="29"/>
      <c r="P136" s="29"/>
      <c r="Q136" s="29"/>
      <c r="R136" s="29"/>
      <c r="S136" s="29"/>
      <c r="T136" s="37"/>
      <c r="U136" s="39"/>
      <c r="V136" s="39"/>
      <c r="W136" s="39"/>
      <c r="X136" s="29"/>
      <c r="Y136" s="29"/>
      <c r="Z136" s="29"/>
      <c r="AA136" s="29"/>
      <c r="AB136" s="29"/>
      <c r="AC136" s="29"/>
      <c r="AD136" s="37"/>
      <c r="AE136" s="36"/>
      <c r="AF136" s="37"/>
      <c r="AG136" s="36"/>
      <c r="AH136" s="37"/>
      <c r="AI136" s="36"/>
      <c r="AJ136" s="37"/>
      <c r="AK136" s="101"/>
      <c r="AL136" s="36"/>
      <c r="AM136" s="37"/>
      <c r="AN136" s="41"/>
      <c r="AO136" s="83"/>
      <c r="AP136" s="36"/>
      <c r="AQ136" s="37"/>
      <c r="AR136" s="39"/>
      <c r="AS136" s="29"/>
      <c r="AT136" s="37"/>
      <c r="AU136" s="36"/>
      <c r="AV136" s="29"/>
      <c r="AW136" s="37"/>
      <c r="AX136" s="205"/>
      <c r="AY136" s="205"/>
      <c r="AZ136" s="204"/>
      <c r="BA136" s="88"/>
      <c r="BB136" s="88"/>
      <c r="BC136" s="37"/>
    </row>
    <row r="137" spans="1:57" ht="51" x14ac:dyDescent="0.25">
      <c r="A137" s="149">
        <v>58</v>
      </c>
      <c r="B137" s="51">
        <f>ROW('Initial Search'!268:268)</f>
        <v>268</v>
      </c>
      <c r="C137" s="46" t="str">
        <f>'Initial Search'!D268</f>
        <v>Discovering Software Architectures with Search-Based Merge of UML Model Variants</v>
      </c>
      <c r="D137" s="49">
        <f>'Initial Search'!C268</f>
        <v>2017</v>
      </c>
      <c r="E137" s="49" t="str">
        <f>'Initial Search'!O268</f>
        <v>Assunção et al.</v>
      </c>
      <c r="F137" s="40" t="str">
        <f>'Initial Search'!M268</f>
        <v>Accepted</v>
      </c>
      <c r="G137" s="124" t="str">
        <f>'Initial Search'!N268</f>
        <v>Approved</v>
      </c>
      <c r="H137" s="36"/>
      <c r="I137" s="29" t="s">
        <v>1623</v>
      </c>
      <c r="J137" s="29"/>
      <c r="K137" s="29"/>
      <c r="L137" s="53"/>
      <c r="M137" s="37"/>
      <c r="N137" s="36"/>
      <c r="O137" s="29" t="s">
        <v>1623</v>
      </c>
      <c r="P137" s="29"/>
      <c r="Q137" s="29"/>
      <c r="R137" s="29"/>
      <c r="S137" s="29"/>
      <c r="T137" s="37"/>
      <c r="U137" s="39" t="s">
        <v>3301</v>
      </c>
      <c r="V137" s="39"/>
      <c r="W137" s="39"/>
      <c r="X137" s="29" t="s">
        <v>1915</v>
      </c>
      <c r="Y137" s="29" t="s">
        <v>2258</v>
      </c>
      <c r="Z137" s="29" t="s">
        <v>1686</v>
      </c>
      <c r="AA137" s="29" t="s">
        <v>1877</v>
      </c>
      <c r="AB137" s="53" t="s">
        <v>3300</v>
      </c>
      <c r="AC137" s="29" t="s">
        <v>3244</v>
      </c>
      <c r="AD137" s="37" t="s">
        <v>3299</v>
      </c>
      <c r="AE137" s="36" t="s">
        <v>3763</v>
      </c>
      <c r="AF137" s="37"/>
      <c r="AG137" s="36" t="s">
        <v>2006</v>
      </c>
      <c r="AH137" s="37" t="s">
        <v>3302</v>
      </c>
      <c r="AI137" s="36" t="s">
        <v>1778</v>
      </c>
      <c r="AJ137" s="37"/>
      <c r="AK137" s="96" t="s">
        <v>1778</v>
      </c>
      <c r="AL137" s="36"/>
      <c r="AM137" s="37"/>
      <c r="AN137" s="36" t="s">
        <v>1778</v>
      </c>
      <c r="AO137" s="83"/>
      <c r="AP137" s="36" t="s">
        <v>1778</v>
      </c>
      <c r="AQ137" s="37"/>
      <c r="AR137" s="39" t="s">
        <v>1743</v>
      </c>
      <c r="AS137" s="29" t="s">
        <v>1693</v>
      </c>
      <c r="AT137" s="37"/>
      <c r="AU137" s="36"/>
      <c r="AV137" s="29"/>
      <c r="AW137" s="37" t="s">
        <v>1680</v>
      </c>
      <c r="AX137" s="39" t="s">
        <v>2851</v>
      </c>
      <c r="AY137" s="205" t="s">
        <v>3303</v>
      </c>
      <c r="AZ137" s="53" t="s">
        <v>2851</v>
      </c>
      <c r="BA137" s="88"/>
      <c r="BB137" s="224" t="s">
        <v>3305</v>
      </c>
      <c r="BC137" s="37" t="s">
        <v>3304</v>
      </c>
    </row>
    <row r="138" spans="1:57" ht="30" hidden="1" x14ac:dyDescent="0.25">
      <c r="A138"/>
      <c r="B138" s="51">
        <f>ROW('Initial Search'!271:271)</f>
        <v>271</v>
      </c>
      <c r="C138" s="46" t="str">
        <f>'Initial Search'!D272</f>
        <v>Incremental Concurrent Model Synchronization using Triple Graph Grammars</v>
      </c>
      <c r="D138" s="49">
        <f>'Initial Search'!C272</f>
        <v>2020</v>
      </c>
      <c r="E138" s="49" t="str">
        <f>'Initial Search'!O272</f>
        <v>TGG_CSynch</v>
      </c>
      <c r="F138" s="40" t="str">
        <f>'Initial Search'!M272</f>
        <v>Rejected</v>
      </c>
      <c r="G138" s="124"/>
      <c r="H138" s="36"/>
      <c r="I138" s="29"/>
      <c r="J138" s="29"/>
      <c r="K138" s="29"/>
      <c r="L138" s="53"/>
      <c r="M138" s="37"/>
      <c r="N138" s="36"/>
      <c r="O138" s="29"/>
      <c r="P138" s="29"/>
      <c r="Q138" s="29"/>
      <c r="R138" s="29"/>
      <c r="S138" s="29"/>
      <c r="T138" s="37"/>
      <c r="U138" s="39"/>
      <c r="V138" s="39"/>
      <c r="W138" s="39"/>
      <c r="X138" s="29"/>
      <c r="Y138" s="29"/>
      <c r="Z138" s="29"/>
      <c r="AA138" s="29"/>
      <c r="AB138" s="29"/>
      <c r="AC138" s="29"/>
      <c r="AD138" s="37"/>
      <c r="AE138" s="36"/>
      <c r="AF138" s="37"/>
      <c r="AG138" s="36"/>
      <c r="AH138" s="37"/>
      <c r="AI138" s="36"/>
      <c r="AJ138" s="37"/>
      <c r="AK138" s="96"/>
      <c r="AL138" s="36"/>
      <c r="AM138" s="37"/>
      <c r="AN138" s="39"/>
      <c r="AO138" s="37"/>
      <c r="AP138" s="36"/>
      <c r="AQ138" s="37"/>
      <c r="AR138" s="39"/>
      <c r="AS138" s="29"/>
      <c r="AT138" s="37"/>
      <c r="AU138" s="36"/>
      <c r="AV138" s="29"/>
      <c r="AW138" s="37"/>
      <c r="AX138" s="205"/>
      <c r="AY138" s="205"/>
      <c r="AZ138" s="204"/>
      <c r="BA138" s="88"/>
      <c r="BB138" s="88"/>
      <c r="BC138" s="37"/>
    </row>
    <row r="139" spans="1:57" ht="89.25" x14ac:dyDescent="0.25">
      <c r="A139" s="149">
        <v>38</v>
      </c>
      <c r="B139" s="51">
        <f>ROW('Initial Search'!277:277)</f>
        <v>277</v>
      </c>
      <c r="C139" s="46" t="str">
        <f>'Initial Search'!D277</f>
        <v>Research of Consistency Maintenance Mechanism in Real-Time Collaborative Multi-View Business Modeling</v>
      </c>
      <c r="D139" s="49">
        <f>'Initial Search'!C277</f>
        <v>2015</v>
      </c>
      <c r="E139" s="49" t="str">
        <f>'Initial Search'!O277</f>
        <v>CoMBM</v>
      </c>
      <c r="F139" s="40" t="str">
        <f>'Initial Search'!M277</f>
        <v>Accepted</v>
      </c>
      <c r="G139" s="40" t="str">
        <f>'Initial Search'!N277</f>
        <v>Approved</v>
      </c>
      <c r="H139" s="36"/>
      <c r="I139" s="29"/>
      <c r="J139" s="29"/>
      <c r="K139" s="29" t="s">
        <v>1623</v>
      </c>
      <c r="L139" s="53"/>
      <c r="M139" s="37" t="s">
        <v>2262</v>
      </c>
      <c r="N139" s="36" t="s">
        <v>1623</v>
      </c>
      <c r="O139" s="29" t="s">
        <v>1623</v>
      </c>
      <c r="P139" s="29"/>
      <c r="Q139" s="29"/>
      <c r="R139" s="29"/>
      <c r="S139" s="29"/>
      <c r="T139" s="37"/>
      <c r="U139" s="39" t="s">
        <v>2259</v>
      </c>
      <c r="V139" s="39"/>
      <c r="W139" s="39"/>
      <c r="X139" s="29" t="s">
        <v>1915</v>
      </c>
      <c r="Y139" s="42" t="s">
        <v>2258</v>
      </c>
      <c r="Z139" s="29" t="s">
        <v>1685</v>
      </c>
      <c r="AA139" s="29" t="s">
        <v>1723</v>
      </c>
      <c r="AB139" s="29" t="s">
        <v>1712</v>
      </c>
      <c r="AC139" s="29" t="s">
        <v>1698</v>
      </c>
      <c r="AD139" s="37"/>
      <c r="AE139" s="36" t="s">
        <v>3778</v>
      </c>
      <c r="AF139" s="37"/>
      <c r="AG139" s="36" t="s">
        <v>1778</v>
      </c>
      <c r="AH139" s="37"/>
      <c r="AI139" s="39" t="s">
        <v>2638</v>
      </c>
      <c r="AJ139" s="37"/>
      <c r="AK139" s="96" t="s">
        <v>2196</v>
      </c>
      <c r="AL139" s="36" t="s">
        <v>1792</v>
      </c>
      <c r="AM139" s="37"/>
      <c r="AN139" s="39" t="s">
        <v>1778</v>
      </c>
      <c r="AO139" s="37"/>
      <c r="AP139" s="39" t="s">
        <v>1801</v>
      </c>
      <c r="AQ139" s="37"/>
      <c r="AR139" s="39" t="s">
        <v>1743</v>
      </c>
      <c r="AS139" s="29" t="s">
        <v>1778</v>
      </c>
      <c r="AT139" s="37"/>
      <c r="AU139" s="36" t="s">
        <v>2267</v>
      </c>
      <c r="AV139" s="29" t="s">
        <v>1778</v>
      </c>
      <c r="AW139" s="37"/>
      <c r="AX139" s="39" t="s">
        <v>2851</v>
      </c>
      <c r="AY139" s="205"/>
      <c r="AZ139" s="53" t="s">
        <v>2851</v>
      </c>
      <c r="BA139" s="88"/>
      <c r="BB139" s="224" t="s">
        <v>3075</v>
      </c>
      <c r="BC139" s="37" t="s">
        <v>2955</v>
      </c>
    </row>
    <row r="140" spans="1:57" ht="63.75" x14ac:dyDescent="0.25">
      <c r="A140" s="149">
        <v>39</v>
      </c>
      <c r="B140" s="51">
        <f>ROW('Initial Search'!280:280)</f>
        <v>280</v>
      </c>
      <c r="C140" s="46" t="str">
        <f>'Initial Search'!D280</f>
        <v>Pyro: Generating Domain-Specific Collaborative Online Modeling Environments</v>
      </c>
      <c r="D140" s="49">
        <f>'Initial Search'!C280</f>
        <v>2019</v>
      </c>
      <c r="E140" s="49" t="str">
        <f>'Initial Search'!O280</f>
        <v>Pyro</v>
      </c>
      <c r="F140" s="40" t="str">
        <f>'Initial Search'!M280</f>
        <v>Accepted</v>
      </c>
      <c r="G140" s="40" t="str">
        <f>'Initial Search'!N280</f>
        <v>Approved</v>
      </c>
      <c r="H140" s="36"/>
      <c r="I140" s="29"/>
      <c r="J140" s="29" t="s">
        <v>1623</v>
      </c>
      <c r="K140" s="29"/>
      <c r="L140" s="53" t="s">
        <v>2264</v>
      </c>
      <c r="M140" s="37"/>
      <c r="N140" s="36" t="s">
        <v>1623</v>
      </c>
      <c r="O140" s="29" t="s">
        <v>1623</v>
      </c>
      <c r="P140" s="29"/>
      <c r="Q140" s="29"/>
      <c r="R140" s="29"/>
      <c r="S140" s="29"/>
      <c r="T140" s="37"/>
      <c r="U140" s="39" t="s">
        <v>2265</v>
      </c>
      <c r="V140" s="39"/>
      <c r="W140" s="39" t="s">
        <v>1623</v>
      </c>
      <c r="X140" s="29" t="s">
        <v>1915</v>
      </c>
      <c r="Y140" s="42" t="s">
        <v>2258</v>
      </c>
      <c r="Z140" s="29" t="s">
        <v>1685</v>
      </c>
      <c r="AA140" s="29" t="s">
        <v>1687</v>
      </c>
      <c r="AB140" s="29" t="s">
        <v>1712</v>
      </c>
      <c r="AC140" s="29" t="s">
        <v>1698</v>
      </c>
      <c r="AD140" s="37"/>
      <c r="AE140" s="36" t="s">
        <v>3763</v>
      </c>
      <c r="AF140" s="37"/>
      <c r="AG140" s="39" t="s">
        <v>2635</v>
      </c>
      <c r="AH140" s="37" t="s">
        <v>2826</v>
      </c>
      <c r="AI140" s="39" t="s">
        <v>2588</v>
      </c>
      <c r="AJ140" s="37" t="s">
        <v>2263</v>
      </c>
      <c r="AK140" s="96" t="s">
        <v>2197</v>
      </c>
      <c r="AL140" s="36" t="s">
        <v>1670</v>
      </c>
      <c r="AM140" s="37" t="s">
        <v>2828</v>
      </c>
      <c r="AN140" s="39" t="s">
        <v>1778</v>
      </c>
      <c r="AO140" s="37"/>
      <c r="AP140" s="36" t="s">
        <v>2586</v>
      </c>
      <c r="AQ140" s="37" t="s">
        <v>2827</v>
      </c>
      <c r="AR140" s="39" t="s">
        <v>1765</v>
      </c>
      <c r="AS140" s="29" t="s">
        <v>2216</v>
      </c>
      <c r="AT140" s="64" t="s">
        <v>2266</v>
      </c>
      <c r="AU140" s="36" t="s">
        <v>2267</v>
      </c>
      <c r="AV140" s="29" t="s">
        <v>1677</v>
      </c>
      <c r="AW140" s="37" t="s">
        <v>1680</v>
      </c>
      <c r="AX140" s="39" t="s">
        <v>2851</v>
      </c>
      <c r="AY140" s="205"/>
      <c r="AZ140" s="53" t="s">
        <v>2851</v>
      </c>
      <c r="BA140" s="88"/>
      <c r="BB140" s="224" t="s">
        <v>3076</v>
      </c>
      <c r="BC140" s="37" t="s">
        <v>2956</v>
      </c>
    </row>
    <row r="141" spans="1:57" ht="25.5" x14ac:dyDescent="0.25">
      <c r="A141" s="149">
        <v>40</v>
      </c>
      <c r="B141" s="51">
        <f>ROW('Initial Search'!284:284)</f>
        <v>284</v>
      </c>
      <c r="C141" s="46" t="str">
        <f>'Initial Search'!D284</f>
        <v>Collaborative Modelling with Version Control</v>
      </c>
      <c r="D141" s="49">
        <f>'Initial Search'!C284</f>
        <v>2018</v>
      </c>
      <c r="E141" s="49" t="str">
        <f>'Initial Search'!O284</f>
        <v>MetaEdit+</v>
      </c>
      <c r="F141" s="40" t="str">
        <f>'Initial Search'!M284</f>
        <v>Accepted</v>
      </c>
      <c r="G141" s="40" t="str">
        <f>'Initial Search'!N284</f>
        <v>Approved</v>
      </c>
      <c r="H141" s="36"/>
      <c r="I141" s="29"/>
      <c r="J141" s="29"/>
      <c r="K141" s="29"/>
      <c r="L141" s="53" t="s">
        <v>2283</v>
      </c>
      <c r="M141" s="37"/>
      <c r="N141" s="36"/>
      <c r="O141" s="29" t="s">
        <v>1623</v>
      </c>
      <c r="P141" s="29" t="s">
        <v>1623</v>
      </c>
      <c r="Q141" s="29" t="s">
        <v>1623</v>
      </c>
      <c r="R141" s="29"/>
      <c r="S141" s="29"/>
      <c r="T141" s="37"/>
      <c r="U141" s="39" t="s">
        <v>2284</v>
      </c>
      <c r="V141" s="39"/>
      <c r="W141" s="39"/>
      <c r="X141" s="29" t="s">
        <v>1915</v>
      </c>
      <c r="Y141" s="29" t="s">
        <v>2257</v>
      </c>
      <c r="Z141" s="29" t="s">
        <v>1686</v>
      </c>
      <c r="AA141" s="29" t="s">
        <v>1723</v>
      </c>
      <c r="AB141" s="29" t="s">
        <v>1712</v>
      </c>
      <c r="AC141" s="29" t="s">
        <v>1698</v>
      </c>
      <c r="AD141" s="37"/>
      <c r="AE141" s="36" t="s">
        <v>1778</v>
      </c>
      <c r="AF141" s="37"/>
      <c r="AG141" s="39" t="s">
        <v>1822</v>
      </c>
      <c r="AH141" s="37" t="s">
        <v>2285</v>
      </c>
      <c r="AI141" s="36" t="s">
        <v>1778</v>
      </c>
      <c r="AJ141" s="37"/>
      <c r="AK141" s="97" t="s">
        <v>1778</v>
      </c>
      <c r="AL141" s="89" t="s">
        <v>1778</v>
      </c>
      <c r="AM141" s="37"/>
      <c r="AN141" s="89" t="s">
        <v>1778</v>
      </c>
      <c r="AO141" s="37"/>
      <c r="AP141" s="36" t="s">
        <v>1778</v>
      </c>
      <c r="AQ141" s="37"/>
      <c r="AR141" s="39" t="s">
        <v>1765</v>
      </c>
      <c r="AS141" s="29" t="s">
        <v>1693</v>
      </c>
      <c r="AT141" s="37"/>
      <c r="AU141" s="36" t="s">
        <v>1800</v>
      </c>
      <c r="AV141" s="29" t="s">
        <v>1677</v>
      </c>
      <c r="AW141" s="37"/>
      <c r="AX141" s="39" t="s">
        <v>2851</v>
      </c>
      <c r="AY141" s="205"/>
      <c r="AZ141" s="53" t="s">
        <v>2851</v>
      </c>
      <c r="BA141" s="88"/>
      <c r="BB141" s="224" t="s">
        <v>3078</v>
      </c>
      <c r="BC141" s="37" t="s">
        <v>2957</v>
      </c>
    </row>
    <row r="142" spans="1:57" ht="153" x14ac:dyDescent="0.25">
      <c r="A142" s="149">
        <v>41</v>
      </c>
      <c r="B142" s="51">
        <f>ROW('Initial Search'!164:164)</f>
        <v>164</v>
      </c>
      <c r="C142" s="46" t="str">
        <f>'Initial Search'!D164</f>
        <v>A Formalism for Specifying Model Merging Conflicts</v>
      </c>
      <c r="D142" s="49">
        <f>'Initial Search'!C164</f>
        <v>2020</v>
      </c>
      <c r="E142" s="49" t="str">
        <f>'Initial Search'!O164</f>
        <v>CPL</v>
      </c>
      <c r="F142" s="40" t="str">
        <f>'Initial Search'!M164</f>
        <v>Accepted</v>
      </c>
      <c r="G142" s="40" t="str">
        <f>'Initial Search'!N164</f>
        <v>Approved</v>
      </c>
      <c r="H142" s="36"/>
      <c r="I142" s="29" t="s">
        <v>1623</v>
      </c>
      <c r="J142" s="29" t="s">
        <v>1623</v>
      </c>
      <c r="K142" s="29"/>
      <c r="L142" s="53"/>
      <c r="M142" s="37"/>
      <c r="N142" s="36"/>
      <c r="O142" s="29" t="s">
        <v>1623</v>
      </c>
      <c r="P142" s="29" t="s">
        <v>1623</v>
      </c>
      <c r="Q142" s="29" t="s">
        <v>1623</v>
      </c>
      <c r="R142" s="29" t="s">
        <v>1623</v>
      </c>
      <c r="S142" s="29" t="s">
        <v>1623</v>
      </c>
      <c r="T142" s="37"/>
      <c r="U142" s="39" t="s">
        <v>1860</v>
      </c>
      <c r="V142" s="39"/>
      <c r="W142" s="39"/>
      <c r="X142" s="29" t="s">
        <v>1915</v>
      </c>
      <c r="Y142" s="42" t="s">
        <v>2258</v>
      </c>
      <c r="Z142" s="29" t="s">
        <v>1687</v>
      </c>
      <c r="AA142" s="29" t="s">
        <v>1877</v>
      </c>
      <c r="AB142" s="29" t="s">
        <v>2286</v>
      </c>
      <c r="AC142" s="53" t="s">
        <v>2677</v>
      </c>
      <c r="AD142" s="37"/>
      <c r="AE142" s="36" t="s">
        <v>2678</v>
      </c>
      <c r="AF142" s="37" t="s">
        <v>2287</v>
      </c>
      <c r="AG142" s="39" t="s">
        <v>1778</v>
      </c>
      <c r="AH142" s="37"/>
      <c r="AI142" s="36" t="s">
        <v>1778</v>
      </c>
      <c r="AJ142" s="37"/>
      <c r="AK142" s="97" t="s">
        <v>1778</v>
      </c>
      <c r="AL142" s="89" t="s">
        <v>1778</v>
      </c>
      <c r="AM142" s="37"/>
      <c r="AN142" s="89" t="s">
        <v>1778</v>
      </c>
      <c r="AO142" s="37"/>
      <c r="AP142" s="36" t="s">
        <v>1778</v>
      </c>
      <c r="AQ142" s="37"/>
      <c r="AR142" s="39" t="s">
        <v>1743</v>
      </c>
      <c r="AS142" s="29" t="s">
        <v>1693</v>
      </c>
      <c r="AT142" s="37"/>
      <c r="AU142" s="36" t="s">
        <v>1679</v>
      </c>
      <c r="AV142" s="29" t="s">
        <v>1677</v>
      </c>
      <c r="AW142" s="37" t="s">
        <v>1680</v>
      </c>
      <c r="AX142" s="39" t="s">
        <v>2988</v>
      </c>
      <c r="AY142" s="205" t="s">
        <v>2959</v>
      </c>
      <c r="AZ142" s="53" t="s">
        <v>2851</v>
      </c>
      <c r="BA142" s="88"/>
      <c r="BB142" s="224" t="s">
        <v>3079</v>
      </c>
      <c r="BC142" s="37" t="s">
        <v>2958</v>
      </c>
    </row>
    <row r="143" spans="1:57" ht="114.75" x14ac:dyDescent="0.25">
      <c r="A143" s="148">
        <v>44</v>
      </c>
      <c r="B143" s="51">
        <f>ROW('Initial Search'!291:291)</f>
        <v>291</v>
      </c>
      <c r="C143" s="46" t="str">
        <f>'Initial Search'!D291</f>
        <v>Composite-level conflict detection in uml model versioning</v>
      </c>
      <c r="D143" s="49">
        <f>'Initial Search'!C291</f>
        <v>2015</v>
      </c>
      <c r="E143" s="49" t="str">
        <f>'Initial Search'!O291</f>
        <v>Zhang et al.</v>
      </c>
      <c r="F143" s="40" t="str">
        <f>'Initial Search'!M291</f>
        <v>Accepted</v>
      </c>
      <c r="G143" s="40" t="str">
        <f>'Initial Search'!N291</f>
        <v>Approved</v>
      </c>
      <c r="H143" s="36"/>
      <c r="I143" s="29" t="s">
        <v>1623</v>
      </c>
      <c r="J143" s="29"/>
      <c r="K143" s="29"/>
      <c r="L143" s="53"/>
      <c r="M143" s="37"/>
      <c r="N143" s="36"/>
      <c r="O143" s="29" t="s">
        <v>1623</v>
      </c>
      <c r="P143" s="29" t="s">
        <v>1623</v>
      </c>
      <c r="Q143" s="29"/>
      <c r="R143" s="29"/>
      <c r="S143" s="29"/>
      <c r="T143" s="37" t="s">
        <v>2478</v>
      </c>
      <c r="U143" s="39" t="s">
        <v>2477</v>
      </c>
      <c r="V143" s="39"/>
      <c r="W143" s="39"/>
      <c r="X143" s="29" t="s">
        <v>1915</v>
      </c>
      <c r="Y143" s="42" t="s">
        <v>2258</v>
      </c>
      <c r="Z143" s="29" t="s">
        <v>1686</v>
      </c>
      <c r="AA143" s="29" t="s">
        <v>1723</v>
      </c>
      <c r="AB143" s="53" t="s">
        <v>2131</v>
      </c>
      <c r="AC143" s="29" t="s">
        <v>1699</v>
      </c>
      <c r="AD143" s="37"/>
      <c r="AE143" s="36" t="s">
        <v>3778</v>
      </c>
      <c r="AF143" s="37"/>
      <c r="AG143" s="39" t="s">
        <v>1778</v>
      </c>
      <c r="AH143" s="37"/>
      <c r="AI143" s="39" t="s">
        <v>2680</v>
      </c>
      <c r="AJ143" s="37" t="s">
        <v>2679</v>
      </c>
      <c r="AK143" s="97" t="s">
        <v>2197</v>
      </c>
      <c r="AL143" s="89" t="s">
        <v>1670</v>
      </c>
      <c r="AM143" s="37"/>
      <c r="AN143" s="89" t="s">
        <v>1778</v>
      </c>
      <c r="AO143" s="37"/>
      <c r="AP143" s="36" t="s">
        <v>2146</v>
      </c>
      <c r="AQ143" s="37"/>
      <c r="AR143" s="39" t="s">
        <v>1743</v>
      </c>
      <c r="AS143" s="29" t="s">
        <v>1778</v>
      </c>
      <c r="AT143" s="37" t="s">
        <v>2480</v>
      </c>
      <c r="AU143" s="36" t="s">
        <v>1778</v>
      </c>
      <c r="AV143" s="29"/>
      <c r="AW143" s="37"/>
      <c r="AX143" s="39" t="s">
        <v>2851</v>
      </c>
      <c r="AY143" s="205"/>
      <c r="AZ143" s="53" t="s">
        <v>2851</v>
      </c>
      <c r="BA143" s="88"/>
      <c r="BB143" s="224" t="s">
        <v>3080</v>
      </c>
      <c r="BC143" s="37" t="s">
        <v>2960</v>
      </c>
    </row>
    <row r="144" spans="1:57" ht="76.5" hidden="1" x14ac:dyDescent="0.25">
      <c r="A144"/>
      <c r="B144" s="51">
        <f>ROW('Initial Search'!101:101)</f>
        <v>101</v>
      </c>
      <c r="C144" s="46" t="str">
        <f>'Initial Search'!D101</f>
        <v>Evaluating the Cloud Architecture of AToMPM</v>
      </c>
      <c r="D144" s="49">
        <f>'Initial Search'!C101</f>
        <v>2016</v>
      </c>
      <c r="E144" s="49" t="str">
        <f>'Initial Search'!O101</f>
        <v>AToMPM</v>
      </c>
      <c r="F144" s="40" t="str">
        <f>'Initial Search'!M101</f>
        <v>Rejected</v>
      </c>
      <c r="G144" s="124"/>
      <c r="H144" s="36" t="s">
        <v>1623</v>
      </c>
      <c r="I144" s="29"/>
      <c r="J144" s="29"/>
      <c r="K144" s="29"/>
      <c r="L144" s="53"/>
      <c r="M144" s="37"/>
      <c r="N144" s="36"/>
      <c r="O144" s="29" t="s">
        <v>1623</v>
      </c>
      <c r="P144" s="29"/>
      <c r="Q144" s="29"/>
      <c r="R144" s="29"/>
      <c r="S144" s="29"/>
      <c r="T144" s="37" t="s">
        <v>2446</v>
      </c>
      <c r="U144" s="39" t="s">
        <v>2443</v>
      </c>
      <c r="V144" s="39"/>
      <c r="W144" s="39"/>
      <c r="X144" s="29" t="s">
        <v>1915</v>
      </c>
      <c r="Y144" s="29" t="s">
        <v>2258</v>
      </c>
      <c r="Z144" s="29" t="s">
        <v>1686</v>
      </c>
      <c r="AA144" s="29" t="s">
        <v>1723</v>
      </c>
      <c r="AB144" s="29" t="s">
        <v>1778</v>
      </c>
      <c r="AC144" s="53" t="s">
        <v>2448</v>
      </c>
      <c r="AD144" s="37"/>
      <c r="AE144" s="36" t="s">
        <v>1778</v>
      </c>
      <c r="AF144" s="37"/>
      <c r="AG144" s="39" t="s">
        <v>2444</v>
      </c>
      <c r="AH144" s="37" t="s">
        <v>2445</v>
      </c>
      <c r="AI144" s="36" t="s">
        <v>1778</v>
      </c>
      <c r="AJ144" s="37"/>
      <c r="AK144" s="97" t="s">
        <v>1778</v>
      </c>
      <c r="AL144" s="89" t="s">
        <v>1778</v>
      </c>
      <c r="AM144" s="37"/>
      <c r="AN144" s="89" t="s">
        <v>1778</v>
      </c>
      <c r="AO144" s="37"/>
      <c r="AP144" s="36" t="s">
        <v>1778</v>
      </c>
      <c r="AQ144" s="37"/>
      <c r="AR144" s="39" t="s">
        <v>1743</v>
      </c>
      <c r="AS144" s="29" t="s">
        <v>2216</v>
      </c>
      <c r="AT144" s="64" t="s">
        <v>2447</v>
      </c>
      <c r="AU144" s="36" t="s">
        <v>2185</v>
      </c>
      <c r="AV144" s="29" t="s">
        <v>1677</v>
      </c>
      <c r="AW144" s="37" t="s">
        <v>1680</v>
      </c>
      <c r="AX144" s="205"/>
      <c r="AY144" s="205"/>
      <c r="AZ144" s="204"/>
      <c r="BA144" s="88"/>
      <c r="BB144" s="88"/>
      <c r="BC144" s="37"/>
    </row>
    <row r="145" spans="1:57" ht="102" hidden="1" x14ac:dyDescent="0.25">
      <c r="A145"/>
      <c r="B145" s="51">
        <f>ROW('Initial Search'!100:100)</f>
        <v>100</v>
      </c>
      <c r="C145" s="46" t="str">
        <f>'Initial Search'!D100</f>
        <v>Conflict control locking in distributed cooperative graphics editors</v>
      </c>
      <c r="D145" s="49">
        <f>'Initial Search'!C100</f>
        <v>2000</v>
      </c>
      <c r="E145" s="49">
        <f>'Initial Search'!O100</f>
        <v>0</v>
      </c>
      <c r="F145" s="40" t="str">
        <f>'Initial Search'!M100</f>
        <v>Rejected</v>
      </c>
      <c r="G145" s="124"/>
      <c r="H145" s="36" t="s">
        <v>1623</v>
      </c>
      <c r="I145" s="29"/>
      <c r="J145" s="29"/>
      <c r="K145" s="29"/>
      <c r="L145" s="53"/>
      <c r="M145" s="37" t="s">
        <v>2453</v>
      </c>
      <c r="N145" s="36"/>
      <c r="O145" s="29"/>
      <c r="P145" s="29"/>
      <c r="Q145" s="29"/>
      <c r="R145" s="29"/>
      <c r="S145" s="29"/>
      <c r="T145" s="37"/>
      <c r="U145" s="39" t="s">
        <v>2449</v>
      </c>
      <c r="V145" s="39"/>
      <c r="W145" s="39"/>
      <c r="X145" s="29" t="s">
        <v>1915</v>
      </c>
      <c r="Y145" s="29" t="s">
        <v>2258</v>
      </c>
      <c r="Z145" s="29" t="s">
        <v>1685</v>
      </c>
      <c r="AA145" s="29" t="s">
        <v>1723</v>
      </c>
      <c r="AB145" s="29" t="s">
        <v>1712</v>
      </c>
      <c r="AC145" s="29" t="s">
        <v>1698</v>
      </c>
      <c r="AD145" s="37" t="s">
        <v>2450</v>
      </c>
      <c r="AE145" s="36" t="s">
        <v>1778</v>
      </c>
      <c r="AF145" s="37"/>
      <c r="AG145" s="39" t="s">
        <v>2451</v>
      </c>
      <c r="AH145" s="37" t="s">
        <v>2452</v>
      </c>
      <c r="AI145" s="36" t="s">
        <v>1778</v>
      </c>
      <c r="AJ145" s="37"/>
      <c r="AK145" s="97" t="s">
        <v>1778</v>
      </c>
      <c r="AL145" s="89" t="s">
        <v>1778</v>
      </c>
      <c r="AM145" s="37"/>
      <c r="AN145" s="89" t="s">
        <v>1778</v>
      </c>
      <c r="AO145" s="37"/>
      <c r="AP145" s="36" t="s">
        <v>1778</v>
      </c>
      <c r="AQ145" s="37"/>
      <c r="AR145" s="39" t="s">
        <v>1709</v>
      </c>
      <c r="AS145" s="29" t="s">
        <v>1778</v>
      </c>
      <c r="AT145" s="37"/>
      <c r="AU145" s="36" t="s">
        <v>1778</v>
      </c>
      <c r="AV145" s="29" t="s">
        <v>1778</v>
      </c>
      <c r="AW145" s="37"/>
      <c r="AX145" s="205"/>
      <c r="AY145" s="205"/>
      <c r="AZ145" s="204"/>
      <c r="BA145" s="88"/>
      <c r="BB145" s="88"/>
      <c r="BC145" s="37"/>
    </row>
    <row r="146" spans="1:57" ht="178.5" x14ac:dyDescent="0.25">
      <c r="A146" s="149">
        <v>22</v>
      </c>
      <c r="B146" s="51">
        <f>ROW('Initial Search'!293:293)</f>
        <v>293</v>
      </c>
      <c r="C146" s="46" t="str">
        <f>'Initial Search'!D293</f>
        <v>Conflict Visualization for Evolving UML Models</v>
      </c>
      <c r="D146" s="49">
        <f>'Initial Search'!C293</f>
        <v>2012</v>
      </c>
      <c r="E146" s="49" t="str">
        <f>'Initial Search'!O293</f>
        <v>AMOR</v>
      </c>
      <c r="F146" s="40" t="str">
        <f>'Initial Search'!M293</f>
        <v>Accepted</v>
      </c>
      <c r="G146" s="40" t="str">
        <f>'Initial Search'!N293</f>
        <v>Approved</v>
      </c>
      <c r="H146" s="36"/>
      <c r="I146" s="29" t="s">
        <v>1623</v>
      </c>
      <c r="J146" s="29"/>
      <c r="K146" s="29"/>
      <c r="L146" s="53"/>
      <c r="M146" s="37"/>
      <c r="N146" s="36"/>
      <c r="O146" s="29" t="s">
        <v>1623</v>
      </c>
      <c r="P146" s="29"/>
      <c r="Q146" s="29"/>
      <c r="R146" s="29"/>
      <c r="S146" s="29"/>
      <c r="T146" s="37" t="s">
        <v>2489</v>
      </c>
      <c r="U146" s="39" t="s">
        <v>2483</v>
      </c>
      <c r="V146" s="39"/>
      <c r="W146" s="39"/>
      <c r="X146" s="29" t="s">
        <v>1915</v>
      </c>
      <c r="Y146" s="42" t="s">
        <v>2258</v>
      </c>
      <c r="Z146" s="29" t="s">
        <v>1686</v>
      </c>
      <c r="AA146" s="29" t="s">
        <v>1723</v>
      </c>
      <c r="AB146" s="29" t="s">
        <v>1712</v>
      </c>
      <c r="AC146" s="29" t="s">
        <v>1699</v>
      </c>
      <c r="AD146" s="37"/>
      <c r="AE146" s="36" t="s">
        <v>2578</v>
      </c>
      <c r="AF146" s="37"/>
      <c r="AG146" s="39" t="s">
        <v>1778</v>
      </c>
      <c r="AH146" s="37"/>
      <c r="AI146" s="39" t="s">
        <v>2601</v>
      </c>
      <c r="AJ146" s="37" t="s">
        <v>2487</v>
      </c>
      <c r="AK146" s="97" t="s">
        <v>1778</v>
      </c>
      <c r="AL146" s="89" t="s">
        <v>1778</v>
      </c>
      <c r="AM146" s="37"/>
      <c r="AN146" s="89" t="s">
        <v>1778</v>
      </c>
      <c r="AO146" s="37"/>
      <c r="AP146" s="39" t="s">
        <v>2676</v>
      </c>
      <c r="AQ146" s="37" t="s">
        <v>2482</v>
      </c>
      <c r="AR146" s="39" t="s">
        <v>1743</v>
      </c>
      <c r="AS146" s="29" t="s">
        <v>1693</v>
      </c>
      <c r="AT146" s="37" t="s">
        <v>2486</v>
      </c>
      <c r="AU146" s="36" t="s">
        <v>1679</v>
      </c>
      <c r="AV146" s="29" t="s">
        <v>1682</v>
      </c>
      <c r="AW146" s="37" t="s">
        <v>1680</v>
      </c>
      <c r="AX146" s="39" t="s">
        <v>2851</v>
      </c>
      <c r="AY146" s="205"/>
      <c r="AZ146" s="53" t="s">
        <v>2915</v>
      </c>
      <c r="BA146" s="88" t="s">
        <v>2914</v>
      </c>
      <c r="BB146" s="224" t="s">
        <v>3081</v>
      </c>
      <c r="BC146" s="37" t="s">
        <v>2916</v>
      </c>
      <c r="BE146" s="93" t="s">
        <v>2488</v>
      </c>
    </row>
    <row r="147" spans="1:57" ht="89.25" x14ac:dyDescent="0.25">
      <c r="A147" s="150">
        <v>37</v>
      </c>
      <c r="B147" s="51">
        <f>ROW('Initial Search'!296:296)</f>
        <v>296</v>
      </c>
      <c r="C147" s="46" t="str">
        <f>'Initial Search'!D296</f>
        <v>Handling constraints in model versioning</v>
      </c>
      <c r="D147" s="49">
        <f>'Initial Search'!C296</f>
        <v>2018</v>
      </c>
      <c r="E147" s="49" t="str">
        <f>'Initial Search'!O296</f>
        <v>DPF</v>
      </c>
      <c r="F147" s="40" t="str">
        <f>'Initial Search'!M296</f>
        <v>Accepted</v>
      </c>
      <c r="G147" s="40" t="str">
        <f>'Initial Search'!N296</f>
        <v>Approved</v>
      </c>
      <c r="H147" s="36" t="s">
        <v>1623</v>
      </c>
      <c r="I147" s="29"/>
      <c r="J147" s="29"/>
      <c r="K147" s="29"/>
      <c r="L147" s="53"/>
      <c r="M147" s="37" t="s">
        <v>2498</v>
      </c>
      <c r="N147" s="36"/>
      <c r="O147" s="29" t="s">
        <v>1623</v>
      </c>
      <c r="P147" s="29"/>
      <c r="Q147" s="29" t="s">
        <v>1623</v>
      </c>
      <c r="R147" s="29"/>
      <c r="S147" s="29"/>
      <c r="T147" s="37"/>
      <c r="U147" s="39" t="s">
        <v>2496</v>
      </c>
      <c r="V147" s="39"/>
      <c r="W147" s="39"/>
      <c r="X147" s="29" t="s">
        <v>1915</v>
      </c>
      <c r="Y147" s="42" t="s">
        <v>2258</v>
      </c>
      <c r="Z147" s="29" t="s">
        <v>1686</v>
      </c>
      <c r="AA147" s="29" t="s">
        <v>1723</v>
      </c>
      <c r="AB147" s="29" t="s">
        <v>2286</v>
      </c>
      <c r="AC147" s="29" t="s">
        <v>1699</v>
      </c>
      <c r="AD147" s="37" t="s">
        <v>2495</v>
      </c>
      <c r="AE147" s="36" t="s">
        <v>3763</v>
      </c>
      <c r="AF147" s="37"/>
      <c r="AG147" s="39" t="s">
        <v>1778</v>
      </c>
      <c r="AH147" s="37"/>
      <c r="AI147" s="39" t="s">
        <v>2256</v>
      </c>
      <c r="AJ147" s="37" t="s">
        <v>2612</v>
      </c>
      <c r="AK147" s="97" t="s">
        <v>2197</v>
      </c>
      <c r="AL147" s="89" t="s">
        <v>2260</v>
      </c>
      <c r="AM147" s="37" t="s">
        <v>2497</v>
      </c>
      <c r="AN147" s="89" t="s">
        <v>1778</v>
      </c>
      <c r="AO147" s="37"/>
      <c r="AP147" s="36" t="s">
        <v>1778</v>
      </c>
      <c r="AQ147" s="37"/>
      <c r="AR147" s="39" t="s">
        <v>1709</v>
      </c>
      <c r="AS147" s="29" t="s">
        <v>1778</v>
      </c>
      <c r="AT147" s="37" t="s">
        <v>1778</v>
      </c>
      <c r="AU147" s="36" t="s">
        <v>1778</v>
      </c>
      <c r="AV147" s="29" t="s">
        <v>1778</v>
      </c>
      <c r="AW147" s="37" t="s">
        <v>1680</v>
      </c>
      <c r="AX147" s="39" t="s">
        <v>2851</v>
      </c>
      <c r="AY147" s="205"/>
      <c r="AZ147" s="53" t="s">
        <v>2851</v>
      </c>
      <c r="BA147" s="88"/>
      <c r="BB147" s="224" t="s">
        <v>3082</v>
      </c>
      <c r="BC147" s="37" t="s">
        <v>2954</v>
      </c>
      <c r="BE147" s="93"/>
    </row>
    <row r="148" spans="1:57" ht="216.75" x14ac:dyDescent="0.25">
      <c r="A148" s="150">
        <v>28</v>
      </c>
      <c r="B148" s="51">
        <f>ROW('Initial Search'!298:298)</f>
        <v>298</v>
      </c>
      <c r="C148" s="46" t="str">
        <f>'Initial Search'!D298</f>
        <v>Semantics for Accurate Conflict Detection in SMoVer: Specification, Detection and Presentation by Example</v>
      </c>
      <c r="D148" s="49">
        <f>'Initial Search'!C298</f>
        <v>2010</v>
      </c>
      <c r="E148" s="49" t="str">
        <f>'Initial Search'!O298</f>
        <v>SMoVer</v>
      </c>
      <c r="F148" s="40" t="str">
        <f>'Initial Search'!M298</f>
        <v>Accepted</v>
      </c>
      <c r="G148" s="40" t="str">
        <f>'Initial Search'!N298</f>
        <v>Approved</v>
      </c>
      <c r="H148" s="36"/>
      <c r="I148" s="29"/>
      <c r="J148" s="29" t="s">
        <v>1623</v>
      </c>
      <c r="K148" s="29"/>
      <c r="L148" s="53"/>
      <c r="M148" s="37"/>
      <c r="N148" s="36"/>
      <c r="O148" s="29" t="s">
        <v>1623</v>
      </c>
      <c r="P148" s="29"/>
      <c r="Q148" s="29" t="s">
        <v>1623</v>
      </c>
      <c r="R148" s="29" t="s">
        <v>1623</v>
      </c>
      <c r="S148" s="29" t="s">
        <v>1623</v>
      </c>
      <c r="T148" s="37" t="s">
        <v>2490</v>
      </c>
      <c r="U148" s="39" t="s">
        <v>2494</v>
      </c>
      <c r="V148" s="39"/>
      <c r="W148" s="39"/>
      <c r="X148" s="29" t="s">
        <v>1915</v>
      </c>
      <c r="Y148" s="42" t="s">
        <v>2258</v>
      </c>
      <c r="Z148" s="29" t="s">
        <v>1686</v>
      </c>
      <c r="AA148" s="29" t="s">
        <v>1877</v>
      </c>
      <c r="AB148" s="53" t="s">
        <v>2491</v>
      </c>
      <c r="AC148" s="29" t="s">
        <v>1699</v>
      </c>
      <c r="AD148" s="37"/>
      <c r="AE148" s="36" t="s">
        <v>3763</v>
      </c>
      <c r="AF148" s="37"/>
      <c r="AG148" s="39" t="s">
        <v>1778</v>
      </c>
      <c r="AH148" s="37"/>
      <c r="AI148" s="39" t="s">
        <v>2637</v>
      </c>
      <c r="AJ148" s="37" t="s">
        <v>2492</v>
      </c>
      <c r="AK148" s="97" t="s">
        <v>2196</v>
      </c>
      <c r="AL148" s="89" t="s">
        <v>1670</v>
      </c>
      <c r="AM148" s="37"/>
      <c r="AN148" s="89" t="s">
        <v>1778</v>
      </c>
      <c r="AO148" s="37"/>
      <c r="AP148" s="36" t="s">
        <v>2179</v>
      </c>
      <c r="AQ148" s="37" t="s">
        <v>2493</v>
      </c>
      <c r="AR148" s="39" t="s">
        <v>1743</v>
      </c>
      <c r="AS148" s="29" t="s">
        <v>1693</v>
      </c>
      <c r="AT148" s="37" t="s">
        <v>2486</v>
      </c>
      <c r="AU148" s="36" t="s">
        <v>1679</v>
      </c>
      <c r="AV148" s="29" t="s">
        <v>1682</v>
      </c>
      <c r="AW148" s="37" t="s">
        <v>1680</v>
      </c>
      <c r="AX148" s="39" t="s">
        <v>2851</v>
      </c>
      <c r="AY148" s="205"/>
      <c r="AZ148" s="53" t="s">
        <v>2851</v>
      </c>
      <c r="BA148" s="88"/>
      <c r="BB148" s="224" t="s">
        <v>3083</v>
      </c>
      <c r="BC148" s="37" t="s">
        <v>2934</v>
      </c>
      <c r="BE148" s="93"/>
    </row>
    <row r="149" spans="1:57" ht="165.75" x14ac:dyDescent="0.25">
      <c r="A149" s="150">
        <v>45</v>
      </c>
      <c r="B149" s="51">
        <f>ROW('Initial Search'!299:299)</f>
        <v>299</v>
      </c>
      <c r="C149" s="46" t="str">
        <f>'Initial Search'!D299</f>
        <v>Semantic Conflicts Detection in Model-driven Engineering</v>
      </c>
      <c r="D149" s="49">
        <f>'Initial Search'!C299</f>
        <v>2013</v>
      </c>
      <c r="E149" s="49" t="str">
        <f>'Initial Search'!O299</f>
        <v>Costa et al.</v>
      </c>
      <c r="F149" s="40" t="str">
        <f>'Initial Search'!M299</f>
        <v>Accepted</v>
      </c>
      <c r="G149" s="40" t="str">
        <f>'Initial Search'!N299</f>
        <v>Approved</v>
      </c>
      <c r="H149" s="36"/>
      <c r="I149" s="29" t="s">
        <v>1623</v>
      </c>
      <c r="J149" s="29"/>
      <c r="K149" s="29"/>
      <c r="L149" s="53"/>
      <c r="M149" s="37" t="s">
        <v>2504</v>
      </c>
      <c r="N149" s="36"/>
      <c r="O149" s="29"/>
      <c r="P149" s="29"/>
      <c r="Q149" s="29"/>
      <c r="R149" s="29"/>
      <c r="S149" s="29" t="s">
        <v>1623</v>
      </c>
      <c r="T149" s="37"/>
      <c r="U149" s="39" t="s">
        <v>2501</v>
      </c>
      <c r="V149" s="39"/>
      <c r="W149" s="39"/>
      <c r="X149" s="29" t="s">
        <v>1915</v>
      </c>
      <c r="Y149" s="42" t="s">
        <v>2258</v>
      </c>
      <c r="Z149" s="29" t="s">
        <v>1686</v>
      </c>
      <c r="AA149" s="29" t="s">
        <v>1877</v>
      </c>
      <c r="AB149" s="53" t="s">
        <v>2505</v>
      </c>
      <c r="AC149" s="29" t="s">
        <v>1699</v>
      </c>
      <c r="AD149" s="37" t="s">
        <v>2502</v>
      </c>
      <c r="AE149" s="36" t="s">
        <v>3778</v>
      </c>
      <c r="AF149" s="37"/>
      <c r="AG149" s="39" t="s">
        <v>1778</v>
      </c>
      <c r="AH149" s="37"/>
      <c r="AI149" s="39" t="s">
        <v>2593</v>
      </c>
      <c r="AJ149" s="37" t="s">
        <v>2503</v>
      </c>
      <c r="AK149" s="97" t="s">
        <v>2197</v>
      </c>
      <c r="AL149" s="89" t="s">
        <v>1670</v>
      </c>
      <c r="AM149" s="37"/>
      <c r="AN149" s="89" t="s">
        <v>1778</v>
      </c>
      <c r="AO149" s="37"/>
      <c r="AP149" s="36" t="s">
        <v>2146</v>
      </c>
      <c r="AQ149" s="37"/>
      <c r="AR149" s="39" t="s">
        <v>1743</v>
      </c>
      <c r="AS149" s="29" t="s">
        <v>1693</v>
      </c>
      <c r="AT149" s="37" t="s">
        <v>2506</v>
      </c>
      <c r="AU149" s="36" t="s">
        <v>1778</v>
      </c>
      <c r="AV149" s="29" t="s">
        <v>1778</v>
      </c>
      <c r="AW149" s="37" t="s">
        <v>1680</v>
      </c>
      <c r="AX149" s="39" t="s">
        <v>2851</v>
      </c>
      <c r="AY149" s="205"/>
      <c r="AZ149" s="53" t="s">
        <v>2851</v>
      </c>
      <c r="BA149" s="88"/>
      <c r="BB149" s="224" t="s">
        <v>3090</v>
      </c>
      <c r="BC149" s="37" t="s">
        <v>2961</v>
      </c>
      <c r="BE149" s="93"/>
    </row>
    <row r="150" spans="1:57" ht="38.25" hidden="1" x14ac:dyDescent="0.25">
      <c r="A150"/>
      <c r="B150" s="51">
        <f>ROW('Initial Search'!300:300)</f>
        <v>300</v>
      </c>
      <c r="C150" s="46" t="str">
        <f>'Initial Search'!D300</f>
        <v>Merging software architectures with conflicts detections</v>
      </c>
      <c r="D150" s="49">
        <f>'Initial Search'!C300</f>
        <v>2015</v>
      </c>
      <c r="E150" s="49" t="str">
        <f>'Initial Search'!O300</f>
        <v>SAD</v>
      </c>
      <c r="F150" s="40" t="str">
        <f>'Initial Search'!M300</f>
        <v>Accepted</v>
      </c>
      <c r="G150" s="40" t="str">
        <f>'Initial Search'!N300</f>
        <v>Disapproved</v>
      </c>
      <c r="H150" s="36"/>
      <c r="I150" s="29"/>
      <c r="J150" s="29"/>
      <c r="K150" s="29"/>
      <c r="L150" s="53" t="s">
        <v>2472</v>
      </c>
      <c r="M150" s="37"/>
      <c r="N150" s="36"/>
      <c r="O150" s="29" t="s">
        <v>1623</v>
      </c>
      <c r="P150" s="29"/>
      <c r="Q150" s="29"/>
      <c r="R150" s="29"/>
      <c r="S150" s="29" t="s">
        <v>1623</v>
      </c>
      <c r="T150" s="37" t="s">
        <v>2475</v>
      </c>
      <c r="U150" s="39" t="s">
        <v>2473</v>
      </c>
      <c r="V150" s="39"/>
      <c r="W150" s="39"/>
      <c r="X150" s="29" t="s">
        <v>1915</v>
      </c>
      <c r="Y150" s="29" t="s">
        <v>2258</v>
      </c>
      <c r="Z150" s="29" t="s">
        <v>1686</v>
      </c>
      <c r="AA150" s="29" t="s">
        <v>1877</v>
      </c>
      <c r="AB150" s="53" t="s">
        <v>2474</v>
      </c>
      <c r="AC150" s="29" t="s">
        <v>1699</v>
      </c>
      <c r="AD150" s="37"/>
      <c r="AE150" s="36" t="s">
        <v>1778</v>
      </c>
      <c r="AF150" s="37"/>
      <c r="AG150" s="39" t="s">
        <v>1778</v>
      </c>
      <c r="AH150" s="37"/>
      <c r="AI150" s="36" t="s">
        <v>2226</v>
      </c>
      <c r="AJ150" s="37"/>
      <c r="AK150" s="97" t="s">
        <v>1778</v>
      </c>
      <c r="AL150" s="89" t="s">
        <v>1778</v>
      </c>
      <c r="AM150" s="37"/>
      <c r="AN150" s="89" t="s">
        <v>1778</v>
      </c>
      <c r="AO150" s="37"/>
      <c r="AP150" s="36" t="s">
        <v>1778</v>
      </c>
      <c r="AQ150" s="37"/>
      <c r="AR150" s="39" t="s">
        <v>1709</v>
      </c>
      <c r="AS150" s="29" t="s">
        <v>1778</v>
      </c>
      <c r="AT150" s="37" t="s">
        <v>1778</v>
      </c>
      <c r="AU150" s="36" t="s">
        <v>1778</v>
      </c>
      <c r="AV150" s="29" t="s">
        <v>1778</v>
      </c>
      <c r="AW150" s="37" t="s">
        <v>1778</v>
      </c>
      <c r="AX150" s="205"/>
      <c r="AY150" s="205"/>
      <c r="AZ150" s="204"/>
      <c r="BA150" s="88"/>
      <c r="BB150" s="88"/>
      <c r="BC150" s="37"/>
    </row>
    <row r="151" spans="1:57" ht="140.25" x14ac:dyDescent="0.25">
      <c r="A151" s="149">
        <v>46</v>
      </c>
      <c r="B151" s="51">
        <f>ROW('Initial Search'!301:301)</f>
        <v>301</v>
      </c>
      <c r="C151" s="46" t="str">
        <f>'Initial Search'!D301</f>
        <v>Model-Driven Software Engineering in the Resource Description Framework: a way to version control</v>
      </c>
      <c r="D151" s="49">
        <f>'Initial Search'!C301</f>
        <v>2018</v>
      </c>
      <c r="E151" s="49" t="str">
        <f>'Initial Search'!O301</f>
        <v>DPF as RDF</v>
      </c>
      <c r="F151" s="40" t="str">
        <f>'Initial Search'!M301</f>
        <v>Accepted</v>
      </c>
      <c r="G151" s="40" t="str">
        <f>'Initial Search'!N301</f>
        <v>Approved</v>
      </c>
      <c r="H151" s="36"/>
      <c r="I151" s="29" t="s">
        <v>1623</v>
      </c>
      <c r="J151" s="29" t="s">
        <v>1623</v>
      </c>
      <c r="K151" s="29"/>
      <c r="L151" s="53"/>
      <c r="M151" s="37"/>
      <c r="N151" s="36" t="s">
        <v>1623</v>
      </c>
      <c r="O151" s="29" t="s">
        <v>1623</v>
      </c>
      <c r="P151" s="29"/>
      <c r="Q151" s="29"/>
      <c r="R151" s="29"/>
      <c r="S151" s="29"/>
      <c r="T151" s="37"/>
      <c r="U151" s="39" t="s">
        <v>2513</v>
      </c>
      <c r="V151" s="39"/>
      <c r="W151" s="39"/>
      <c r="X151" s="29" t="s">
        <v>1915</v>
      </c>
      <c r="Y151" s="42" t="s">
        <v>2258</v>
      </c>
      <c r="Z151" s="29" t="s">
        <v>1686</v>
      </c>
      <c r="AA151" s="29" t="s">
        <v>1877</v>
      </c>
      <c r="AB151" s="53" t="s">
        <v>2508</v>
      </c>
      <c r="AC151" s="29" t="s">
        <v>1699</v>
      </c>
      <c r="AD151" s="37" t="s">
        <v>2509</v>
      </c>
      <c r="AE151" s="36" t="s">
        <v>2575</v>
      </c>
      <c r="AF151" s="37" t="s">
        <v>3783</v>
      </c>
      <c r="AG151" s="39" t="s">
        <v>1778</v>
      </c>
      <c r="AH151" s="37"/>
      <c r="AI151" s="39" t="s">
        <v>2510</v>
      </c>
      <c r="AJ151" s="37" t="s">
        <v>2511</v>
      </c>
      <c r="AK151" s="97" t="s">
        <v>2196</v>
      </c>
      <c r="AL151" s="89" t="s">
        <v>1670</v>
      </c>
      <c r="AM151" s="37"/>
      <c r="AN151" s="89" t="s">
        <v>1778</v>
      </c>
      <c r="AO151" s="37"/>
      <c r="AP151" s="36" t="s">
        <v>2586</v>
      </c>
      <c r="AQ151" s="37" t="s">
        <v>2512</v>
      </c>
      <c r="AR151" s="39" t="s">
        <v>1709</v>
      </c>
      <c r="AS151" s="29" t="s">
        <v>1778</v>
      </c>
      <c r="AT151" s="37" t="s">
        <v>1778</v>
      </c>
      <c r="AU151" s="36" t="s">
        <v>1778</v>
      </c>
      <c r="AV151" s="29" t="s">
        <v>1677</v>
      </c>
      <c r="AW151" s="37" t="s">
        <v>1680</v>
      </c>
      <c r="AX151" s="39" t="s">
        <v>2851</v>
      </c>
      <c r="AY151" s="205"/>
      <c r="AZ151" s="53" t="s">
        <v>2851</v>
      </c>
      <c r="BA151" s="88"/>
      <c r="BB151" s="224" t="s">
        <v>3084</v>
      </c>
      <c r="BC151" s="37" t="s">
        <v>2962</v>
      </c>
    </row>
    <row r="152" spans="1:57" ht="89.25" x14ac:dyDescent="0.25">
      <c r="A152" s="150">
        <v>47</v>
      </c>
      <c r="B152" s="51">
        <f>ROW('Initial Search'!302:302)</f>
        <v>302</v>
      </c>
      <c r="C152" s="46" t="str">
        <f>'Initial Search'!D302</f>
        <v>Improvement of Adaptable Model Versioning (AMOR) framework for software model versioning using critical pair analysis</v>
      </c>
      <c r="D152" s="49">
        <f>'Initial Search'!C302</f>
        <v>2014</v>
      </c>
      <c r="E152" s="49" t="str">
        <f>'Initial Search'!O302</f>
        <v>AMOR+</v>
      </c>
      <c r="F152" s="40" t="str">
        <f>'Initial Search'!M302</f>
        <v>Accepted</v>
      </c>
      <c r="G152" s="40" t="str">
        <f>'Initial Search'!N302</f>
        <v>Approved</v>
      </c>
      <c r="H152" s="36"/>
      <c r="I152" s="29" t="s">
        <v>1623</v>
      </c>
      <c r="J152" s="29"/>
      <c r="K152" s="29"/>
      <c r="L152" s="53"/>
      <c r="M152" s="37"/>
      <c r="N152" s="36"/>
      <c r="O152" s="29" t="s">
        <v>1623</v>
      </c>
      <c r="P152" s="29"/>
      <c r="Q152" s="29"/>
      <c r="R152" s="29"/>
      <c r="S152" s="29"/>
      <c r="T152" s="37" t="s">
        <v>2520</v>
      </c>
      <c r="U152" s="39" t="s">
        <v>2515</v>
      </c>
      <c r="V152" s="39"/>
      <c r="W152" s="39"/>
      <c r="X152" s="29" t="s">
        <v>1915</v>
      </c>
      <c r="Y152" s="42" t="s">
        <v>2258</v>
      </c>
      <c r="Z152" s="29" t="s">
        <v>1686</v>
      </c>
      <c r="AA152" s="29" t="s">
        <v>1959</v>
      </c>
      <c r="AB152" s="53" t="s">
        <v>1712</v>
      </c>
      <c r="AC152" s="29" t="s">
        <v>1699</v>
      </c>
      <c r="AD152" s="37" t="s">
        <v>2830</v>
      </c>
      <c r="AE152" s="36" t="s">
        <v>3763</v>
      </c>
      <c r="AF152" s="37" t="s">
        <v>3807</v>
      </c>
      <c r="AG152" s="39" t="s">
        <v>1778</v>
      </c>
      <c r="AH152" s="37"/>
      <c r="AI152" s="39" t="s">
        <v>2458</v>
      </c>
      <c r="AJ152" s="37" t="s">
        <v>2518</v>
      </c>
      <c r="AK152" s="97" t="s">
        <v>2197</v>
      </c>
      <c r="AL152" s="89" t="s">
        <v>2260</v>
      </c>
      <c r="AM152" s="37" t="s">
        <v>2517</v>
      </c>
      <c r="AN152" s="89" t="s">
        <v>1778</v>
      </c>
      <c r="AO152" s="37"/>
      <c r="AP152" s="36" t="s">
        <v>1778</v>
      </c>
      <c r="AQ152" s="37" t="s">
        <v>2829</v>
      </c>
      <c r="AR152" s="39" t="s">
        <v>1743</v>
      </c>
      <c r="AS152" s="29" t="s">
        <v>1693</v>
      </c>
      <c r="AT152" s="37" t="s">
        <v>2519</v>
      </c>
      <c r="AU152" s="36" t="s">
        <v>1778</v>
      </c>
      <c r="AV152" s="29" t="s">
        <v>1682</v>
      </c>
      <c r="AW152" s="37" t="s">
        <v>1680</v>
      </c>
      <c r="AX152" s="39" t="s">
        <v>2851</v>
      </c>
      <c r="AY152" s="205"/>
      <c r="AZ152" s="53" t="s">
        <v>2851</v>
      </c>
      <c r="BA152" s="88"/>
      <c r="BB152" s="224" t="s">
        <v>3085</v>
      </c>
      <c r="BC152" s="37" t="s">
        <v>2963</v>
      </c>
    </row>
    <row r="153" spans="1:57" ht="76.5" x14ac:dyDescent="0.25">
      <c r="A153" s="150">
        <v>30</v>
      </c>
      <c r="B153" s="51">
        <f>ROW('Initial Search'!303:303)</f>
        <v>303</v>
      </c>
      <c r="C153" s="46" t="str">
        <f>'Initial Search'!D303</f>
        <v>Change Propagation and Conflict Resolution for the Co-Evolution of Business Processes</v>
      </c>
      <c r="D153" s="49">
        <f>'Initial Search'!C303</f>
        <v>2015</v>
      </c>
      <c r="E153" s="49" t="str">
        <f>'Initial Search'!O303</f>
        <v>Mafazi et al.</v>
      </c>
      <c r="F153" s="40" t="str">
        <f>'Initial Search'!M303</f>
        <v>Accepted</v>
      </c>
      <c r="G153" s="40" t="str">
        <f>'Initial Search'!N303</f>
        <v>Approved</v>
      </c>
      <c r="H153" s="36"/>
      <c r="I153" s="29"/>
      <c r="J153" s="29"/>
      <c r="K153" s="29" t="s">
        <v>1623</v>
      </c>
      <c r="L153" s="53"/>
      <c r="M153" s="37" t="s">
        <v>2803</v>
      </c>
      <c r="N153" s="36"/>
      <c r="O153" s="29" t="s">
        <v>1623</v>
      </c>
      <c r="P153" s="29"/>
      <c r="Q153" s="29"/>
      <c r="R153" s="29" t="s">
        <v>1623</v>
      </c>
      <c r="S153" s="29"/>
      <c r="T153" s="37"/>
      <c r="U153" s="39" t="s">
        <v>2205</v>
      </c>
      <c r="V153" s="39"/>
      <c r="W153" s="39"/>
      <c r="X153" s="29" t="s">
        <v>1915</v>
      </c>
      <c r="Y153" s="42" t="s">
        <v>2258</v>
      </c>
      <c r="Z153" s="29" t="s">
        <v>1686</v>
      </c>
      <c r="AA153" s="29" t="s">
        <v>1723</v>
      </c>
      <c r="AB153" s="53" t="s">
        <v>2203</v>
      </c>
      <c r="AC153" s="29" t="s">
        <v>1699</v>
      </c>
      <c r="AD153" s="37"/>
      <c r="AE153" s="36" t="s">
        <v>3778</v>
      </c>
      <c r="AF153" s="37"/>
      <c r="AG153" s="39"/>
      <c r="AH153" s="37"/>
      <c r="AI153" s="39" t="s">
        <v>2192</v>
      </c>
      <c r="AJ153" s="37" t="s">
        <v>2204</v>
      </c>
      <c r="AK153" s="97" t="s">
        <v>2197</v>
      </c>
      <c r="AL153" s="89" t="s">
        <v>1792</v>
      </c>
      <c r="AM153" s="37" t="s">
        <v>2807</v>
      </c>
      <c r="AN153" s="89" t="s">
        <v>1778</v>
      </c>
      <c r="AO153" s="37"/>
      <c r="AP153" s="36" t="s">
        <v>1801</v>
      </c>
      <c r="AQ153" s="37"/>
      <c r="AR153" s="39" t="s">
        <v>1743</v>
      </c>
      <c r="AS153" s="29" t="s">
        <v>1693</v>
      </c>
      <c r="AT153" s="37"/>
      <c r="AU153" s="36" t="s">
        <v>2267</v>
      </c>
      <c r="AV153" s="29" t="s">
        <v>1682</v>
      </c>
      <c r="AW153" s="37" t="s">
        <v>1680</v>
      </c>
      <c r="AX153" s="39" t="s">
        <v>2995</v>
      </c>
      <c r="AY153" s="205" t="s">
        <v>2938</v>
      </c>
      <c r="AZ153" s="53" t="s">
        <v>2851</v>
      </c>
      <c r="BA153" s="88"/>
      <c r="BB153" s="224" t="s">
        <v>3086</v>
      </c>
      <c r="BC153" s="37" t="s">
        <v>2939</v>
      </c>
    </row>
    <row r="154" spans="1:57" ht="51" x14ac:dyDescent="0.25">
      <c r="A154" s="150">
        <v>48</v>
      </c>
      <c r="B154" s="51">
        <f>ROW('Initial Search'!271:271)</f>
        <v>271</v>
      </c>
      <c r="C154" s="46" t="str">
        <f>'Initial Search'!D271</f>
        <v>On the benefits of file-level modularity for EMF models</v>
      </c>
      <c r="D154" s="49">
        <f>'Initial Search'!C271</f>
        <v>2020</v>
      </c>
      <c r="E154" s="49" t="str">
        <f>'Initial Search'!O271</f>
        <v>Jahed et al.</v>
      </c>
      <c r="F154" s="40" t="str">
        <f>'Initial Search'!M271</f>
        <v>Accepted</v>
      </c>
      <c r="G154" s="40" t="str">
        <f>'Initial Search'!N271</f>
        <v>Approved</v>
      </c>
      <c r="H154" s="36"/>
      <c r="I154" s="29" t="s">
        <v>1623</v>
      </c>
      <c r="J154" s="29" t="s">
        <v>1623</v>
      </c>
      <c r="K154" s="29"/>
      <c r="L154" s="53"/>
      <c r="M154" s="37"/>
      <c r="N154" s="36"/>
      <c r="O154" s="29" t="s">
        <v>1623</v>
      </c>
      <c r="P154" s="29" t="s">
        <v>1623</v>
      </c>
      <c r="Q154" s="29" t="s">
        <v>1623</v>
      </c>
      <c r="R154" s="29"/>
      <c r="S154" s="29"/>
      <c r="T154" s="37"/>
      <c r="U154" s="39" t="s">
        <v>2810</v>
      </c>
      <c r="V154" s="39"/>
      <c r="W154" s="39" t="s">
        <v>1623</v>
      </c>
      <c r="X154" s="29" t="s">
        <v>1915</v>
      </c>
      <c r="Y154" s="42" t="s">
        <v>2257</v>
      </c>
      <c r="Z154" s="29" t="s">
        <v>1686</v>
      </c>
      <c r="AA154" s="29" t="s">
        <v>1877</v>
      </c>
      <c r="AB154" s="53" t="s">
        <v>1887</v>
      </c>
      <c r="AC154" s="29" t="s">
        <v>1698</v>
      </c>
      <c r="AD154" s="37"/>
      <c r="AE154" s="36" t="s">
        <v>1778</v>
      </c>
      <c r="AF154" s="37"/>
      <c r="AG154" s="39" t="s">
        <v>1822</v>
      </c>
      <c r="AH154" s="37" t="s">
        <v>2812</v>
      </c>
      <c r="AI154" s="39" t="s">
        <v>1778</v>
      </c>
      <c r="AJ154" s="37"/>
      <c r="AK154" s="97" t="s">
        <v>1778</v>
      </c>
      <c r="AL154" s="89" t="s">
        <v>1778</v>
      </c>
      <c r="AM154" s="37"/>
      <c r="AN154" s="89" t="s">
        <v>1778</v>
      </c>
      <c r="AO154" s="37"/>
      <c r="AP154" s="36" t="s">
        <v>1778</v>
      </c>
      <c r="AQ154" s="37"/>
      <c r="AR154" s="39" t="s">
        <v>1743</v>
      </c>
      <c r="AS154" s="29" t="s">
        <v>1693</v>
      </c>
      <c r="AT154" s="37" t="s">
        <v>2811</v>
      </c>
      <c r="AU154" s="36" t="s">
        <v>1679</v>
      </c>
      <c r="AV154" s="29" t="s">
        <v>1677</v>
      </c>
      <c r="AW154" s="37" t="s">
        <v>1680</v>
      </c>
      <c r="AX154" s="39" t="s">
        <v>2851</v>
      </c>
      <c r="AY154" s="205"/>
      <c r="AZ154" s="53" t="s">
        <v>2851</v>
      </c>
      <c r="BA154" s="88"/>
      <c r="BB154" s="224" t="s">
        <v>2851</v>
      </c>
      <c r="BC154" s="37"/>
    </row>
    <row r="155" spans="1:57" ht="76.5" x14ac:dyDescent="0.25">
      <c r="A155" s="150">
        <v>49</v>
      </c>
      <c r="B155" s="51">
        <f>ROW('Initial Search'!312:312)</f>
        <v>312</v>
      </c>
      <c r="C155" s="46" t="str">
        <f>'Initial Search'!D312</f>
        <v>Conflict Resolution in Process Models Merging</v>
      </c>
      <c r="D155" s="49">
        <f>'Initial Search'!C312</f>
        <v>2020</v>
      </c>
      <c r="E155" s="49" t="str">
        <f>'Initial Search'!O312</f>
        <v>Hachemi &amp; Nacer</v>
      </c>
      <c r="F155" s="40" t="str">
        <f>'Initial Search'!M312</f>
        <v>Accepted</v>
      </c>
      <c r="G155" s="40" t="str">
        <f>'Initial Search'!N312</f>
        <v>Approved</v>
      </c>
      <c r="H155" s="36"/>
      <c r="I155" s="29"/>
      <c r="J155" s="29"/>
      <c r="K155" s="29" t="s">
        <v>1623</v>
      </c>
      <c r="L155" s="53"/>
      <c r="M155" s="37" t="s">
        <v>2803</v>
      </c>
      <c r="N155" s="36"/>
      <c r="O155" s="29"/>
      <c r="P155" s="29"/>
      <c r="Q155" s="29" t="s">
        <v>1623</v>
      </c>
      <c r="R155" s="29"/>
      <c r="S155" s="29"/>
      <c r="T155" s="37" t="s">
        <v>2813</v>
      </c>
      <c r="U155" s="39" t="s">
        <v>2816</v>
      </c>
      <c r="V155" s="39"/>
      <c r="W155" s="39"/>
      <c r="X155" s="29" t="s">
        <v>1915</v>
      </c>
      <c r="Y155" s="42" t="s">
        <v>2258</v>
      </c>
      <c r="Z155" s="29" t="s">
        <v>1686</v>
      </c>
      <c r="AA155" s="29" t="s">
        <v>1877</v>
      </c>
      <c r="AB155" s="53" t="s">
        <v>2505</v>
      </c>
      <c r="AC155" s="29" t="s">
        <v>1698</v>
      </c>
      <c r="AD155" s="37"/>
      <c r="AE155" s="36" t="s">
        <v>3762</v>
      </c>
      <c r="AF155" s="37" t="s">
        <v>3808</v>
      </c>
      <c r="AG155" s="39" t="s">
        <v>1778</v>
      </c>
      <c r="AH155" s="37"/>
      <c r="AI155" s="39" t="s">
        <v>2589</v>
      </c>
      <c r="AJ155" s="37"/>
      <c r="AK155" s="97" t="s">
        <v>2197</v>
      </c>
      <c r="AL155" s="89" t="s">
        <v>2260</v>
      </c>
      <c r="AM155" s="37" t="s">
        <v>2814</v>
      </c>
      <c r="AN155" s="89" t="s">
        <v>1778</v>
      </c>
      <c r="AO155" s="37"/>
      <c r="AP155" s="36" t="s">
        <v>1778</v>
      </c>
      <c r="AQ155" s="37"/>
      <c r="AR155" s="39" t="s">
        <v>1709</v>
      </c>
      <c r="AS155" s="29" t="s">
        <v>1778</v>
      </c>
      <c r="AT155" s="37"/>
      <c r="AU155" s="36" t="s">
        <v>1778</v>
      </c>
      <c r="AV155" s="29" t="s">
        <v>1778</v>
      </c>
      <c r="AW155" s="37"/>
      <c r="AX155" s="39" t="s">
        <v>2851</v>
      </c>
      <c r="AY155" s="205"/>
      <c r="AZ155" s="53" t="s">
        <v>2851</v>
      </c>
      <c r="BA155" s="88"/>
      <c r="BB155" s="224" t="s">
        <v>3088</v>
      </c>
      <c r="BC155" s="37" t="s">
        <v>2964</v>
      </c>
    </row>
    <row r="156" spans="1:57" ht="63.75" x14ac:dyDescent="0.25">
      <c r="A156" s="150">
        <v>50</v>
      </c>
      <c r="B156" s="51">
        <f>ROW('Initial Search'!313:313)</f>
        <v>313</v>
      </c>
      <c r="C156" s="46" t="str">
        <f>'Initial Search'!D313</f>
        <v>Preference-based Conflict Resolution for Collaborative Configuration of Product Lines</v>
      </c>
      <c r="D156" s="49">
        <f>'Initial Search'!C313</f>
        <v>2020</v>
      </c>
      <c r="E156" s="49" t="str">
        <f>'Initial Search'!O313</f>
        <v>Colla-Config</v>
      </c>
      <c r="F156" s="40" t="str">
        <f>'Initial Search'!M312</f>
        <v>Accepted</v>
      </c>
      <c r="G156" s="40" t="str">
        <f>'Initial Search'!N313</f>
        <v>Approved</v>
      </c>
      <c r="H156" s="36"/>
      <c r="I156" s="29"/>
      <c r="J156" s="29"/>
      <c r="K156" s="29"/>
      <c r="L156" s="53" t="s">
        <v>2426</v>
      </c>
      <c r="M156" s="37"/>
      <c r="N156" s="36"/>
      <c r="O156" s="29" t="s">
        <v>1623</v>
      </c>
      <c r="P156" s="29"/>
      <c r="Q156" s="29"/>
      <c r="R156" s="29"/>
      <c r="S156" s="29"/>
      <c r="T156" s="37"/>
      <c r="U156" s="39" t="s">
        <v>2818</v>
      </c>
      <c r="V156" s="39"/>
      <c r="W156" s="39"/>
      <c r="X156" s="29" t="s">
        <v>1915</v>
      </c>
      <c r="Y156" s="42" t="s">
        <v>2258</v>
      </c>
      <c r="Z156" s="29" t="s">
        <v>1686</v>
      </c>
      <c r="AA156" s="29" t="s">
        <v>1877</v>
      </c>
      <c r="AB156" s="53" t="s">
        <v>2819</v>
      </c>
      <c r="AC156" s="29" t="s">
        <v>2683</v>
      </c>
      <c r="AD156" s="37"/>
      <c r="AE156" s="39" t="s">
        <v>3810</v>
      </c>
      <c r="AF156" s="37" t="s">
        <v>3809</v>
      </c>
      <c r="AG156" s="39" t="s">
        <v>1778</v>
      </c>
      <c r="AH156" s="37"/>
      <c r="AI156" s="39" t="s">
        <v>2192</v>
      </c>
      <c r="AJ156" s="37"/>
      <c r="AK156" s="97" t="s">
        <v>2197</v>
      </c>
      <c r="AL156" s="89" t="s">
        <v>2260</v>
      </c>
      <c r="AM156" s="37" t="s">
        <v>2817</v>
      </c>
      <c r="AN156" s="89" t="s">
        <v>1778</v>
      </c>
      <c r="AO156" s="37"/>
      <c r="AP156" s="36" t="s">
        <v>2146</v>
      </c>
      <c r="AQ156" s="37" t="s">
        <v>2820</v>
      </c>
      <c r="AR156" s="39" t="s">
        <v>1743</v>
      </c>
      <c r="AS156" s="29" t="s">
        <v>2216</v>
      </c>
      <c r="AT156" s="37"/>
      <c r="AU156" s="36" t="s">
        <v>1679</v>
      </c>
      <c r="AV156" s="29" t="s">
        <v>1677</v>
      </c>
      <c r="AW156" s="37" t="s">
        <v>1680</v>
      </c>
      <c r="AX156" s="39" t="s">
        <v>2851</v>
      </c>
      <c r="AY156" s="205"/>
      <c r="AZ156" s="53" t="s">
        <v>2851</v>
      </c>
      <c r="BA156" s="88"/>
      <c r="BB156" s="224" t="s">
        <v>3089</v>
      </c>
      <c r="BC156" s="37" t="s">
        <v>2965</v>
      </c>
    </row>
    <row r="157" spans="1:57" ht="38.25" hidden="1" x14ac:dyDescent="0.25">
      <c r="A157" s="150"/>
      <c r="B157" s="51">
        <f>ROW('Initial Search'!22:22)</f>
        <v>22</v>
      </c>
      <c r="C157" s="46" t="str">
        <f>'Initial Search'!D22</f>
        <v>Merging requirements views with incompleteness and inconsistency</v>
      </c>
      <c r="D157" s="49">
        <f>'Initial Search'!C22</f>
        <v>2005</v>
      </c>
      <c r="E157" s="49">
        <f>'Initial Search'!O22</f>
        <v>0</v>
      </c>
      <c r="F157" s="40" t="str">
        <f>'Initial Search'!M22</f>
        <v>Rejected</v>
      </c>
      <c r="G157" s="40">
        <f>'Initial Search'!N22</f>
        <v>0</v>
      </c>
      <c r="H157" s="36"/>
      <c r="I157" s="29"/>
      <c r="J157" s="29"/>
      <c r="K157" s="29"/>
      <c r="L157" s="53" t="s">
        <v>3235</v>
      </c>
      <c r="M157" s="37"/>
      <c r="N157" s="36"/>
      <c r="O157" s="29" t="s">
        <v>1623</v>
      </c>
      <c r="P157" s="29"/>
      <c r="Q157" s="29"/>
      <c r="R157" s="29"/>
      <c r="S157" s="29"/>
      <c r="T157" s="37"/>
      <c r="U157" s="39" t="s">
        <v>3234</v>
      </c>
      <c r="V157" s="39"/>
      <c r="W157" s="39"/>
      <c r="X157" s="29" t="s">
        <v>1915</v>
      </c>
      <c r="Y157" s="42" t="s">
        <v>2258</v>
      </c>
      <c r="Z157" s="29" t="s">
        <v>1686</v>
      </c>
      <c r="AA157" s="29" t="s">
        <v>1877</v>
      </c>
      <c r="AB157" s="53" t="s">
        <v>2819</v>
      </c>
      <c r="AC157" s="29" t="s">
        <v>1698</v>
      </c>
      <c r="AD157" s="37"/>
      <c r="AE157" s="36"/>
      <c r="AF157" s="37"/>
      <c r="AG157" s="39"/>
      <c r="AH157" s="37"/>
      <c r="AI157" s="39" t="s">
        <v>3561</v>
      </c>
      <c r="AJ157" s="37" t="s">
        <v>3236</v>
      </c>
      <c r="AK157" s="97"/>
      <c r="AL157" s="89" t="s">
        <v>1778</v>
      </c>
      <c r="AM157" s="37"/>
      <c r="AN157" s="89"/>
      <c r="AO157" s="37"/>
      <c r="AP157" s="36"/>
      <c r="AQ157" s="37"/>
      <c r="AR157" s="39" t="s">
        <v>1709</v>
      </c>
      <c r="AS157" s="29"/>
      <c r="AT157" s="37"/>
      <c r="AU157" s="36"/>
      <c r="AV157" s="29"/>
      <c r="AW157" s="37"/>
      <c r="AX157" s="39"/>
      <c r="AY157" s="205"/>
      <c r="AZ157" s="53"/>
      <c r="BA157" s="88"/>
      <c r="BB157" s="224"/>
      <c r="BC157" s="37"/>
    </row>
    <row r="158" spans="1:57" ht="30" hidden="1" x14ac:dyDescent="0.25">
      <c r="A158" s="150"/>
      <c r="B158" s="51">
        <f>ROW('Initial Search'!23:23)</f>
        <v>23</v>
      </c>
      <c r="C158" s="46" t="str">
        <f>'Initial Search'!D23</f>
        <v>iVuBlender: a tool for merging incomplete and inconsistent views</v>
      </c>
      <c r="D158" s="49">
        <f>'Initial Search'!C23</f>
        <v>2005</v>
      </c>
      <c r="E158" s="49" t="str">
        <f>'Initial Search'!O23</f>
        <v>iVuBlender</v>
      </c>
      <c r="F158" s="40" t="str">
        <f>'Initial Search'!M23</f>
        <v>Rejected</v>
      </c>
      <c r="G158" s="40">
        <f>'Initial Search'!N23</f>
        <v>0</v>
      </c>
      <c r="H158" s="36"/>
      <c r="I158" s="29"/>
      <c r="J158" s="29"/>
      <c r="K158" s="29"/>
      <c r="L158" s="53" t="s">
        <v>2274</v>
      </c>
      <c r="M158" s="37"/>
      <c r="N158" s="36"/>
      <c r="O158" s="29"/>
      <c r="P158" s="29"/>
      <c r="Q158" s="29"/>
      <c r="R158" s="29"/>
      <c r="S158" s="29"/>
      <c r="T158" s="37"/>
      <c r="U158" s="39"/>
      <c r="V158" s="39"/>
      <c r="W158" s="39"/>
      <c r="X158" s="29" t="s">
        <v>1778</v>
      </c>
      <c r="Y158" s="42" t="s">
        <v>1778</v>
      </c>
      <c r="Z158" s="29" t="s">
        <v>1778</v>
      </c>
      <c r="AA158" s="29" t="s">
        <v>1778</v>
      </c>
      <c r="AB158" s="53"/>
      <c r="AC158" s="29"/>
      <c r="AD158" s="37"/>
      <c r="AE158" s="36"/>
      <c r="AF158" s="37"/>
      <c r="AG158" s="39"/>
      <c r="AH158" s="37"/>
      <c r="AI158" s="39" t="s">
        <v>1778</v>
      </c>
      <c r="AJ158" s="37"/>
      <c r="AK158" s="97"/>
      <c r="AL158" s="89" t="s">
        <v>1778</v>
      </c>
      <c r="AM158" s="37"/>
      <c r="AN158" s="89"/>
      <c r="AO158" s="37"/>
      <c r="AP158" s="36"/>
      <c r="AQ158" s="37"/>
      <c r="AR158" s="39" t="s">
        <v>1709</v>
      </c>
      <c r="AS158" s="29"/>
      <c r="AT158" s="37"/>
      <c r="AU158" s="36"/>
      <c r="AV158" s="29"/>
      <c r="AW158" s="37"/>
      <c r="AX158" s="39"/>
      <c r="AY158" s="205"/>
      <c r="AZ158" s="53"/>
      <c r="BA158" s="88"/>
      <c r="BB158" s="224"/>
      <c r="BC158" s="37"/>
    </row>
    <row r="159" spans="1:57" ht="51" x14ac:dyDescent="0.25">
      <c r="A159" s="150">
        <v>53</v>
      </c>
      <c r="B159" s="51">
        <f>ROW('Initial Search'!126:126)</f>
        <v>126</v>
      </c>
      <c r="C159" s="46" t="str">
        <f>'Initial Search'!D126</f>
        <v>Detection of conflicts and inconsistencies between architecture solutions</v>
      </c>
      <c r="D159" s="49">
        <f>'Initial Search'!C126</f>
        <v>2019</v>
      </c>
      <c r="E159" s="49" t="str">
        <f>'Initial Search'!O126</f>
        <v>Kallweit et al.</v>
      </c>
      <c r="F159" s="40" t="str">
        <f>'Initial Search'!M126</f>
        <v>Accepted</v>
      </c>
      <c r="G159" s="40" t="str">
        <f>'Initial Search'!N126</f>
        <v>Approved</v>
      </c>
      <c r="H159" s="36"/>
      <c r="I159" s="29"/>
      <c r="J159" s="29"/>
      <c r="K159" s="29"/>
      <c r="L159" s="53" t="s">
        <v>3259</v>
      </c>
      <c r="M159" s="37"/>
      <c r="N159" s="36"/>
      <c r="O159" s="29" t="s">
        <v>1623</v>
      </c>
      <c r="P159" s="29"/>
      <c r="Q159" s="29"/>
      <c r="R159" s="29"/>
      <c r="S159" s="29"/>
      <c r="T159" s="37"/>
      <c r="U159" s="39" t="s">
        <v>3260</v>
      </c>
      <c r="V159" s="39"/>
      <c r="W159" s="39"/>
      <c r="X159" s="29" t="s">
        <v>1915</v>
      </c>
      <c r="Y159" s="42" t="s">
        <v>2258</v>
      </c>
      <c r="Z159" s="29" t="s">
        <v>1686</v>
      </c>
      <c r="AA159" s="29" t="s">
        <v>1877</v>
      </c>
      <c r="AB159" s="53" t="s">
        <v>2505</v>
      </c>
      <c r="AC159" s="29" t="s">
        <v>1698</v>
      </c>
      <c r="AD159" s="37" t="s">
        <v>3266</v>
      </c>
      <c r="AE159" s="36" t="s">
        <v>3763</v>
      </c>
      <c r="AF159" s="37"/>
      <c r="AG159" s="39" t="s">
        <v>1778</v>
      </c>
      <c r="AH159" s="37"/>
      <c r="AI159" s="39" t="s">
        <v>3561</v>
      </c>
      <c r="AJ159" s="37" t="s">
        <v>3261</v>
      </c>
      <c r="AK159" s="97" t="s">
        <v>2196</v>
      </c>
      <c r="AL159" s="89" t="s">
        <v>1670</v>
      </c>
      <c r="AM159" s="37"/>
      <c r="AN159" s="89" t="s">
        <v>1778</v>
      </c>
      <c r="AO159" s="37"/>
      <c r="AP159" s="36" t="s">
        <v>2146</v>
      </c>
      <c r="AQ159" s="37"/>
      <c r="AR159" s="39" t="s">
        <v>1743</v>
      </c>
      <c r="AS159" s="29" t="s">
        <v>1693</v>
      </c>
      <c r="AT159" s="37"/>
      <c r="AU159" s="36"/>
      <c r="AV159" s="29"/>
      <c r="AW159" s="37" t="s">
        <v>3262</v>
      </c>
      <c r="AX159" s="39" t="s">
        <v>2851</v>
      </c>
      <c r="AY159" s="205"/>
      <c r="AZ159" s="53" t="s">
        <v>2851</v>
      </c>
      <c r="BA159" s="88"/>
      <c r="BB159" s="224" t="s">
        <v>3264</v>
      </c>
      <c r="BC159" s="37" t="s">
        <v>3263</v>
      </c>
    </row>
    <row r="160" spans="1:57" ht="51" x14ac:dyDescent="0.25">
      <c r="A160" s="149">
        <v>55</v>
      </c>
      <c r="B160" s="51">
        <f>ROW('Initial Search'!135:135)</f>
        <v>135</v>
      </c>
      <c r="C160" s="46" t="str">
        <f>'Initial Search'!D135</f>
        <v>Live and global consistency checking in a collaborative engineering environment</v>
      </c>
      <c r="D160" s="49">
        <f>'Initial Search'!C135</f>
        <v>2019</v>
      </c>
      <c r="E160" s="49" t="str">
        <f>'Initial Search'!O135</f>
        <v>Tröls et al.</v>
      </c>
      <c r="F160" s="40" t="str">
        <f>'Initial Search'!M135</f>
        <v>Accepted</v>
      </c>
      <c r="G160" s="40" t="str">
        <f>'Initial Search'!N135</f>
        <v>Approved</v>
      </c>
      <c r="H160" s="36" t="s">
        <v>1623</v>
      </c>
      <c r="I160" s="29"/>
      <c r="J160" s="29"/>
      <c r="K160" s="29"/>
      <c r="L160" s="53"/>
      <c r="M160" s="37"/>
      <c r="N160" s="36"/>
      <c r="O160" s="29" t="s">
        <v>1623</v>
      </c>
      <c r="P160" s="29"/>
      <c r="Q160" s="29"/>
      <c r="R160" s="29"/>
      <c r="S160" s="29"/>
      <c r="T160" s="37"/>
      <c r="U160" s="39" t="s">
        <v>3273</v>
      </c>
      <c r="V160" s="39"/>
      <c r="W160" s="39"/>
      <c r="X160" s="29" t="s">
        <v>1710</v>
      </c>
      <c r="Y160" s="42" t="s">
        <v>2258</v>
      </c>
      <c r="Z160" s="29" t="s">
        <v>1685</v>
      </c>
      <c r="AA160" s="29" t="s">
        <v>1723</v>
      </c>
      <c r="AB160" s="53" t="s">
        <v>1712</v>
      </c>
      <c r="AC160" s="53" t="s">
        <v>3524</v>
      </c>
      <c r="AD160" s="37"/>
      <c r="AE160" s="36" t="s">
        <v>3763</v>
      </c>
      <c r="AF160" s="37"/>
      <c r="AG160" s="39" t="s">
        <v>1778</v>
      </c>
      <c r="AH160" s="37"/>
      <c r="AI160" s="39" t="s">
        <v>2588</v>
      </c>
      <c r="AJ160" s="37" t="s">
        <v>3274</v>
      </c>
      <c r="AK160" s="97" t="s">
        <v>2197</v>
      </c>
      <c r="AL160" s="89" t="s">
        <v>1792</v>
      </c>
      <c r="AM160" s="37" t="s">
        <v>3275</v>
      </c>
      <c r="AN160" s="89" t="s">
        <v>1778</v>
      </c>
      <c r="AO160" s="37"/>
      <c r="AP160" s="36" t="s">
        <v>1801</v>
      </c>
      <c r="AQ160" s="37" t="s">
        <v>3277</v>
      </c>
      <c r="AR160" s="39" t="s">
        <v>1743</v>
      </c>
      <c r="AS160" s="53" t="s">
        <v>3518</v>
      </c>
      <c r="AT160" s="37" t="s">
        <v>3272</v>
      </c>
      <c r="AU160" s="36" t="s">
        <v>2267</v>
      </c>
      <c r="AV160" s="29" t="s">
        <v>1677</v>
      </c>
      <c r="AW160" s="37"/>
      <c r="AX160" s="39" t="s">
        <v>3279</v>
      </c>
      <c r="AY160" s="205" t="s">
        <v>3278</v>
      </c>
      <c r="AZ160" s="53" t="s">
        <v>2851</v>
      </c>
      <c r="BA160" s="88"/>
      <c r="BB160" s="224" t="s">
        <v>3281</v>
      </c>
      <c r="BC160" s="37" t="s">
        <v>3280</v>
      </c>
    </row>
    <row r="161" spans="1:59" ht="38.25" x14ac:dyDescent="0.25">
      <c r="A161" s="150">
        <v>57</v>
      </c>
      <c r="B161" s="51">
        <f>ROW('Initial Search'!248:248)</f>
        <v>248</v>
      </c>
      <c r="C161" s="46" t="str">
        <f>'Initial Search'!D248</f>
        <v>Towards Multiple Model Synchronization with Comprehensive Systems</v>
      </c>
      <c r="D161" s="49">
        <f>'Initial Search'!C248</f>
        <v>2020</v>
      </c>
      <c r="E161" s="49" t="str">
        <f>'Initial Search'!O248</f>
        <v>Stünkel et al.</v>
      </c>
      <c r="F161" s="40" t="str">
        <f>'Initial Search'!M248</f>
        <v>Accepted</v>
      </c>
      <c r="G161" s="40" t="str">
        <f>'Initial Search'!N248</f>
        <v>Approved</v>
      </c>
      <c r="H161" s="36" t="s">
        <v>1623</v>
      </c>
      <c r="I161" s="29"/>
      <c r="J161" s="29"/>
      <c r="K161" s="29"/>
      <c r="L161" s="53"/>
      <c r="M161" s="37"/>
      <c r="N161" s="36"/>
      <c r="O161" s="29"/>
      <c r="P161" s="29" t="s">
        <v>1623</v>
      </c>
      <c r="Q161" s="29" t="s">
        <v>1623</v>
      </c>
      <c r="R161" s="29"/>
      <c r="S161" s="29"/>
      <c r="T161" s="37"/>
      <c r="U161" s="39" t="s">
        <v>3291</v>
      </c>
      <c r="V161" s="39"/>
      <c r="W161" s="39"/>
      <c r="X161" s="29" t="s">
        <v>1915</v>
      </c>
      <c r="Y161" s="42" t="s">
        <v>2258</v>
      </c>
      <c r="Z161" s="29" t="s">
        <v>1686</v>
      </c>
      <c r="AA161" s="29" t="s">
        <v>1877</v>
      </c>
      <c r="AB161" s="53" t="s">
        <v>3292</v>
      </c>
      <c r="AC161" s="53" t="s">
        <v>2448</v>
      </c>
      <c r="AD161" s="37"/>
      <c r="AE161" s="36" t="s">
        <v>3778</v>
      </c>
      <c r="AF161" s="37"/>
      <c r="AG161" s="39" t="s">
        <v>1778</v>
      </c>
      <c r="AH161" s="37"/>
      <c r="AI161" s="39" t="s">
        <v>3562</v>
      </c>
      <c r="AJ161" s="37"/>
      <c r="AK161" s="97" t="s">
        <v>2196</v>
      </c>
      <c r="AL161" s="89" t="s">
        <v>1670</v>
      </c>
      <c r="AM161" s="37"/>
      <c r="AN161" s="89" t="s">
        <v>1778</v>
      </c>
      <c r="AO161" s="37"/>
      <c r="AP161" s="36" t="s">
        <v>2146</v>
      </c>
      <c r="AQ161" s="37"/>
      <c r="AR161" s="39" t="s">
        <v>1709</v>
      </c>
      <c r="AS161" s="29"/>
      <c r="AT161" s="37"/>
      <c r="AU161" s="36"/>
      <c r="AV161" s="29"/>
      <c r="AW161" s="37"/>
      <c r="AX161" s="39" t="s">
        <v>2851</v>
      </c>
      <c r="AY161" s="205"/>
      <c r="AZ161" s="53" t="s">
        <v>2851</v>
      </c>
      <c r="BA161" s="88"/>
      <c r="BB161" s="224" t="s">
        <v>3294</v>
      </c>
      <c r="BC161" s="37" t="s">
        <v>3293</v>
      </c>
    </row>
    <row r="162" spans="1:59" ht="63.75" x14ac:dyDescent="0.25">
      <c r="A162" s="150">
        <v>59</v>
      </c>
      <c r="B162" s="51">
        <f>ROW('Initial Search'!331:331)</f>
        <v>331</v>
      </c>
      <c r="C162" s="46" t="str">
        <f>'Initial Search'!D331</f>
        <v>Composing Models for Detecting Inconsistencies: A Requirements Engineering Perspective</v>
      </c>
      <c r="D162" s="49">
        <f>'Initial Search'!C331</f>
        <v>2009</v>
      </c>
      <c r="E162" s="49" t="str">
        <f>'Initial Search'!O331</f>
        <v>Perrouin et al.</v>
      </c>
      <c r="F162" s="40" t="str">
        <f>'Initial Search'!M331</f>
        <v>Accepted</v>
      </c>
      <c r="G162" s="40" t="str">
        <f>'Initial Search'!N331</f>
        <v>Approved</v>
      </c>
      <c r="H162" s="36"/>
      <c r="I162" s="29"/>
      <c r="J162" s="29"/>
      <c r="K162" s="29"/>
      <c r="L162" s="53" t="s">
        <v>3235</v>
      </c>
      <c r="M162" s="37"/>
      <c r="N162" s="36"/>
      <c r="O162" s="29"/>
      <c r="P162" s="29" t="s">
        <v>1623</v>
      </c>
      <c r="Q162" s="29" t="s">
        <v>1623</v>
      </c>
      <c r="R162" s="29"/>
      <c r="S162" s="29"/>
      <c r="T162" s="37" t="s">
        <v>3309</v>
      </c>
      <c r="U162" s="39" t="s">
        <v>3310</v>
      </c>
      <c r="V162" s="39"/>
      <c r="W162" s="39"/>
      <c r="X162" s="29" t="s">
        <v>1915</v>
      </c>
      <c r="Y162" s="42" t="s">
        <v>2258</v>
      </c>
      <c r="Z162" s="29" t="s">
        <v>1686</v>
      </c>
      <c r="AA162" s="29" t="s">
        <v>1877</v>
      </c>
      <c r="AB162" s="53" t="s">
        <v>2505</v>
      </c>
      <c r="AC162" s="53" t="s">
        <v>2448</v>
      </c>
      <c r="AD162" s="37"/>
      <c r="AE162" s="36" t="s">
        <v>3763</v>
      </c>
      <c r="AF162" s="37"/>
      <c r="AG162" s="39" t="s">
        <v>1778</v>
      </c>
      <c r="AH162" s="37"/>
      <c r="AI162" s="39" t="s">
        <v>3276</v>
      </c>
      <c r="AJ162" s="37"/>
      <c r="AK162" s="97" t="s">
        <v>2197</v>
      </c>
      <c r="AL162" s="89" t="s">
        <v>2260</v>
      </c>
      <c r="AM162" s="37" t="s">
        <v>3311</v>
      </c>
      <c r="AN162" s="89" t="s">
        <v>1778</v>
      </c>
      <c r="AO162" s="37"/>
      <c r="AP162" s="36" t="s">
        <v>1778</v>
      </c>
      <c r="AQ162" s="37"/>
      <c r="AR162" s="39" t="s">
        <v>1743</v>
      </c>
      <c r="AS162" s="29" t="s">
        <v>1693</v>
      </c>
      <c r="AT162" s="37"/>
      <c r="AU162" s="36"/>
      <c r="AV162" s="29"/>
      <c r="AW162" s="37"/>
      <c r="AX162" s="39" t="s">
        <v>2851</v>
      </c>
      <c r="AY162" s="205"/>
      <c r="AZ162" s="53" t="s">
        <v>2851</v>
      </c>
      <c r="BA162" s="88"/>
      <c r="BB162" s="224" t="s">
        <v>3313</v>
      </c>
      <c r="BC162" s="37" t="s">
        <v>3312</v>
      </c>
    </row>
    <row r="163" spans="1:59" ht="76.5" x14ac:dyDescent="0.25">
      <c r="A163" s="150">
        <v>61</v>
      </c>
      <c r="B163" s="51">
        <f>ROW('Initial Search'!320:320)</f>
        <v>320</v>
      </c>
      <c r="C163" s="46" t="str">
        <f>'Initial Search'!D320</f>
        <v>Efficient detection of inconsistencies in a multi-developer engineering environment</v>
      </c>
      <c r="D163" s="49">
        <f>'Initial Search'!C320</f>
        <v>2016</v>
      </c>
      <c r="E163" s="49" t="str">
        <f>'Initial Search'!O320</f>
        <v>Demuth et al.</v>
      </c>
      <c r="F163" s="40" t="str">
        <f>'Initial Search'!M320</f>
        <v>Accepted</v>
      </c>
      <c r="G163" s="40" t="str">
        <f>'Initial Search'!N320</f>
        <v>Approved</v>
      </c>
      <c r="H163" s="36"/>
      <c r="I163" s="29" t="s">
        <v>1623</v>
      </c>
      <c r="J163" s="29"/>
      <c r="K163" s="29"/>
      <c r="L163" s="53"/>
      <c r="M163" s="37"/>
      <c r="N163" s="36"/>
      <c r="O163" s="29" t="s">
        <v>1623</v>
      </c>
      <c r="P163" s="29"/>
      <c r="Q163" s="29"/>
      <c r="R163" s="29"/>
      <c r="S163" s="29"/>
      <c r="T163" s="37"/>
      <c r="U163" s="39" t="s">
        <v>3331</v>
      </c>
      <c r="V163" s="39"/>
      <c r="W163" s="39" t="s">
        <v>1623</v>
      </c>
      <c r="X163" s="29" t="s">
        <v>1915</v>
      </c>
      <c r="Y163" s="42" t="s">
        <v>2258</v>
      </c>
      <c r="Z163" s="29" t="s">
        <v>1686</v>
      </c>
      <c r="AA163" s="29" t="s">
        <v>1723</v>
      </c>
      <c r="AB163" s="53" t="s">
        <v>1785</v>
      </c>
      <c r="AC163" s="29" t="s">
        <v>1697</v>
      </c>
      <c r="AD163" s="37"/>
      <c r="AE163" s="39" t="s">
        <v>3784</v>
      </c>
      <c r="AF163" s="37"/>
      <c r="AG163" s="39" t="s">
        <v>1778</v>
      </c>
      <c r="AH163" s="37"/>
      <c r="AI163" s="39" t="s">
        <v>2588</v>
      </c>
      <c r="AJ163" s="37" t="s">
        <v>3332</v>
      </c>
      <c r="AK163" s="97" t="s">
        <v>2196</v>
      </c>
      <c r="AL163" s="89" t="s">
        <v>1670</v>
      </c>
      <c r="AM163" s="37" t="s">
        <v>3330</v>
      </c>
      <c r="AN163" s="89" t="s">
        <v>1778</v>
      </c>
      <c r="AO163" s="37"/>
      <c r="AP163" s="36" t="s">
        <v>2146</v>
      </c>
      <c r="AQ163" s="37"/>
      <c r="AR163" s="39" t="s">
        <v>1743</v>
      </c>
      <c r="AS163" s="29" t="s">
        <v>1693</v>
      </c>
      <c r="AT163" s="37"/>
      <c r="AU163" s="36"/>
      <c r="AV163" s="29"/>
      <c r="AW163" s="37" t="s">
        <v>1680</v>
      </c>
      <c r="AX163" s="39" t="s">
        <v>3496</v>
      </c>
      <c r="AY163" s="205" t="s">
        <v>3334</v>
      </c>
      <c r="AZ163" s="53" t="s">
        <v>2851</v>
      </c>
      <c r="BA163" s="88"/>
      <c r="BB163" s="224" t="s">
        <v>3009</v>
      </c>
      <c r="BC163" s="37" t="s">
        <v>3333</v>
      </c>
    </row>
    <row r="164" spans="1:59" ht="63.75" x14ac:dyDescent="0.25">
      <c r="A164" s="150">
        <v>62</v>
      </c>
      <c r="B164" s="51">
        <f>ROW('Initial Search'!321:321)</f>
        <v>321</v>
      </c>
      <c r="C164" s="46" t="str">
        <f>'Initial Search'!D321</f>
        <v>An agent-based framework for distributed collaborative model evolution</v>
      </c>
      <c r="D164" s="49">
        <f>'Initial Search'!C321</f>
        <v>2011</v>
      </c>
      <c r="E164" s="49" t="str">
        <f>'Initial Search'!O321</f>
        <v>BDI Architecture</v>
      </c>
      <c r="F164" s="40" t="str">
        <f>'Initial Search'!M320</f>
        <v>Accepted</v>
      </c>
      <c r="G164" s="40" t="str">
        <f>'Initial Search'!N321</f>
        <v>Approved</v>
      </c>
      <c r="H164" s="36"/>
      <c r="I164" s="29" t="s">
        <v>1623</v>
      </c>
      <c r="J164" s="29"/>
      <c r="K164" s="29"/>
      <c r="L164" s="53"/>
      <c r="M164" s="37"/>
      <c r="N164" s="36"/>
      <c r="O164" s="29" t="s">
        <v>1623</v>
      </c>
      <c r="P164" s="29"/>
      <c r="Q164" s="29"/>
      <c r="R164" s="29"/>
      <c r="S164" s="29"/>
      <c r="T164" s="37" t="s">
        <v>3340</v>
      </c>
      <c r="U164" s="39" t="s">
        <v>3339</v>
      </c>
      <c r="V164" s="39"/>
      <c r="W164" s="39"/>
      <c r="X164" s="29" t="s">
        <v>1915</v>
      </c>
      <c r="Y164" s="42" t="s">
        <v>2258</v>
      </c>
      <c r="Z164" s="29" t="s">
        <v>1685</v>
      </c>
      <c r="AA164" s="29" t="s">
        <v>1723</v>
      </c>
      <c r="AB164" s="53" t="s">
        <v>1785</v>
      </c>
      <c r="AC164" s="29" t="s">
        <v>1697</v>
      </c>
      <c r="AD164" s="37"/>
      <c r="AE164" s="36" t="s">
        <v>3763</v>
      </c>
      <c r="AF164" s="37"/>
      <c r="AG164" s="39" t="s">
        <v>1778</v>
      </c>
      <c r="AH164" s="37"/>
      <c r="AI164" s="39" t="s">
        <v>3337</v>
      </c>
      <c r="AJ164" s="37"/>
      <c r="AK164" s="97" t="s">
        <v>2197</v>
      </c>
      <c r="AL164" s="89" t="s">
        <v>2260</v>
      </c>
      <c r="AM164" s="37" t="s">
        <v>3338</v>
      </c>
      <c r="AN164" s="89"/>
      <c r="AO164" s="37"/>
      <c r="AP164" s="36" t="s">
        <v>1778</v>
      </c>
      <c r="AQ164" s="37"/>
      <c r="AR164" s="39" t="s">
        <v>1709</v>
      </c>
      <c r="AS164" s="29"/>
      <c r="AT164" s="37"/>
      <c r="AU164" s="36"/>
      <c r="AV164" s="29"/>
      <c r="AW164" s="37" t="s">
        <v>1680</v>
      </c>
      <c r="AX164" s="39" t="s">
        <v>2851</v>
      </c>
      <c r="AY164" s="205"/>
      <c r="AZ164" s="53" t="s">
        <v>2851</v>
      </c>
      <c r="BA164" s="88"/>
      <c r="BB164" s="224" t="s">
        <v>3343</v>
      </c>
      <c r="BC164" s="37" t="s">
        <v>3342</v>
      </c>
    </row>
    <row r="165" spans="1:59" ht="51" x14ac:dyDescent="0.25">
      <c r="A165" s="150">
        <v>60</v>
      </c>
      <c r="B165" s="51">
        <f>ROW('Initial Search'!322:322)</f>
        <v>322</v>
      </c>
      <c r="C165" s="46" t="str">
        <f>'Initial Search'!D322</f>
        <v>Formal Support for Merging and Negotiation</v>
      </c>
      <c r="D165" s="49">
        <f>'Initial Search'!C322</f>
        <v>2005</v>
      </c>
      <c r="E165" s="49" t="str">
        <f>'Initial Search'!O322</f>
        <v>Negotiation framework</v>
      </c>
      <c r="F165" s="40" t="str">
        <f>'Initial Search'!M321</f>
        <v>Accepted</v>
      </c>
      <c r="G165" s="40" t="str">
        <f>'Initial Search'!N322</f>
        <v>Approved</v>
      </c>
      <c r="H165" s="36"/>
      <c r="I165" s="29" t="s">
        <v>1623</v>
      </c>
      <c r="J165" s="29"/>
      <c r="K165" s="29"/>
      <c r="L165" s="53" t="s">
        <v>3320</v>
      </c>
      <c r="M165" s="37"/>
      <c r="N165" s="36"/>
      <c r="O165" s="29" t="s">
        <v>1623</v>
      </c>
      <c r="P165" s="29"/>
      <c r="Q165" s="29"/>
      <c r="R165" s="29"/>
      <c r="S165" s="29" t="s">
        <v>1623</v>
      </c>
      <c r="T165" s="37"/>
      <c r="U165" s="39" t="s">
        <v>3321</v>
      </c>
      <c r="V165" s="39"/>
      <c r="W165" s="39"/>
      <c r="X165" s="29" t="s">
        <v>1915</v>
      </c>
      <c r="Y165" s="42" t="s">
        <v>2258</v>
      </c>
      <c r="Z165" s="29" t="s">
        <v>1686</v>
      </c>
      <c r="AA165" s="29" t="s">
        <v>1877</v>
      </c>
      <c r="AB165" s="53" t="s">
        <v>2819</v>
      </c>
      <c r="AC165" s="29" t="s">
        <v>1698</v>
      </c>
      <c r="AD165" s="37"/>
      <c r="AE165" s="36" t="s">
        <v>3763</v>
      </c>
      <c r="AF165" s="37"/>
      <c r="AG165" s="39" t="s">
        <v>1778</v>
      </c>
      <c r="AH165" s="37"/>
      <c r="AI165" s="39" t="s">
        <v>3564</v>
      </c>
      <c r="AJ165" s="37" t="s">
        <v>3326</v>
      </c>
      <c r="AK165" s="97" t="s">
        <v>2197</v>
      </c>
      <c r="AL165" s="89" t="s">
        <v>1792</v>
      </c>
      <c r="AM165" s="37" t="s">
        <v>3322</v>
      </c>
      <c r="AN165" s="89" t="s">
        <v>1778</v>
      </c>
      <c r="AO165" s="37"/>
      <c r="AP165" s="36" t="s">
        <v>2146</v>
      </c>
      <c r="AQ165" s="37"/>
      <c r="AR165" s="39" t="s">
        <v>1743</v>
      </c>
      <c r="AS165" s="29" t="s">
        <v>1693</v>
      </c>
      <c r="AT165" s="37"/>
      <c r="AU165" s="36"/>
      <c r="AV165" s="29"/>
      <c r="AW165" s="37" t="s">
        <v>1680</v>
      </c>
      <c r="AX165" s="39" t="s">
        <v>2851</v>
      </c>
      <c r="AY165" s="205"/>
      <c r="AZ165" s="53" t="s">
        <v>2851</v>
      </c>
      <c r="BA165" s="88"/>
      <c r="BB165" s="224" t="s">
        <v>3323</v>
      </c>
      <c r="BC165" s="37"/>
    </row>
    <row r="166" spans="1:59" ht="38.25" x14ac:dyDescent="0.25">
      <c r="A166" s="150">
        <v>63</v>
      </c>
      <c r="B166" s="51">
        <f>ROW('Initial Search'!326:326)</f>
        <v>326</v>
      </c>
      <c r="C166" s="46" t="str">
        <f>'Initial Search'!D326</f>
        <v>An Algebraic Framework for Merging Incomplete and Inconsistent Views</v>
      </c>
      <c r="D166" s="49">
        <f>'Initial Search'!C326</f>
        <v>2005</v>
      </c>
      <c r="E166" s="49" t="str">
        <f>'Initial Search'!O326</f>
        <v>iVuBlender</v>
      </c>
      <c r="F166" s="40" t="str">
        <f>'Initial Search'!M326</f>
        <v>Accepted</v>
      </c>
      <c r="G166" s="40" t="str">
        <f>'Initial Search'!N326</f>
        <v>Approved</v>
      </c>
      <c r="H166" s="36"/>
      <c r="I166" s="29"/>
      <c r="J166" s="29"/>
      <c r="K166" s="29"/>
      <c r="L166" s="53" t="s">
        <v>3346</v>
      </c>
      <c r="M166" s="37" t="s">
        <v>3347</v>
      </c>
      <c r="N166" s="36"/>
      <c r="O166" s="29" t="s">
        <v>1623</v>
      </c>
      <c r="P166" s="29"/>
      <c r="Q166" s="29"/>
      <c r="R166" s="29"/>
      <c r="S166" s="29"/>
      <c r="T166" s="37"/>
      <c r="U166" s="39" t="s">
        <v>1976</v>
      </c>
      <c r="V166" s="39" t="s">
        <v>1623</v>
      </c>
      <c r="W166" s="39"/>
      <c r="X166" s="29" t="s">
        <v>1915</v>
      </c>
      <c r="Y166" s="42" t="s">
        <v>2258</v>
      </c>
      <c r="Z166" s="29" t="s">
        <v>1686</v>
      </c>
      <c r="AA166" s="29" t="s">
        <v>1877</v>
      </c>
      <c r="AB166" s="53" t="s">
        <v>2505</v>
      </c>
      <c r="AC166" s="29" t="s">
        <v>2562</v>
      </c>
      <c r="AD166" s="37"/>
      <c r="AE166" s="36" t="s">
        <v>3778</v>
      </c>
      <c r="AF166" s="37"/>
      <c r="AG166" s="39" t="s">
        <v>1778</v>
      </c>
      <c r="AH166" s="37"/>
      <c r="AI166" s="39" t="s">
        <v>3561</v>
      </c>
      <c r="AJ166" s="37" t="s">
        <v>3348</v>
      </c>
      <c r="AK166" s="97" t="s">
        <v>2196</v>
      </c>
      <c r="AL166" s="89" t="s">
        <v>1670</v>
      </c>
      <c r="AM166" s="37"/>
      <c r="AN166" s="89" t="s">
        <v>1778</v>
      </c>
      <c r="AO166" s="37"/>
      <c r="AP166" s="36" t="s">
        <v>2146</v>
      </c>
      <c r="AQ166" s="37"/>
      <c r="AR166" s="39" t="s">
        <v>1755</v>
      </c>
      <c r="AS166" s="29" t="s">
        <v>1693</v>
      </c>
      <c r="AT166" s="37"/>
      <c r="AU166" s="36"/>
      <c r="AV166" s="29"/>
      <c r="AW166" s="37" t="s">
        <v>1680</v>
      </c>
      <c r="AX166" s="39" t="s">
        <v>2851</v>
      </c>
      <c r="AY166" s="205"/>
      <c r="AZ166" s="53" t="s">
        <v>2851</v>
      </c>
      <c r="BA166" s="88"/>
      <c r="BB166" s="224" t="s">
        <v>3009</v>
      </c>
      <c r="BC166" s="37" t="s">
        <v>3349</v>
      </c>
    </row>
    <row r="167" spans="1:59" ht="76.5" x14ac:dyDescent="0.25">
      <c r="A167" s="150">
        <v>63</v>
      </c>
      <c r="B167" s="51">
        <f>ROW('Initial Search'!329:329)</f>
        <v>329</v>
      </c>
      <c r="C167" s="46" t="str">
        <f>'Initial Search'!D329</f>
        <v>View merging in the presence of incompleteness and inconsistency</v>
      </c>
      <c r="D167" s="49">
        <f>'Initial Search'!C329</f>
        <v>2006</v>
      </c>
      <c r="E167" s="49" t="str">
        <f>'Initial Search'!O329</f>
        <v>iVuBlender</v>
      </c>
      <c r="F167" s="40" t="str">
        <f>'Initial Search'!M329</f>
        <v>Accepted</v>
      </c>
      <c r="G167" s="40" t="str">
        <f>'Initial Search'!N329</f>
        <v>Approved</v>
      </c>
      <c r="H167" s="36"/>
      <c r="I167" s="29"/>
      <c r="J167" s="29"/>
      <c r="K167" s="29"/>
      <c r="L167" s="53" t="s">
        <v>3346</v>
      </c>
      <c r="M167" s="37"/>
      <c r="N167" s="36"/>
      <c r="O167" s="29" t="s">
        <v>1623</v>
      </c>
      <c r="P167" s="29"/>
      <c r="Q167" s="29"/>
      <c r="R167" s="29"/>
      <c r="S167" s="29"/>
      <c r="T167" s="37"/>
      <c r="U167" s="39" t="s">
        <v>1976</v>
      </c>
      <c r="V167" s="39" t="s">
        <v>1623</v>
      </c>
      <c r="W167" s="39"/>
      <c r="X167" s="29" t="s">
        <v>1915</v>
      </c>
      <c r="Y167" s="42" t="s">
        <v>2258</v>
      </c>
      <c r="Z167" s="29" t="s">
        <v>1686</v>
      </c>
      <c r="AA167" s="29" t="s">
        <v>1877</v>
      </c>
      <c r="AB167" s="53" t="s">
        <v>2211</v>
      </c>
      <c r="AC167" s="29" t="s">
        <v>2562</v>
      </c>
      <c r="AD167" s="37"/>
      <c r="AE167" s="36" t="s">
        <v>3778</v>
      </c>
      <c r="AF167" s="37"/>
      <c r="AG167" s="39" t="s">
        <v>1778</v>
      </c>
      <c r="AH167" s="37"/>
      <c r="AI167" s="39" t="s">
        <v>3229</v>
      </c>
      <c r="AJ167" s="37" t="s">
        <v>3352</v>
      </c>
      <c r="AK167" s="97" t="s">
        <v>2196</v>
      </c>
      <c r="AL167" s="89" t="s">
        <v>1670</v>
      </c>
      <c r="AM167" s="37"/>
      <c r="AN167" s="89" t="s">
        <v>1778</v>
      </c>
      <c r="AO167" s="37"/>
      <c r="AP167" s="36" t="s">
        <v>1778</v>
      </c>
      <c r="AQ167" s="37"/>
      <c r="AR167" s="39" t="s">
        <v>1743</v>
      </c>
      <c r="AS167" s="29" t="s">
        <v>1693</v>
      </c>
      <c r="AT167" s="37"/>
      <c r="AU167" s="36"/>
      <c r="AV167" s="29"/>
      <c r="AW167" s="37" t="s">
        <v>1680</v>
      </c>
      <c r="AX167" s="39" t="s">
        <v>2851</v>
      </c>
      <c r="AY167" s="205"/>
      <c r="AZ167" s="53" t="s">
        <v>2851</v>
      </c>
      <c r="BA167" s="88"/>
      <c r="BB167" s="224" t="s">
        <v>3354</v>
      </c>
      <c r="BC167" s="37" t="s">
        <v>3353</v>
      </c>
      <c r="BE167" s="93" t="s">
        <v>3351</v>
      </c>
    </row>
    <row r="168" spans="1:59" ht="51" x14ac:dyDescent="0.25">
      <c r="A168" s="150">
        <v>64</v>
      </c>
      <c r="B168" s="51">
        <f>ROW('Initial Search'!335:335)</f>
        <v>335</v>
      </c>
      <c r="C168" s="46" t="str">
        <f>'Initial Search'!D335</f>
        <v>A Collaborative Versioning Framework for Model-Based Version Control Systems</v>
      </c>
      <c r="D168" s="49">
        <f>'Initial Search'!C335</f>
        <v>2020</v>
      </c>
      <c r="E168" s="49" t="str">
        <f>'Initial Search'!O335</f>
        <v>ModVCS</v>
      </c>
      <c r="F168" s="40" t="str">
        <f>'Initial Search'!M335</f>
        <v>Accepted</v>
      </c>
      <c r="G168" s="40" t="str">
        <f>'Initial Search'!N335</f>
        <v>Approved</v>
      </c>
      <c r="H168" s="36"/>
      <c r="I168" s="29" t="s">
        <v>1623</v>
      </c>
      <c r="J168" s="29"/>
      <c r="K168" s="29"/>
      <c r="L168" s="53"/>
      <c r="M168" s="37" t="s">
        <v>3357</v>
      </c>
      <c r="N168" s="36"/>
      <c r="O168" s="29" t="s">
        <v>1623</v>
      </c>
      <c r="P168" s="29"/>
      <c r="Q168" s="29"/>
      <c r="R168" s="29"/>
      <c r="S168" s="29"/>
      <c r="T168" s="37"/>
      <c r="U168" s="39"/>
      <c r="V168" s="39"/>
      <c r="W168" s="39"/>
      <c r="X168" s="29" t="s">
        <v>1915</v>
      </c>
      <c r="Y168" s="42" t="s">
        <v>2258</v>
      </c>
      <c r="Z168" s="29" t="s">
        <v>1686</v>
      </c>
      <c r="AA168" s="29" t="s">
        <v>1723</v>
      </c>
      <c r="AB168" s="53" t="s">
        <v>2211</v>
      </c>
      <c r="AC168" s="29" t="s">
        <v>1698</v>
      </c>
      <c r="AD168" s="37"/>
      <c r="AE168" s="36" t="s">
        <v>3763</v>
      </c>
      <c r="AF168" s="37" t="s">
        <v>3811</v>
      </c>
      <c r="AG168" s="39" t="s">
        <v>1778</v>
      </c>
      <c r="AH168" s="37"/>
      <c r="AI168" s="39" t="s">
        <v>3229</v>
      </c>
      <c r="AJ168" s="37"/>
      <c r="AK168" s="97" t="s">
        <v>2197</v>
      </c>
      <c r="AL168" s="89" t="s">
        <v>1670</v>
      </c>
      <c r="AM168" s="37"/>
      <c r="AN168" s="89" t="s">
        <v>1778</v>
      </c>
      <c r="AO168" s="37"/>
      <c r="AP168" s="36" t="s">
        <v>2179</v>
      </c>
      <c r="AQ168" s="37" t="s">
        <v>3358</v>
      </c>
      <c r="AR168" s="39" t="s">
        <v>1743</v>
      </c>
      <c r="AS168" s="29" t="s">
        <v>1693</v>
      </c>
      <c r="AT168" s="37"/>
      <c r="AU168" s="36"/>
      <c r="AV168" s="29"/>
      <c r="AW168" s="37" t="s">
        <v>1680</v>
      </c>
      <c r="AX168" s="39" t="s">
        <v>3650</v>
      </c>
      <c r="AY168" s="205"/>
      <c r="AZ168" s="53" t="s">
        <v>2851</v>
      </c>
      <c r="BA168" s="88"/>
      <c r="BB168" s="224" t="s">
        <v>3264</v>
      </c>
      <c r="BC168" s="37" t="s">
        <v>3361</v>
      </c>
    </row>
    <row r="169" spans="1:59" ht="89.25" x14ac:dyDescent="0.25">
      <c r="A169" s="150">
        <v>65</v>
      </c>
      <c r="B169" s="51">
        <f>ROW('Initial Search'!295:295)</f>
        <v>295</v>
      </c>
      <c r="C169" s="46" t="str">
        <f>'Initial Search'!D295</f>
        <v>Global consistency checking of distributed models with TReMer+</v>
      </c>
      <c r="D169" s="49">
        <f>'Initial Search'!C295</f>
        <v>2008</v>
      </c>
      <c r="E169" s="49" t="str">
        <f>'Initial Search'!O295</f>
        <v>TReMer+</v>
      </c>
      <c r="F169" s="40" t="str">
        <f>'Initial Search'!M295</f>
        <v>Accepted</v>
      </c>
      <c r="G169" s="40" t="str">
        <f>'Initial Search'!N295</f>
        <v>Approved</v>
      </c>
      <c r="H169" s="36"/>
      <c r="I169" s="29" t="s">
        <v>1623</v>
      </c>
      <c r="J169" s="29"/>
      <c r="K169" s="29"/>
      <c r="L169" s="53"/>
      <c r="M169" s="37"/>
      <c r="N169" s="36"/>
      <c r="O169" s="29" t="s">
        <v>1623</v>
      </c>
      <c r="P169" s="29" t="s">
        <v>1623</v>
      </c>
      <c r="Q169" s="29"/>
      <c r="R169" s="29"/>
      <c r="S169" s="29"/>
      <c r="T169" s="37"/>
      <c r="U169" s="39"/>
      <c r="V169" s="39"/>
      <c r="W169" s="39"/>
      <c r="X169" s="29" t="s">
        <v>1915</v>
      </c>
      <c r="Y169" s="42" t="s">
        <v>2258</v>
      </c>
      <c r="Z169" s="29" t="s">
        <v>1686</v>
      </c>
      <c r="AA169" s="29" t="s">
        <v>1877</v>
      </c>
      <c r="AB169" s="53" t="s">
        <v>2211</v>
      </c>
      <c r="AC169" s="29" t="s">
        <v>3244</v>
      </c>
      <c r="AD169" s="37"/>
      <c r="AE169" s="36" t="s">
        <v>2575</v>
      </c>
      <c r="AF169" s="37" t="s">
        <v>3367</v>
      </c>
      <c r="AG169" s="39" t="s">
        <v>1778</v>
      </c>
      <c r="AH169" s="37"/>
      <c r="AI169" s="39" t="s">
        <v>3563</v>
      </c>
      <c r="AJ169" s="37" t="s">
        <v>3365</v>
      </c>
      <c r="AK169" s="97" t="s">
        <v>2197</v>
      </c>
      <c r="AL169" s="89" t="s">
        <v>1670</v>
      </c>
      <c r="AM169" s="37"/>
      <c r="AN169" s="89" t="s">
        <v>1778</v>
      </c>
      <c r="AO169" s="37"/>
      <c r="AP169" s="36" t="s">
        <v>2146</v>
      </c>
      <c r="AQ169" s="37" t="s">
        <v>3366</v>
      </c>
      <c r="AR169" s="39" t="s">
        <v>1743</v>
      </c>
      <c r="AS169" s="29" t="s">
        <v>1693</v>
      </c>
      <c r="AT169" s="37"/>
      <c r="AU169" s="36"/>
      <c r="AV169" s="29"/>
      <c r="AW169" s="37" t="s">
        <v>1680</v>
      </c>
      <c r="AX169" s="39" t="s">
        <v>3651</v>
      </c>
      <c r="AY169" s="205" t="s">
        <v>3368</v>
      </c>
      <c r="AZ169" s="53" t="s">
        <v>2851</v>
      </c>
      <c r="BA169" s="88"/>
      <c r="BB169" s="224" t="s">
        <v>3370</v>
      </c>
      <c r="BC169" s="37" t="s">
        <v>3369</v>
      </c>
      <c r="BE169" s="72" t="s">
        <v>3367</v>
      </c>
    </row>
    <row r="170" spans="1:59" ht="89.25" x14ac:dyDescent="0.25">
      <c r="A170" s="150">
        <v>66</v>
      </c>
      <c r="B170" s="51">
        <v>337</v>
      </c>
      <c r="C170" s="46" t="str">
        <f>'Initial Search'!D337</f>
        <v>Efficient Consistency Checking of Interrelated Models</v>
      </c>
      <c r="D170" s="49">
        <f>'Initial Search'!C337</f>
        <v>2017</v>
      </c>
      <c r="E170" s="49" t="str">
        <f>'Initial Search'!O337</f>
        <v>LMM</v>
      </c>
      <c r="F170" s="40" t="str">
        <f>'Initial Search'!M337</f>
        <v>Accepted</v>
      </c>
      <c r="G170" s="40" t="str">
        <f>'Initial Search'!N337</f>
        <v>Approved</v>
      </c>
      <c r="H170" s="36" t="s">
        <v>1623</v>
      </c>
      <c r="I170" s="29"/>
      <c r="J170" s="29"/>
      <c r="K170" s="29"/>
      <c r="M170" s="37" t="s">
        <v>3502</v>
      </c>
      <c r="N170" s="36"/>
      <c r="O170" s="29" t="s">
        <v>1623</v>
      </c>
      <c r="P170" s="29"/>
      <c r="Q170" s="29"/>
      <c r="R170" s="29"/>
      <c r="S170" s="29"/>
      <c r="T170" s="37"/>
      <c r="U170" s="39" t="s">
        <v>3489</v>
      </c>
      <c r="V170" s="39"/>
      <c r="W170" s="39"/>
      <c r="X170" s="29" t="s">
        <v>1915</v>
      </c>
      <c r="Y170" s="42" t="s">
        <v>2258</v>
      </c>
      <c r="Z170" s="29" t="s">
        <v>1686</v>
      </c>
      <c r="AA170" s="29" t="s">
        <v>1877</v>
      </c>
      <c r="AB170" s="53" t="s">
        <v>3494</v>
      </c>
      <c r="AC170" s="29" t="s">
        <v>3244</v>
      </c>
      <c r="AD170" s="37"/>
      <c r="AE170" s="36" t="s">
        <v>1778</v>
      </c>
      <c r="AF170" s="37"/>
      <c r="AG170" s="39" t="s">
        <v>3491</v>
      </c>
      <c r="AH170" s="37" t="s">
        <v>3493</v>
      </c>
      <c r="AI170" s="39" t="s">
        <v>1778</v>
      </c>
      <c r="AJ170" s="37"/>
      <c r="AK170" s="97" t="s">
        <v>1778</v>
      </c>
      <c r="AL170" s="89" t="s">
        <v>1778</v>
      </c>
      <c r="AM170" s="37"/>
      <c r="AN170" s="89" t="s">
        <v>1778</v>
      </c>
      <c r="AO170" s="37"/>
      <c r="AP170" s="36" t="s">
        <v>1778</v>
      </c>
      <c r="AQ170" s="37"/>
      <c r="AR170" s="39" t="s">
        <v>1709</v>
      </c>
      <c r="AS170" s="29" t="s">
        <v>1778</v>
      </c>
      <c r="AT170" s="37"/>
      <c r="AU170" s="36"/>
      <c r="AV170" s="29"/>
      <c r="AW170" s="37" t="s">
        <v>1680</v>
      </c>
      <c r="AX170" s="39" t="s">
        <v>3497</v>
      </c>
      <c r="AY170" s="205" t="s">
        <v>3495</v>
      </c>
      <c r="AZ170" s="53" t="s">
        <v>2851</v>
      </c>
      <c r="BA170" s="88"/>
      <c r="BB170" s="224" t="s">
        <v>3501</v>
      </c>
      <c r="BC170" s="37" t="s">
        <v>3498</v>
      </c>
      <c r="BE170" s="72"/>
    </row>
    <row r="171" spans="1:59" ht="51" x14ac:dyDescent="0.25">
      <c r="A171" s="150">
        <v>65</v>
      </c>
      <c r="B171" s="51">
        <v>339</v>
      </c>
      <c r="C171" s="46" t="str">
        <f>'Initial Search'!D339</f>
        <v>Consistency Checking of Conceptual Models via Model Merging</v>
      </c>
      <c r="D171" s="49">
        <f>'Initial Search'!C339</f>
        <v>2007</v>
      </c>
      <c r="E171" s="49" t="str">
        <f>'Initial Search'!O339</f>
        <v>TReMer+</v>
      </c>
      <c r="F171" s="40" t="str">
        <f>'Initial Search'!M339</f>
        <v>Accepted</v>
      </c>
      <c r="G171" s="40" t="str">
        <f>'Initial Search'!N339</f>
        <v>Approved</v>
      </c>
      <c r="H171" s="36"/>
      <c r="I171" s="29" t="s">
        <v>1623</v>
      </c>
      <c r="J171" s="29"/>
      <c r="K171" s="29"/>
      <c r="L171" s="53"/>
      <c r="M171" s="37" t="s">
        <v>3536</v>
      </c>
      <c r="N171" s="36"/>
      <c r="O171" s="29"/>
      <c r="P171" s="29" t="s">
        <v>1623</v>
      </c>
      <c r="Q171" s="29"/>
      <c r="R171" s="29"/>
      <c r="S171" s="29"/>
      <c r="T171" s="37"/>
      <c r="U171" s="39"/>
      <c r="V171" s="39"/>
      <c r="W171" s="39"/>
      <c r="X171" s="29" t="s">
        <v>1915</v>
      </c>
      <c r="Y171" s="42" t="s">
        <v>2258</v>
      </c>
      <c r="Z171" s="29" t="s">
        <v>1686</v>
      </c>
      <c r="AA171" s="29" t="s">
        <v>1877</v>
      </c>
      <c r="AB171" s="53" t="s">
        <v>2211</v>
      </c>
      <c r="AC171" s="29" t="s">
        <v>3244</v>
      </c>
      <c r="AD171" s="37" t="s">
        <v>3537</v>
      </c>
      <c r="AE171" s="36" t="s">
        <v>2575</v>
      </c>
      <c r="AF171" s="37"/>
      <c r="AG171" s="39" t="s">
        <v>1778</v>
      </c>
      <c r="AH171" s="37"/>
      <c r="AI171" s="39" t="s">
        <v>3563</v>
      </c>
      <c r="AJ171" s="37" t="s">
        <v>3538</v>
      </c>
      <c r="AK171" s="97" t="s">
        <v>2197</v>
      </c>
      <c r="AL171" s="89" t="s">
        <v>1670</v>
      </c>
      <c r="AM171" s="37"/>
      <c r="AN171" s="89" t="s">
        <v>1778</v>
      </c>
      <c r="AO171" s="37"/>
      <c r="AP171" s="36" t="s">
        <v>2146</v>
      </c>
      <c r="AQ171" s="37"/>
      <c r="AR171" s="39" t="s">
        <v>1743</v>
      </c>
      <c r="AS171" s="29" t="s">
        <v>1693</v>
      </c>
      <c r="AT171" s="37"/>
      <c r="AU171" s="36"/>
      <c r="AV171" s="29"/>
      <c r="AW171" s="37" t="s">
        <v>1680</v>
      </c>
      <c r="AX171" s="39" t="s">
        <v>3653</v>
      </c>
      <c r="AY171" s="205" t="s">
        <v>3539</v>
      </c>
      <c r="AZ171" s="53" t="s">
        <v>2851</v>
      </c>
      <c r="BA171" s="88"/>
      <c r="BB171" s="224" t="s">
        <v>3541</v>
      </c>
      <c r="BC171" s="37" t="s">
        <v>3540</v>
      </c>
      <c r="BE171" s="72"/>
    </row>
    <row r="172" spans="1:59" ht="102" x14ac:dyDescent="0.25">
      <c r="A172" s="150">
        <v>57</v>
      </c>
      <c r="B172" s="51">
        <v>340</v>
      </c>
      <c r="C172" s="46" t="str">
        <f>'Initial Search'!D340</f>
        <v>Comprehensive Systems: A formal foundation for Multi-Model Consistency Management</v>
      </c>
      <c r="D172" s="49">
        <f>'Initial Search'!C340</f>
        <v>2021</v>
      </c>
      <c r="E172" s="49" t="str">
        <f>'Initial Search'!O340</f>
        <v>Stünkel et al.</v>
      </c>
      <c r="F172" s="40" t="str">
        <f>'Initial Search'!M340</f>
        <v>Accepted</v>
      </c>
      <c r="G172" s="40" t="str">
        <f>'Initial Search'!N340</f>
        <v>Approved</v>
      </c>
      <c r="H172" s="36" t="s">
        <v>1623</v>
      </c>
      <c r="I172" s="29"/>
      <c r="J172" s="29"/>
      <c r="K172" s="29"/>
      <c r="L172" s="53"/>
      <c r="M172" s="37"/>
      <c r="N172" s="36"/>
      <c r="O172" s="29"/>
      <c r="P172" s="29" t="s">
        <v>1623</v>
      </c>
      <c r="Q172" s="29"/>
      <c r="R172" s="29"/>
      <c r="S172" s="29"/>
      <c r="T172" s="37"/>
      <c r="U172" s="39" t="s">
        <v>1976</v>
      </c>
      <c r="V172" s="39"/>
      <c r="W172" s="39"/>
      <c r="X172" s="29" t="s">
        <v>1915</v>
      </c>
      <c r="Y172" s="42" t="s">
        <v>2258</v>
      </c>
      <c r="Z172" s="29" t="s">
        <v>1686</v>
      </c>
      <c r="AA172" s="29" t="s">
        <v>1877</v>
      </c>
      <c r="AB172" s="53" t="s">
        <v>3292</v>
      </c>
      <c r="AC172" s="29" t="s">
        <v>3244</v>
      </c>
      <c r="AD172" s="37"/>
      <c r="AE172" s="36" t="s">
        <v>3778</v>
      </c>
      <c r="AF172" s="37"/>
      <c r="AG172" s="39" t="s">
        <v>1778</v>
      </c>
      <c r="AH172" s="37"/>
      <c r="AI172" s="39" t="s">
        <v>3562</v>
      </c>
      <c r="AJ172" s="37"/>
      <c r="AK172" s="97" t="s">
        <v>2196</v>
      </c>
      <c r="AL172" s="89" t="s">
        <v>1670</v>
      </c>
      <c r="AM172" s="37"/>
      <c r="AN172" s="89" t="s">
        <v>1778</v>
      </c>
      <c r="AO172" s="37"/>
      <c r="AP172" s="36" t="s">
        <v>2146</v>
      </c>
      <c r="AQ172" s="37"/>
      <c r="AR172" s="39" t="s">
        <v>1709</v>
      </c>
      <c r="AS172" s="29"/>
      <c r="AT172" s="37"/>
      <c r="AU172" s="36"/>
      <c r="AV172" s="29"/>
      <c r="AW172" s="37"/>
      <c r="AX172" s="39" t="s">
        <v>3654</v>
      </c>
      <c r="AY172" s="205" t="s">
        <v>3510</v>
      </c>
      <c r="AZ172" s="53" t="s">
        <v>3509</v>
      </c>
      <c r="BA172" s="88" t="s">
        <v>3508</v>
      </c>
      <c r="BB172" s="224" t="s">
        <v>3511</v>
      </c>
      <c r="BC172" s="37" t="s">
        <v>3512</v>
      </c>
      <c r="BE172" s="72" t="s">
        <v>3507</v>
      </c>
    </row>
    <row r="173" spans="1:59" ht="122.25" customHeight="1" x14ac:dyDescent="0.25">
      <c r="A173" s="150">
        <v>55</v>
      </c>
      <c r="B173" s="51">
        <v>338</v>
      </c>
      <c r="C173" s="46" t="str">
        <f>'Initial Search'!D338</f>
        <v>Collaboratively enhanced consistency checking in a cloud-based engineering environment</v>
      </c>
      <c r="D173" s="49">
        <f>'Initial Search'!C338</f>
        <v>2019</v>
      </c>
      <c r="E173" s="49" t="str">
        <f>'Initial Search'!O338</f>
        <v>Tröls et al.</v>
      </c>
      <c r="F173" s="40" t="str">
        <f>'Initial Search'!M338</f>
        <v>Accepted</v>
      </c>
      <c r="G173" s="40" t="str">
        <f>'Initial Search'!N338</f>
        <v>Approved</v>
      </c>
      <c r="H173" s="36" t="s">
        <v>1623</v>
      </c>
      <c r="I173" s="29"/>
      <c r="J173" s="29"/>
      <c r="K173" s="29"/>
      <c r="L173" s="53"/>
      <c r="M173" s="37"/>
      <c r="N173" s="36"/>
      <c r="O173" s="29" t="s">
        <v>1623</v>
      </c>
      <c r="P173" s="29"/>
      <c r="Q173" s="29"/>
      <c r="R173" s="29"/>
      <c r="S173" s="29"/>
      <c r="T173" s="37"/>
      <c r="U173" s="39" t="s">
        <v>3517</v>
      </c>
      <c r="V173" s="39"/>
      <c r="W173" s="39"/>
      <c r="X173" s="29" t="s">
        <v>1710</v>
      </c>
      <c r="Y173" s="42" t="s">
        <v>2258</v>
      </c>
      <c r="Z173" s="29" t="s">
        <v>1685</v>
      </c>
      <c r="AA173" s="29" t="s">
        <v>1723</v>
      </c>
      <c r="AB173" s="53" t="s">
        <v>1712</v>
      </c>
      <c r="AC173" s="53" t="s">
        <v>3524</v>
      </c>
      <c r="AD173" s="37" t="s">
        <v>3525</v>
      </c>
      <c r="AE173" s="36" t="s">
        <v>1778</v>
      </c>
      <c r="AF173" s="37"/>
      <c r="AG173" s="39" t="s">
        <v>3254</v>
      </c>
      <c r="AH173" s="37" t="s">
        <v>3515</v>
      </c>
      <c r="AI173" s="39" t="s">
        <v>2588</v>
      </c>
      <c r="AJ173" s="37"/>
      <c r="AK173" s="97" t="s">
        <v>2197</v>
      </c>
      <c r="AL173" s="89" t="s">
        <v>1670</v>
      </c>
      <c r="AM173" s="37" t="s">
        <v>3516</v>
      </c>
      <c r="AN173" s="89" t="s">
        <v>1778</v>
      </c>
      <c r="AO173" s="37"/>
      <c r="AP173" s="36" t="s">
        <v>1801</v>
      </c>
      <c r="AQ173" s="37"/>
      <c r="AR173" s="39" t="s">
        <v>1743</v>
      </c>
      <c r="AS173" s="53" t="s">
        <v>3518</v>
      </c>
      <c r="AT173" s="37"/>
      <c r="AU173" s="36" t="s">
        <v>2267</v>
      </c>
      <c r="AV173" s="29" t="s">
        <v>3519</v>
      </c>
      <c r="AW173" s="37"/>
      <c r="AX173" s="39" t="s">
        <v>2851</v>
      </c>
      <c r="AY173" s="205"/>
      <c r="AZ173" s="53" t="s">
        <v>2851</v>
      </c>
      <c r="BA173" s="88"/>
      <c r="BB173" s="224" t="s">
        <v>3521</v>
      </c>
      <c r="BC173" s="37" t="s">
        <v>3522</v>
      </c>
      <c r="BE173" s="72" t="s">
        <v>3529</v>
      </c>
      <c r="BG173" s="72" t="s">
        <v>3526</v>
      </c>
    </row>
    <row r="174" spans="1:59" ht="51" x14ac:dyDescent="0.25">
      <c r="A174" s="150">
        <v>55</v>
      </c>
      <c r="B174" s="51">
        <v>353</v>
      </c>
      <c r="C174" s="46" t="str">
        <f>'Initial Search'!D353</f>
        <v>Timestamp-based Consistency Checking of Collaboratively Developed Engineering Artifacts</v>
      </c>
      <c r="D174" s="49">
        <f>'Initial Search'!C353</f>
        <v>2021</v>
      </c>
      <c r="E174" s="49" t="str">
        <f>'Initial Search'!O353</f>
        <v>Tröls et al.</v>
      </c>
      <c r="F174" s="40" t="str">
        <f>'Initial Search'!M353</f>
        <v>Accepted</v>
      </c>
      <c r="G174" s="40" t="str">
        <f>'Initial Search'!N353</f>
        <v>Approved</v>
      </c>
      <c r="H174" s="36" t="s">
        <v>1623</v>
      </c>
      <c r="I174" s="29"/>
      <c r="J174" s="29"/>
      <c r="K174" s="29"/>
      <c r="L174" s="53"/>
      <c r="M174" s="37" t="s">
        <v>3600</v>
      </c>
      <c r="N174" s="36"/>
      <c r="O174" s="29" t="s">
        <v>1623</v>
      </c>
      <c r="P174" s="29"/>
      <c r="Q174" s="29"/>
      <c r="R174" s="29"/>
      <c r="S174" s="29"/>
      <c r="T174" s="37"/>
      <c r="U174" s="39" t="s">
        <v>3528</v>
      </c>
      <c r="V174" s="39"/>
      <c r="W174" s="39"/>
      <c r="X174" s="29" t="s">
        <v>1710</v>
      </c>
      <c r="Y174" s="42" t="s">
        <v>2258</v>
      </c>
      <c r="Z174" s="29" t="s">
        <v>1685</v>
      </c>
      <c r="AA174" s="29" t="s">
        <v>1723</v>
      </c>
      <c r="AB174" s="53" t="s">
        <v>1712</v>
      </c>
      <c r="AC174" s="53" t="s">
        <v>3524</v>
      </c>
      <c r="AD174" s="37"/>
      <c r="AE174" s="36" t="s">
        <v>3763</v>
      </c>
      <c r="AF174" s="37"/>
      <c r="AG174" s="39" t="s">
        <v>3254</v>
      </c>
      <c r="AH174" s="37"/>
      <c r="AI174" s="39" t="s">
        <v>2588</v>
      </c>
      <c r="AJ174" s="37" t="s">
        <v>3527</v>
      </c>
      <c r="AK174" s="97" t="s">
        <v>2197</v>
      </c>
      <c r="AL174" s="89" t="s">
        <v>1670</v>
      </c>
      <c r="AM174" s="37"/>
      <c r="AN174" s="89" t="s">
        <v>1778</v>
      </c>
      <c r="AO174" s="37"/>
      <c r="AP174" s="36" t="s">
        <v>1801</v>
      </c>
      <c r="AQ174" s="37"/>
      <c r="AR174" s="39" t="s">
        <v>1743</v>
      </c>
      <c r="AS174" s="53" t="s">
        <v>3518</v>
      </c>
      <c r="AT174" s="37"/>
      <c r="AU174" s="36" t="s">
        <v>2267</v>
      </c>
      <c r="AV174" s="29" t="s">
        <v>3519</v>
      </c>
      <c r="AW174" s="37"/>
      <c r="AX174" s="39"/>
      <c r="AY174" s="205"/>
      <c r="AZ174" s="53" t="s">
        <v>2851</v>
      </c>
      <c r="BA174" s="88"/>
      <c r="BB174" s="224" t="s">
        <v>2851</v>
      </c>
      <c r="BC174" s="37"/>
      <c r="BE174" s="72" t="s">
        <v>3523</v>
      </c>
      <c r="BG174" s="72"/>
    </row>
    <row r="175" spans="1:59" ht="51" x14ac:dyDescent="0.25">
      <c r="A175" s="150">
        <v>55</v>
      </c>
      <c r="B175" s="51">
        <v>355</v>
      </c>
      <c r="C175" s="46" t="str">
        <f>'Initial Search'!D355</f>
        <v>Hierarchical Distribution of Consistency-relevant Changes in a Collaborative Engineering Environment</v>
      </c>
      <c r="D175" s="49">
        <f>'Initial Search'!C355</f>
        <v>2021</v>
      </c>
      <c r="E175" s="49" t="str">
        <f>'Initial Search'!O355</f>
        <v>Tröls et al.</v>
      </c>
      <c r="F175" s="40" t="str">
        <f>'Initial Search'!M355</f>
        <v>Accepted</v>
      </c>
      <c r="G175" s="40" t="str">
        <f>'Initial Search'!N355</f>
        <v>Approved</v>
      </c>
      <c r="H175" s="36" t="s">
        <v>1623</v>
      </c>
      <c r="I175" s="29"/>
      <c r="J175" s="29"/>
      <c r="K175" s="29"/>
      <c r="L175" s="53"/>
      <c r="M175" s="37"/>
      <c r="N175" s="36"/>
      <c r="O175" s="29" t="s">
        <v>1623</v>
      </c>
      <c r="P175" s="29"/>
      <c r="Q175" s="29"/>
      <c r="R175" s="29"/>
      <c r="S175" s="29"/>
      <c r="T175" s="37"/>
      <c r="U175" s="39" t="s">
        <v>3530</v>
      </c>
      <c r="V175" s="39"/>
      <c r="W175" s="39"/>
      <c r="X175" s="29" t="s">
        <v>1710</v>
      </c>
      <c r="Y175" s="42" t="s">
        <v>2258</v>
      </c>
      <c r="Z175" s="29" t="s">
        <v>1685</v>
      </c>
      <c r="AA175" s="29" t="s">
        <v>1723</v>
      </c>
      <c r="AB175" s="53" t="s">
        <v>1712</v>
      </c>
      <c r="AC175" s="53" t="s">
        <v>3524</v>
      </c>
      <c r="AD175" s="37" t="s">
        <v>3531</v>
      </c>
      <c r="AE175" s="36" t="s">
        <v>3763</v>
      </c>
      <c r="AF175" s="37"/>
      <c r="AG175" s="39" t="s">
        <v>3254</v>
      </c>
      <c r="AH175" s="37"/>
      <c r="AI175" s="39" t="s">
        <v>2588</v>
      </c>
      <c r="AJ175" s="37" t="s">
        <v>3532</v>
      </c>
      <c r="AK175" s="97" t="s">
        <v>2197</v>
      </c>
      <c r="AL175" s="89" t="s">
        <v>1670</v>
      </c>
      <c r="AM175" s="37"/>
      <c r="AN175" s="89" t="s">
        <v>1778</v>
      </c>
      <c r="AO175" s="37"/>
      <c r="AP175" s="36" t="s">
        <v>1801</v>
      </c>
      <c r="AQ175" s="37"/>
      <c r="AR175" s="39" t="s">
        <v>1743</v>
      </c>
      <c r="AS175" s="53" t="s">
        <v>3518</v>
      </c>
      <c r="AT175" s="37"/>
      <c r="AU175" s="36" t="s">
        <v>2267</v>
      </c>
      <c r="AV175" s="29" t="s">
        <v>3519</v>
      </c>
      <c r="AW175" s="37"/>
      <c r="AX175" s="39" t="s">
        <v>2851</v>
      </c>
      <c r="AY175" s="205" t="s">
        <v>3533</v>
      </c>
      <c r="AZ175" s="53" t="s">
        <v>2851</v>
      </c>
      <c r="BA175" s="88"/>
      <c r="BB175" s="224" t="s">
        <v>3566</v>
      </c>
      <c r="BC175" s="37" t="s">
        <v>3534</v>
      </c>
      <c r="BE175" s="72"/>
    </row>
    <row r="176" spans="1:59" ht="63.75" hidden="1" x14ac:dyDescent="0.25">
      <c r="A176" s="150"/>
      <c r="B176" s="51">
        <v>341</v>
      </c>
      <c r="C176" s="46" t="str">
        <f>'Initial Search'!D341</f>
        <v>Reasoning about Consistency in Model Merging</v>
      </c>
      <c r="D176" s="49">
        <f>'Initial Search'!C341</f>
        <v>2010</v>
      </c>
      <c r="E176" s="49" t="str">
        <f>'Initial Search'!O341</f>
        <v>Sabetzadeh et al.</v>
      </c>
      <c r="F176" s="40" t="str">
        <f>'Initial Search'!M341</f>
        <v>Accepted</v>
      </c>
      <c r="G176" s="40" t="str">
        <f>'Initial Search'!N341</f>
        <v>Disapproved</v>
      </c>
      <c r="H176" s="36"/>
      <c r="I176" s="29" t="s">
        <v>1623</v>
      </c>
      <c r="J176" s="29"/>
      <c r="K176" s="29"/>
      <c r="L176" s="53" t="s">
        <v>2274</v>
      </c>
      <c r="M176" s="37"/>
      <c r="N176" s="36"/>
      <c r="O176" s="29"/>
      <c r="P176" s="29"/>
      <c r="Q176" s="29"/>
      <c r="R176" s="29"/>
      <c r="S176" s="29" t="s">
        <v>1623</v>
      </c>
      <c r="T176" s="37"/>
      <c r="U176" s="39" t="s">
        <v>3544</v>
      </c>
      <c r="V176" s="39"/>
      <c r="W176" s="39"/>
      <c r="X176" s="29" t="s">
        <v>1915</v>
      </c>
      <c r="Y176" s="42" t="s">
        <v>2258</v>
      </c>
      <c r="Z176" s="29" t="s">
        <v>1686</v>
      </c>
      <c r="AA176" s="29" t="s">
        <v>1877</v>
      </c>
      <c r="AB176" s="53" t="s">
        <v>3494</v>
      </c>
      <c r="AC176" s="29" t="s">
        <v>3244</v>
      </c>
      <c r="AD176" s="37"/>
      <c r="AE176" s="36" t="s">
        <v>1778</v>
      </c>
      <c r="AF176" s="37"/>
      <c r="AG176" s="39" t="s">
        <v>2583</v>
      </c>
      <c r="AH176" s="37" t="s">
        <v>3545</v>
      </c>
      <c r="AI176" s="39" t="s">
        <v>1778</v>
      </c>
      <c r="AJ176" s="37"/>
      <c r="AK176" s="97" t="s">
        <v>1778</v>
      </c>
      <c r="AL176" s="89" t="s">
        <v>1778</v>
      </c>
      <c r="AM176" s="37"/>
      <c r="AN176" s="89" t="s">
        <v>1778</v>
      </c>
      <c r="AO176" s="37"/>
      <c r="AP176" s="36" t="s">
        <v>1778</v>
      </c>
      <c r="AQ176" s="37"/>
      <c r="AR176" s="39" t="s">
        <v>1709</v>
      </c>
      <c r="AS176" s="29" t="s">
        <v>1778</v>
      </c>
      <c r="AT176" s="37"/>
      <c r="AU176" s="36" t="s">
        <v>1778</v>
      </c>
      <c r="AV176" s="29" t="s">
        <v>1778</v>
      </c>
      <c r="AW176" s="37"/>
      <c r="AX176" s="39" t="s">
        <v>2851</v>
      </c>
      <c r="AY176" s="205"/>
      <c r="AZ176" s="53" t="s">
        <v>2851</v>
      </c>
      <c r="BA176" s="88"/>
      <c r="BB176" s="224" t="s">
        <v>3252</v>
      </c>
      <c r="BC176" s="37" t="s">
        <v>3546</v>
      </c>
      <c r="BE176" s="72"/>
    </row>
    <row r="177" spans="1:57" ht="76.5" x14ac:dyDescent="0.25">
      <c r="A177" s="150">
        <v>67</v>
      </c>
      <c r="B177" s="51">
        <v>344</v>
      </c>
      <c r="C177" s="46" t="str">
        <f>'Initial Search'!D344</f>
        <v>Analysis of inconsistency in graph-based viewpoints: a category-theoretical approach</v>
      </c>
      <c r="D177" s="49">
        <f>'Initial Search'!C344</f>
        <v>2003</v>
      </c>
      <c r="E177" s="49" t="str">
        <f>'Initial Search'!O344</f>
        <v>Fuzzy-Viewpoint</v>
      </c>
      <c r="F177" s="40" t="str">
        <f>'Initial Search'!M344</f>
        <v>Accepted</v>
      </c>
      <c r="G177" s="40" t="str">
        <f>'Initial Search'!N344</f>
        <v>Approved</v>
      </c>
      <c r="H177" s="36"/>
      <c r="I177" s="29"/>
      <c r="J177" s="29"/>
      <c r="K177" s="29"/>
      <c r="L177" s="53" t="s">
        <v>2274</v>
      </c>
      <c r="M177" s="37"/>
      <c r="N177" s="36"/>
      <c r="O177" s="29" t="s">
        <v>1623</v>
      </c>
      <c r="P177" s="29"/>
      <c r="Q177" s="29"/>
      <c r="R177" s="29"/>
      <c r="S177" s="29"/>
      <c r="T177" s="37"/>
      <c r="U177" s="39" t="s">
        <v>3550</v>
      </c>
      <c r="V177" s="39"/>
      <c r="W177" s="39"/>
      <c r="X177" s="29" t="s">
        <v>1915</v>
      </c>
      <c r="Y177" s="42" t="s">
        <v>2258</v>
      </c>
      <c r="Z177" s="29" t="s">
        <v>1686</v>
      </c>
      <c r="AA177" s="29" t="s">
        <v>1877</v>
      </c>
      <c r="AB177" s="53" t="s">
        <v>3494</v>
      </c>
      <c r="AC177" s="29" t="s">
        <v>1698</v>
      </c>
      <c r="AD177" s="37"/>
      <c r="AE177" s="36" t="s">
        <v>1976</v>
      </c>
      <c r="AF177" s="37" t="s">
        <v>3785</v>
      </c>
      <c r="AG177" s="39" t="s">
        <v>1778</v>
      </c>
      <c r="AH177" s="37"/>
      <c r="AI177" s="39" t="s">
        <v>3561</v>
      </c>
      <c r="AJ177" s="37" t="s">
        <v>3551</v>
      </c>
      <c r="AK177" s="97" t="s">
        <v>2196</v>
      </c>
      <c r="AL177" s="89" t="s">
        <v>1670</v>
      </c>
      <c r="AM177" s="37"/>
      <c r="AN177" s="89" t="s">
        <v>1778</v>
      </c>
      <c r="AO177" s="37"/>
      <c r="AP177" s="36" t="s">
        <v>2179</v>
      </c>
      <c r="AQ177" s="37"/>
      <c r="AR177" s="39" t="s">
        <v>1709</v>
      </c>
      <c r="AS177" s="29" t="s">
        <v>1778</v>
      </c>
      <c r="AT177" s="37"/>
      <c r="AU177" s="36" t="s">
        <v>1778</v>
      </c>
      <c r="AV177" s="29" t="s">
        <v>1778</v>
      </c>
      <c r="AW177" s="37"/>
      <c r="AX177" s="39" t="s">
        <v>3553</v>
      </c>
      <c r="AY177" s="205" t="s">
        <v>3552</v>
      </c>
      <c r="AZ177" s="53" t="s">
        <v>2851</v>
      </c>
      <c r="BA177" s="88"/>
      <c r="BB177" s="224" t="s">
        <v>3554</v>
      </c>
      <c r="BC177" s="37" t="s">
        <v>3555</v>
      </c>
      <c r="BE177" s="72"/>
    </row>
    <row r="178" spans="1:57" ht="51" x14ac:dyDescent="0.25">
      <c r="A178" s="150">
        <v>68</v>
      </c>
      <c r="B178" s="51">
        <v>346</v>
      </c>
      <c r="C178" s="46" t="str">
        <f>'Initial Search'!D346</f>
        <v>A framework for multi-valued reasoning over inconsistent viewpoints</v>
      </c>
      <c r="D178" s="49">
        <f>'Initial Search'!C346</f>
        <v>2001</v>
      </c>
      <c r="E178" s="49" t="str">
        <f>'Initial Search'!O346</f>
        <v>Xbel</v>
      </c>
      <c r="F178" s="40" t="str">
        <f>'Initial Search'!M346</f>
        <v>Accepted</v>
      </c>
      <c r="G178" s="40" t="str">
        <f>'Initial Search'!N346</f>
        <v>Approved</v>
      </c>
      <c r="H178" s="36"/>
      <c r="I178" s="29"/>
      <c r="J178" s="29"/>
      <c r="K178" s="29"/>
      <c r="L178" s="53" t="s">
        <v>3558</v>
      </c>
      <c r="M178" s="37" t="s">
        <v>3559</v>
      </c>
      <c r="N178" s="36"/>
      <c r="O178" s="29" t="s">
        <v>1623</v>
      </c>
      <c r="P178" s="29" t="s">
        <v>1623</v>
      </c>
      <c r="Q178" s="29"/>
      <c r="R178" s="29"/>
      <c r="S178" s="29"/>
      <c r="T178" s="37"/>
      <c r="U178" s="39" t="s">
        <v>1976</v>
      </c>
      <c r="V178" s="39"/>
      <c r="W178" s="39"/>
      <c r="X178" s="29" t="s">
        <v>1915</v>
      </c>
      <c r="Y178" s="42" t="s">
        <v>2258</v>
      </c>
      <c r="Z178" s="29" t="s">
        <v>1686</v>
      </c>
      <c r="AA178" s="29" t="s">
        <v>1877</v>
      </c>
      <c r="AB178" s="53" t="s">
        <v>2203</v>
      </c>
      <c r="AC178" s="29" t="s">
        <v>1698</v>
      </c>
      <c r="AD178" s="37"/>
      <c r="AE178" s="36" t="s">
        <v>1976</v>
      </c>
      <c r="AF178" s="37" t="s">
        <v>3812</v>
      </c>
      <c r="AG178" s="39" t="s">
        <v>1778</v>
      </c>
      <c r="AH178" s="37"/>
      <c r="AI178" s="39" t="s">
        <v>3561</v>
      </c>
      <c r="AJ178" s="37" t="s">
        <v>3560</v>
      </c>
      <c r="AK178" s="97" t="s">
        <v>2196</v>
      </c>
      <c r="AL178" s="89" t="s">
        <v>1670</v>
      </c>
      <c r="AM178" s="37"/>
      <c r="AN178" s="89" t="s">
        <v>1778</v>
      </c>
      <c r="AO178" s="37"/>
      <c r="AP178" s="36" t="s">
        <v>2146</v>
      </c>
      <c r="AQ178" s="37"/>
      <c r="AR178" s="39" t="s">
        <v>1743</v>
      </c>
      <c r="AS178" s="29" t="s">
        <v>1693</v>
      </c>
      <c r="AT178" s="37"/>
      <c r="AU178" s="36" t="s">
        <v>1679</v>
      </c>
      <c r="AV178" s="29" t="s">
        <v>1678</v>
      </c>
      <c r="AW178" s="37" t="s">
        <v>1680</v>
      </c>
      <c r="AX178" s="39" t="s">
        <v>2851</v>
      </c>
      <c r="AY178" s="205"/>
      <c r="AZ178" s="53" t="s">
        <v>2851</v>
      </c>
      <c r="BA178" s="88"/>
      <c r="BB178" s="224" t="s">
        <v>3656</v>
      </c>
      <c r="BC178" s="37" t="s">
        <v>3565</v>
      </c>
      <c r="BE178" s="72"/>
    </row>
    <row r="179" spans="1:57" ht="51" x14ac:dyDescent="0.25">
      <c r="A179" s="150">
        <v>66</v>
      </c>
      <c r="B179" s="51">
        <v>349</v>
      </c>
      <c r="C179" s="46" t="str">
        <f>'Initial Search'!D349</f>
        <v>Advanced Local Checking of Global Consistency in Heterogeneous Multimodeling</v>
      </c>
      <c r="D179" s="49">
        <f>'Initial Search'!C349</f>
        <v>2016</v>
      </c>
      <c r="E179" s="49" t="str">
        <f>'Initial Search'!O349</f>
        <v>LMM</v>
      </c>
      <c r="F179" s="40" t="str">
        <f>'Initial Search'!M349</f>
        <v>Accepted</v>
      </c>
      <c r="G179" s="40" t="str">
        <f>'Initial Search'!N349</f>
        <v>Approved</v>
      </c>
      <c r="H179" s="36" t="s">
        <v>1623</v>
      </c>
      <c r="I179" s="29"/>
      <c r="J179" s="29"/>
      <c r="K179" s="29"/>
      <c r="L179" s="53"/>
      <c r="M179" s="37" t="s">
        <v>3572</v>
      </c>
      <c r="N179" s="36"/>
      <c r="O179" s="29" t="s">
        <v>1623</v>
      </c>
      <c r="P179" s="29"/>
      <c r="Q179" s="29"/>
      <c r="R179" s="29"/>
      <c r="S179" s="29"/>
      <c r="T179" s="37" t="s">
        <v>3571</v>
      </c>
      <c r="U179" s="39"/>
      <c r="V179" s="39"/>
      <c r="W179" s="39"/>
      <c r="X179" s="29" t="s">
        <v>1915</v>
      </c>
      <c r="Y179" s="42" t="s">
        <v>2258</v>
      </c>
      <c r="Z179" s="29" t="s">
        <v>1686</v>
      </c>
      <c r="AA179" s="29" t="s">
        <v>1877</v>
      </c>
      <c r="AB179" s="53" t="s">
        <v>3494</v>
      </c>
      <c r="AC179" s="29" t="s">
        <v>1698</v>
      </c>
      <c r="AD179" s="37"/>
      <c r="AE179" s="36" t="s">
        <v>3778</v>
      </c>
      <c r="AF179" s="37"/>
      <c r="AG179" s="39" t="s">
        <v>3491</v>
      </c>
      <c r="AH179" s="37"/>
      <c r="AI179" s="39" t="s">
        <v>1778</v>
      </c>
      <c r="AJ179" s="37"/>
      <c r="AK179" s="97" t="s">
        <v>1778</v>
      </c>
      <c r="AL179" s="89" t="s">
        <v>1778</v>
      </c>
      <c r="AM179" s="37"/>
      <c r="AN179" s="89" t="s">
        <v>1623</v>
      </c>
      <c r="AO179" s="37"/>
      <c r="AP179" s="36" t="s">
        <v>1778</v>
      </c>
      <c r="AQ179" s="37"/>
      <c r="AR179" s="39" t="s">
        <v>1709</v>
      </c>
      <c r="AS179" s="29" t="s">
        <v>1778</v>
      </c>
      <c r="AT179" s="37"/>
      <c r="AU179" s="36"/>
      <c r="AV179" s="29"/>
      <c r="AW179" s="37" t="s">
        <v>1680</v>
      </c>
      <c r="AX179" s="39" t="s">
        <v>3497</v>
      </c>
      <c r="AY179" s="205"/>
      <c r="AZ179" s="53" t="s">
        <v>2851</v>
      </c>
      <c r="BA179" s="88"/>
      <c r="BB179" s="224" t="s">
        <v>3574</v>
      </c>
      <c r="BC179" s="37" t="s">
        <v>3573</v>
      </c>
      <c r="BE179" s="72" t="s">
        <v>3570</v>
      </c>
    </row>
    <row r="180" spans="1:57" ht="135" hidden="1" x14ac:dyDescent="0.25">
      <c r="A180" s="150"/>
      <c r="B180" s="51">
        <v>352</v>
      </c>
      <c r="C180" s="46" t="str">
        <f>'Initial Search'!D352</f>
        <v>Managing inter-model inconsistencies in model-based systems engineering: Application in automated production systems engineering</v>
      </c>
      <c r="D180" s="49">
        <f>'Initial Search'!C352</f>
        <v>2019</v>
      </c>
      <c r="E180" s="49" t="str">
        <f>'Initial Search'!O352</f>
        <v>PaMoMo</v>
      </c>
      <c r="F180" s="40" t="str">
        <f>'Initial Search'!M352</f>
        <v>Rejected</v>
      </c>
      <c r="G180" s="40">
        <f>'Initial Search'!N352</f>
        <v>0</v>
      </c>
      <c r="H180" s="36"/>
      <c r="I180" s="29"/>
      <c r="J180" s="29" t="s">
        <v>1623</v>
      </c>
      <c r="K180" s="29"/>
      <c r="L180" s="53"/>
      <c r="M180" s="37"/>
      <c r="N180" s="36"/>
      <c r="O180" s="29" t="s">
        <v>1623</v>
      </c>
      <c r="P180" s="29"/>
      <c r="Q180" s="29"/>
      <c r="R180" s="29"/>
      <c r="S180" s="29"/>
      <c r="T180" s="37"/>
      <c r="U180" s="39" t="s">
        <v>3576</v>
      </c>
      <c r="V180" s="39"/>
      <c r="W180" s="39"/>
      <c r="X180" s="29" t="s">
        <v>1915</v>
      </c>
      <c r="Y180" s="42" t="s">
        <v>2258</v>
      </c>
      <c r="Z180" s="29" t="s">
        <v>1686</v>
      </c>
      <c r="AA180" s="29" t="s">
        <v>1877</v>
      </c>
      <c r="AB180" s="53" t="s">
        <v>1670</v>
      </c>
      <c r="AC180" s="29" t="s">
        <v>2683</v>
      </c>
      <c r="AD180" s="37" t="s">
        <v>3579</v>
      </c>
      <c r="AE180" s="36" t="s">
        <v>2575</v>
      </c>
      <c r="AF180" s="37" t="s">
        <v>3578</v>
      </c>
      <c r="AG180" s="39" t="s">
        <v>1778</v>
      </c>
      <c r="AH180" s="37"/>
      <c r="AI180" s="39" t="s">
        <v>2588</v>
      </c>
      <c r="AJ180" s="37" t="s">
        <v>3577</v>
      </c>
      <c r="AK180" s="97" t="s">
        <v>2197</v>
      </c>
      <c r="AL180" s="89" t="s">
        <v>1792</v>
      </c>
      <c r="AM180" s="37" t="s">
        <v>3580</v>
      </c>
      <c r="AN180" s="89" t="s">
        <v>1623</v>
      </c>
      <c r="AO180" s="37" t="s">
        <v>3581</v>
      </c>
      <c r="AP180" s="36" t="s">
        <v>2146</v>
      </c>
      <c r="AQ180" s="37"/>
      <c r="AR180" s="39" t="s">
        <v>1743</v>
      </c>
      <c r="AS180" s="29" t="s">
        <v>1693</v>
      </c>
      <c r="AT180" s="37"/>
      <c r="AU180" s="36" t="s">
        <v>2267</v>
      </c>
      <c r="AV180" s="29"/>
      <c r="AW180" s="37" t="s">
        <v>1680</v>
      </c>
      <c r="AX180" s="39" t="s">
        <v>3582</v>
      </c>
      <c r="AY180" s="205" t="s">
        <v>3584</v>
      </c>
      <c r="AZ180" s="53" t="s">
        <v>2851</v>
      </c>
      <c r="BA180" s="88"/>
      <c r="BB180" s="224" t="s">
        <v>3586</v>
      </c>
      <c r="BC180" s="37" t="s">
        <v>3585</v>
      </c>
      <c r="BE180" s="72" t="s">
        <v>3583</v>
      </c>
    </row>
    <row r="181" spans="1:57" ht="45" x14ac:dyDescent="0.25">
      <c r="A181" s="150">
        <v>27</v>
      </c>
      <c r="B181" s="51">
        <v>365</v>
      </c>
      <c r="C181" s="46" t="str">
        <f>'Initial Search'!D365</f>
        <v>variED: an editor for collaborative, real-time feature modeling</v>
      </c>
      <c r="D181" s="49">
        <f>'Initial Search'!C365</f>
        <v>2020</v>
      </c>
      <c r="E181" s="49" t="str">
        <f>'Initial Search'!O365</f>
        <v>variED</v>
      </c>
      <c r="F181" s="40" t="str">
        <f>'Initial Search'!M365</f>
        <v>Accepted</v>
      </c>
      <c r="G181" s="40" t="str">
        <f>'Initial Search'!N365</f>
        <v>Approved</v>
      </c>
      <c r="H181" s="36"/>
      <c r="I181" s="29"/>
      <c r="J181" s="29"/>
      <c r="K181" s="29"/>
      <c r="L181" s="53" t="s">
        <v>2162</v>
      </c>
      <c r="M181" s="37"/>
      <c r="N181" s="36"/>
      <c r="O181" s="29" t="s">
        <v>1623</v>
      </c>
      <c r="P181" s="29"/>
      <c r="Q181" s="29"/>
      <c r="R181" s="29"/>
      <c r="S181" s="29"/>
      <c r="T181" s="37"/>
      <c r="U181" s="39" t="s">
        <v>1976</v>
      </c>
      <c r="V181" s="39"/>
      <c r="W181" s="39"/>
      <c r="X181" s="29" t="s">
        <v>1710</v>
      </c>
      <c r="Y181" s="42" t="s">
        <v>2258</v>
      </c>
      <c r="Z181" s="29" t="s">
        <v>1685</v>
      </c>
      <c r="AA181" s="29" t="s">
        <v>1723</v>
      </c>
      <c r="AB181" s="53" t="s">
        <v>1712</v>
      </c>
      <c r="AC181" s="53" t="s">
        <v>1698</v>
      </c>
      <c r="AD181" s="37"/>
      <c r="AE181" s="36" t="s">
        <v>1976</v>
      </c>
      <c r="AF181" s="37"/>
      <c r="AG181" s="39" t="s">
        <v>1778</v>
      </c>
      <c r="AH181" s="37"/>
      <c r="AI181" s="39" t="s">
        <v>1833</v>
      </c>
      <c r="AJ181" s="37" t="s">
        <v>3602</v>
      </c>
      <c r="AK181" s="97" t="s">
        <v>2197</v>
      </c>
      <c r="AL181" s="89" t="s">
        <v>1792</v>
      </c>
      <c r="AM181" s="37" t="s">
        <v>3754</v>
      </c>
      <c r="AN181" s="89" t="s">
        <v>1778</v>
      </c>
      <c r="AO181" s="37"/>
      <c r="AP181" s="36" t="s">
        <v>1801</v>
      </c>
      <c r="AQ181" s="37"/>
      <c r="AR181" s="39" t="s">
        <v>1743</v>
      </c>
      <c r="AS181" s="29" t="s">
        <v>2216</v>
      </c>
      <c r="AT181" s="37"/>
      <c r="AU181" s="36" t="s">
        <v>1778</v>
      </c>
      <c r="AV181" s="29"/>
      <c r="AW181" s="37" t="s">
        <v>1680</v>
      </c>
      <c r="AX181" s="39" t="s">
        <v>2851</v>
      </c>
      <c r="AY181" s="205"/>
      <c r="AZ181" s="53" t="s">
        <v>2851</v>
      </c>
      <c r="BA181" s="88"/>
      <c r="BB181" s="224" t="s">
        <v>3604</v>
      </c>
      <c r="BC181" s="37" t="s">
        <v>3603</v>
      </c>
      <c r="BE181" s="72" t="s">
        <v>3601</v>
      </c>
    </row>
    <row r="182" spans="1:57" ht="63.75" x14ac:dyDescent="0.25">
      <c r="A182" s="150">
        <v>69</v>
      </c>
      <c r="B182" s="51">
        <v>368</v>
      </c>
      <c r="C182" s="46" t="str">
        <f>'Initial Search'!D368</f>
        <v>A Precedence-Driven Approach for Concurrent Model Synchronization Scenarios using Triple Graph Grammars</v>
      </c>
      <c r="D182" s="49">
        <f>'Initial Search'!C368</f>
        <v>2020</v>
      </c>
      <c r="E182" s="49" t="str">
        <f>'Initial Search'!O368</f>
        <v>eMoflon</v>
      </c>
      <c r="F182" s="40" t="str">
        <f>'Initial Search'!M368</f>
        <v>Accepted</v>
      </c>
      <c r="G182" s="40" t="str">
        <f>'Initial Search'!N368</f>
        <v>Approved</v>
      </c>
      <c r="H182" s="36"/>
      <c r="I182" s="29"/>
      <c r="J182" s="29"/>
      <c r="K182" s="29"/>
      <c r="L182" s="53" t="s">
        <v>2274</v>
      </c>
      <c r="M182" s="37"/>
      <c r="N182" s="36"/>
      <c r="O182" s="29" t="s">
        <v>1623</v>
      </c>
      <c r="P182" s="29"/>
      <c r="Q182" s="29"/>
      <c r="R182" s="29"/>
      <c r="S182" s="29"/>
      <c r="T182" s="37" t="s">
        <v>3608</v>
      </c>
      <c r="U182" s="39" t="s">
        <v>2643</v>
      </c>
      <c r="V182" s="39"/>
      <c r="W182" s="39" t="s">
        <v>1623</v>
      </c>
      <c r="X182" s="29" t="s">
        <v>1710</v>
      </c>
      <c r="Y182" s="42" t="s">
        <v>2258</v>
      </c>
      <c r="Z182" s="29" t="s">
        <v>1685</v>
      </c>
      <c r="AA182" s="29" t="s">
        <v>1723</v>
      </c>
      <c r="AB182" s="53" t="s">
        <v>1863</v>
      </c>
      <c r="AC182" s="29" t="s">
        <v>1698</v>
      </c>
      <c r="AD182" s="37"/>
      <c r="AE182" s="36" t="s">
        <v>2575</v>
      </c>
      <c r="AF182" s="37" t="s">
        <v>3786</v>
      </c>
      <c r="AG182" s="39" t="s">
        <v>1778</v>
      </c>
      <c r="AH182" s="37"/>
      <c r="AI182" s="39" t="s">
        <v>2091</v>
      </c>
      <c r="AJ182" s="37" t="s">
        <v>3607</v>
      </c>
      <c r="AK182" s="97" t="s">
        <v>2197</v>
      </c>
      <c r="AL182" s="89" t="s">
        <v>2260</v>
      </c>
      <c r="AM182" s="37" t="s">
        <v>3609</v>
      </c>
      <c r="AN182" s="89" t="s">
        <v>1778</v>
      </c>
      <c r="AO182" s="37"/>
      <c r="AP182" s="36" t="s">
        <v>1778</v>
      </c>
      <c r="AQ182" s="37"/>
      <c r="AR182" s="39" t="s">
        <v>1743</v>
      </c>
      <c r="AS182" s="29" t="s">
        <v>1693</v>
      </c>
      <c r="AT182" s="37"/>
      <c r="AU182" s="36" t="s">
        <v>1679</v>
      </c>
      <c r="AV182" s="29" t="s">
        <v>1677</v>
      </c>
      <c r="AW182" s="37" t="s">
        <v>1680</v>
      </c>
      <c r="AX182" s="39" t="s">
        <v>2851</v>
      </c>
      <c r="AY182" s="205"/>
      <c r="AZ182" s="53" t="s">
        <v>2851</v>
      </c>
      <c r="BA182" s="88"/>
      <c r="BB182" s="224" t="s">
        <v>3610</v>
      </c>
      <c r="BC182" s="37" t="s">
        <v>3611</v>
      </c>
      <c r="BE182" s="72"/>
    </row>
    <row r="183" spans="1:57" ht="51" x14ac:dyDescent="0.25">
      <c r="A183" s="150">
        <v>55</v>
      </c>
      <c r="B183" s="51">
        <v>370</v>
      </c>
      <c r="C183" s="46" t="str">
        <f>'Initial Search'!D370</f>
        <v>Instant distribution of consistency-relevant change information in a hierarchical multi-developer engineering environment</v>
      </c>
      <c r="D183" s="49">
        <f>'Initial Search'!C370</f>
        <v>2021</v>
      </c>
      <c r="E183" s="49" t="str">
        <f>'Initial Search'!O370</f>
        <v>Tröls et al.</v>
      </c>
      <c r="F183" s="40" t="str">
        <f>'Initial Search'!M370</f>
        <v>Accepted</v>
      </c>
      <c r="G183" s="40" t="str">
        <f>'Initial Search'!N370</f>
        <v>Approved</v>
      </c>
      <c r="H183" s="36" t="s">
        <v>1623</v>
      </c>
      <c r="I183" s="29"/>
      <c r="J183" s="29"/>
      <c r="K183" s="29"/>
      <c r="L183" s="53"/>
      <c r="M183" s="37"/>
      <c r="N183" s="36"/>
      <c r="O183" s="29" t="s">
        <v>1623</v>
      </c>
      <c r="P183" s="29"/>
      <c r="Q183" s="29"/>
      <c r="R183" s="29"/>
      <c r="S183" s="29"/>
      <c r="T183" s="37"/>
      <c r="U183" s="39" t="s">
        <v>3640</v>
      </c>
      <c r="V183" s="39"/>
      <c r="W183" s="39"/>
      <c r="X183" s="29" t="s">
        <v>1710</v>
      </c>
      <c r="Y183" s="42" t="s">
        <v>2258</v>
      </c>
      <c r="Z183" s="29" t="s">
        <v>1685</v>
      </c>
      <c r="AA183" s="29" t="s">
        <v>1723</v>
      </c>
      <c r="AB183" s="53" t="s">
        <v>1712</v>
      </c>
      <c r="AC183" s="53" t="s">
        <v>3524</v>
      </c>
      <c r="AD183" s="37"/>
      <c r="AE183" s="36" t="s">
        <v>1778</v>
      </c>
      <c r="AF183" s="37"/>
      <c r="AG183" s="39" t="s">
        <v>1778</v>
      </c>
      <c r="AH183" s="37"/>
      <c r="AI183" s="39" t="s">
        <v>2588</v>
      </c>
      <c r="AJ183" s="37" t="s">
        <v>3641</v>
      </c>
      <c r="AK183" s="97" t="s">
        <v>2197</v>
      </c>
      <c r="AL183" s="89" t="s">
        <v>1670</v>
      </c>
      <c r="AM183" s="37"/>
      <c r="AN183" s="89" t="s">
        <v>1778</v>
      </c>
      <c r="AO183" s="37"/>
      <c r="AP183" s="36" t="s">
        <v>1801</v>
      </c>
      <c r="AQ183" s="37"/>
      <c r="AR183" s="39" t="s">
        <v>1743</v>
      </c>
      <c r="AS183" s="29" t="s">
        <v>1778</v>
      </c>
      <c r="AT183" s="37"/>
      <c r="AU183" s="36" t="s">
        <v>2267</v>
      </c>
      <c r="AV183" s="29" t="s">
        <v>1677</v>
      </c>
      <c r="AW183" s="37"/>
      <c r="AX183" s="39" t="s">
        <v>2851</v>
      </c>
      <c r="AY183" s="205"/>
      <c r="AZ183" s="53" t="s">
        <v>2851</v>
      </c>
      <c r="BA183" s="88"/>
      <c r="BB183" s="224" t="s">
        <v>3566</v>
      </c>
      <c r="BC183" s="37" t="s">
        <v>3642</v>
      </c>
      <c r="BE183" s="72"/>
    </row>
    <row r="184" spans="1:57" hidden="1" x14ac:dyDescent="0.25">
      <c r="A184" s="150"/>
      <c r="B184" s="51"/>
      <c r="C184" s="46"/>
      <c r="D184" s="49"/>
      <c r="E184" s="49"/>
      <c r="F184" s="40"/>
      <c r="G184" s="40"/>
      <c r="H184" s="36"/>
      <c r="I184" s="29"/>
      <c r="J184" s="29"/>
      <c r="K184" s="29"/>
      <c r="L184" s="53"/>
      <c r="M184" s="37"/>
      <c r="N184" s="36"/>
      <c r="O184" s="29"/>
      <c r="P184" s="29"/>
      <c r="Q184" s="29"/>
      <c r="R184" s="29"/>
      <c r="S184" s="29"/>
      <c r="T184" s="37"/>
      <c r="U184" s="39"/>
      <c r="V184" s="39"/>
      <c r="W184" s="39"/>
      <c r="X184" s="29"/>
      <c r="Y184" s="42"/>
      <c r="Z184" s="29"/>
      <c r="AA184" s="29"/>
      <c r="AB184" s="53"/>
      <c r="AC184" s="29"/>
      <c r="AD184" s="37"/>
      <c r="AE184" s="36"/>
      <c r="AF184" s="37"/>
      <c r="AG184" s="39"/>
      <c r="AH184" s="37"/>
      <c r="AI184" s="39"/>
      <c r="AJ184" s="37"/>
      <c r="AK184" s="97"/>
      <c r="AL184" s="89"/>
      <c r="AM184" s="37"/>
      <c r="AN184" s="89"/>
      <c r="AO184" s="37"/>
      <c r="AP184" s="36"/>
      <c r="AQ184" s="37"/>
      <c r="AR184" s="39"/>
      <c r="AS184" s="29"/>
      <c r="AT184" s="37"/>
      <c r="AU184" s="36"/>
      <c r="AV184" s="29"/>
      <c r="AW184" s="37"/>
      <c r="AX184" s="39"/>
      <c r="AY184" s="205"/>
      <c r="AZ184" s="53"/>
      <c r="BA184" s="88"/>
      <c r="BB184" s="224"/>
      <c r="BC184" s="37"/>
      <c r="BE184" s="72"/>
    </row>
    <row r="185" spans="1:57" x14ac:dyDescent="0.25">
      <c r="AN185" s="90"/>
      <c r="AO185" s="90"/>
    </row>
    <row r="186" spans="1:57" x14ac:dyDescent="0.25">
      <c r="AN186" s="90"/>
      <c r="AO186" s="90"/>
    </row>
    <row r="187" spans="1:57" x14ac:dyDescent="0.25">
      <c r="AN187" s="90"/>
      <c r="AO187" s="90"/>
    </row>
    <row r="188" spans="1:57" x14ac:dyDescent="0.25">
      <c r="AN188" s="90"/>
      <c r="AO188" s="90"/>
    </row>
    <row r="189" spans="1:57" x14ac:dyDescent="0.25">
      <c r="AN189" s="90"/>
      <c r="AO189" s="90"/>
    </row>
    <row r="190" spans="1:57" x14ac:dyDescent="0.25">
      <c r="AN190" s="90"/>
      <c r="AO190" s="90"/>
    </row>
    <row r="191" spans="1:57" x14ac:dyDescent="0.25">
      <c r="AN191" s="90"/>
      <c r="AO191" s="90"/>
    </row>
    <row r="192" spans="1:57" x14ac:dyDescent="0.25">
      <c r="AN192" s="90"/>
      <c r="AO192" s="90"/>
    </row>
    <row r="193" spans="40:41" x14ac:dyDescent="0.25">
      <c r="AN193" s="90"/>
      <c r="AO193" s="90"/>
    </row>
    <row r="194" spans="40:41" x14ac:dyDescent="0.25">
      <c r="AN194" s="90"/>
      <c r="AO194" s="90"/>
    </row>
    <row r="195" spans="40:41" x14ac:dyDescent="0.25">
      <c r="AN195" s="90"/>
      <c r="AO195" s="90"/>
    </row>
    <row r="196" spans="40:41" x14ac:dyDescent="0.25">
      <c r="AN196" s="90"/>
      <c r="AO196" s="90"/>
    </row>
    <row r="197" spans="40:41" x14ac:dyDescent="0.25">
      <c r="AN197" s="90"/>
      <c r="AO197" s="90"/>
    </row>
    <row r="198" spans="40:41" x14ac:dyDescent="0.25">
      <c r="AN198" s="90"/>
      <c r="AO198" s="90"/>
    </row>
    <row r="199" spans="40:41" x14ac:dyDescent="0.25">
      <c r="AN199" s="90"/>
      <c r="AO199" s="90"/>
    </row>
    <row r="200" spans="40:41" x14ac:dyDescent="0.25">
      <c r="AN200" s="90"/>
      <c r="AO200" s="90"/>
    </row>
    <row r="201" spans="40:41" x14ac:dyDescent="0.25">
      <c r="AN201" s="90"/>
      <c r="AO201" s="90"/>
    </row>
    <row r="202" spans="40:41" x14ac:dyDescent="0.25">
      <c r="AN202" s="90"/>
      <c r="AO202" s="90"/>
    </row>
    <row r="203" spans="40:41" x14ac:dyDescent="0.25">
      <c r="AN203" s="90"/>
      <c r="AO203" s="90"/>
    </row>
    <row r="204" spans="40:41" x14ac:dyDescent="0.25">
      <c r="AN204" s="90"/>
      <c r="AO204" s="90"/>
    </row>
    <row r="205" spans="40:41" x14ac:dyDescent="0.25">
      <c r="AN205" s="90"/>
      <c r="AO205" s="90"/>
    </row>
    <row r="206" spans="40:41" x14ac:dyDescent="0.25">
      <c r="AN206" s="90"/>
      <c r="AO206" s="90"/>
    </row>
    <row r="207" spans="40:41" x14ac:dyDescent="0.25">
      <c r="AN207" s="90"/>
      <c r="AO207" s="90"/>
    </row>
    <row r="208" spans="40:41" x14ac:dyDescent="0.25">
      <c r="AN208" s="90"/>
      <c r="AO208" s="90"/>
    </row>
    <row r="209" spans="40:41" x14ac:dyDescent="0.25">
      <c r="AN209" s="90"/>
      <c r="AO209" s="90"/>
    </row>
    <row r="210" spans="40:41" x14ac:dyDescent="0.25">
      <c r="AN210" s="90"/>
      <c r="AO210" s="90"/>
    </row>
    <row r="211" spans="40:41" x14ac:dyDescent="0.25">
      <c r="AN211" s="90"/>
      <c r="AO211" s="90"/>
    </row>
    <row r="212" spans="40:41" x14ac:dyDescent="0.25">
      <c r="AN212" s="90"/>
      <c r="AO212" s="90"/>
    </row>
    <row r="213" spans="40:41" x14ac:dyDescent="0.25">
      <c r="AN213" s="90"/>
      <c r="AO213" s="90"/>
    </row>
    <row r="214" spans="40:41" x14ac:dyDescent="0.25">
      <c r="AN214" s="90"/>
      <c r="AO214" s="90"/>
    </row>
    <row r="215" spans="40:41" x14ac:dyDescent="0.25">
      <c r="AN215" s="90"/>
      <c r="AO215" s="90"/>
    </row>
    <row r="216" spans="40:41" x14ac:dyDescent="0.25">
      <c r="AN216" s="90"/>
      <c r="AO216" s="90"/>
    </row>
    <row r="217" spans="40:41" x14ac:dyDescent="0.25">
      <c r="AN217" s="90"/>
      <c r="AO217" s="90"/>
    </row>
    <row r="218" spans="40:41" x14ac:dyDescent="0.25">
      <c r="AN218" s="90"/>
      <c r="AO218" s="90"/>
    </row>
    <row r="219" spans="40:41" x14ac:dyDescent="0.25">
      <c r="AN219" s="90"/>
      <c r="AO219" s="90"/>
    </row>
    <row r="220" spans="40:41" x14ac:dyDescent="0.25">
      <c r="AN220" s="90"/>
      <c r="AO220" s="90"/>
    </row>
    <row r="221" spans="40:41" x14ac:dyDescent="0.25">
      <c r="AN221" s="90"/>
      <c r="AO221" s="90"/>
    </row>
    <row r="222" spans="40:41" x14ac:dyDescent="0.25">
      <c r="AN222" s="90"/>
      <c r="AO222" s="90"/>
    </row>
    <row r="223" spans="40:41" x14ac:dyDescent="0.25">
      <c r="AN223" s="90"/>
      <c r="AO223" s="90"/>
    </row>
    <row r="224" spans="40:41" x14ac:dyDescent="0.25">
      <c r="AN224" s="90"/>
      <c r="AO224" s="90"/>
    </row>
    <row r="225" spans="40:41" x14ac:dyDescent="0.25">
      <c r="AN225" s="90"/>
      <c r="AO225" s="90"/>
    </row>
    <row r="226" spans="40:41" x14ac:dyDescent="0.25">
      <c r="AN226" s="90"/>
      <c r="AO226" s="90"/>
    </row>
    <row r="227" spans="40:41" x14ac:dyDescent="0.25">
      <c r="AN227" s="90"/>
      <c r="AO227" s="90"/>
    </row>
    <row r="228" spans="40:41" x14ac:dyDescent="0.25">
      <c r="AN228" s="90"/>
      <c r="AO228" s="90"/>
    </row>
    <row r="229" spans="40:41" x14ac:dyDescent="0.25">
      <c r="AN229" s="90"/>
      <c r="AO229" s="90"/>
    </row>
    <row r="230" spans="40:41" x14ac:dyDescent="0.25">
      <c r="AN230" s="90"/>
      <c r="AO230" s="90"/>
    </row>
    <row r="231" spans="40:41" x14ac:dyDescent="0.25">
      <c r="AN231" s="90"/>
      <c r="AO231" s="90"/>
    </row>
    <row r="232" spans="40:41" x14ac:dyDescent="0.25">
      <c r="AN232" s="90"/>
      <c r="AO232" s="90"/>
    </row>
    <row r="233" spans="40:41" x14ac:dyDescent="0.25">
      <c r="AN233" s="90"/>
      <c r="AO233" s="90"/>
    </row>
    <row r="234" spans="40:41" x14ac:dyDescent="0.25">
      <c r="AN234" s="90"/>
      <c r="AO234" s="90"/>
    </row>
    <row r="235" spans="40:41" x14ac:dyDescent="0.25">
      <c r="AN235" s="90"/>
      <c r="AO235" s="90"/>
    </row>
    <row r="236" spans="40:41" x14ac:dyDescent="0.25">
      <c r="AN236" s="90"/>
      <c r="AO236" s="90"/>
    </row>
    <row r="237" spans="40:41" x14ac:dyDescent="0.25">
      <c r="AN237" s="90"/>
      <c r="AO237" s="90"/>
    </row>
    <row r="238" spans="40:41" x14ac:dyDescent="0.25">
      <c r="AN238" s="90"/>
      <c r="AO238" s="90"/>
    </row>
    <row r="239" spans="40:41" x14ac:dyDescent="0.25">
      <c r="AN239" s="90"/>
      <c r="AO239" s="90"/>
    </row>
    <row r="240" spans="40:41" x14ac:dyDescent="0.25">
      <c r="AN240" s="90"/>
      <c r="AO240" s="90"/>
    </row>
    <row r="241" spans="40:41" x14ac:dyDescent="0.25">
      <c r="AN241" s="90"/>
      <c r="AO241" s="90"/>
    </row>
    <row r="242" spans="40:41" x14ac:dyDescent="0.25">
      <c r="AN242" s="90"/>
      <c r="AO242" s="90"/>
    </row>
    <row r="243" spans="40:41" x14ac:dyDescent="0.25">
      <c r="AN243" s="90"/>
      <c r="AO243" s="90"/>
    </row>
    <row r="244" spans="40:41" x14ac:dyDescent="0.25">
      <c r="AN244" s="90"/>
      <c r="AO244" s="90"/>
    </row>
    <row r="245" spans="40:41" x14ac:dyDescent="0.25">
      <c r="AN245" s="90"/>
      <c r="AO245" s="90"/>
    </row>
    <row r="246" spans="40:41" x14ac:dyDescent="0.25">
      <c r="AN246" s="90"/>
      <c r="AO246" s="90"/>
    </row>
    <row r="247" spans="40:41" x14ac:dyDescent="0.25">
      <c r="AN247" s="90"/>
      <c r="AO247" s="90"/>
    </row>
    <row r="248" spans="40:41" x14ac:dyDescent="0.25">
      <c r="AN248" s="90"/>
      <c r="AO248" s="90"/>
    </row>
    <row r="249" spans="40:41" x14ac:dyDescent="0.25">
      <c r="AN249" s="90"/>
      <c r="AO249" s="90"/>
    </row>
    <row r="250" spans="40:41" x14ac:dyDescent="0.25">
      <c r="AN250" s="90"/>
      <c r="AO250" s="90"/>
    </row>
    <row r="251" spans="40:41" x14ac:dyDescent="0.25">
      <c r="AN251" s="90"/>
      <c r="AO251" s="90"/>
    </row>
    <row r="252" spans="40:41" x14ac:dyDescent="0.25">
      <c r="AN252" s="90"/>
      <c r="AO252" s="90"/>
    </row>
    <row r="253" spans="40:41" x14ac:dyDescent="0.25">
      <c r="AN253" s="90"/>
      <c r="AO253" s="90"/>
    </row>
    <row r="254" spans="40:41" x14ac:dyDescent="0.25">
      <c r="AN254" s="90"/>
      <c r="AO254" s="90"/>
    </row>
    <row r="255" spans="40:41" x14ac:dyDescent="0.25">
      <c r="AN255" s="90"/>
      <c r="AO255" s="90"/>
    </row>
    <row r="256" spans="40:41" x14ac:dyDescent="0.25">
      <c r="AN256" s="90"/>
      <c r="AO256" s="90"/>
    </row>
    <row r="257" spans="40:41" x14ac:dyDescent="0.25">
      <c r="AN257" s="90"/>
      <c r="AO257" s="90"/>
    </row>
    <row r="258" spans="40:41" x14ac:dyDescent="0.25">
      <c r="AN258" s="90"/>
      <c r="AO258" s="90"/>
    </row>
    <row r="259" spans="40:41" x14ac:dyDescent="0.25">
      <c r="AN259" s="90"/>
      <c r="AO259" s="90"/>
    </row>
    <row r="260" spans="40:41" x14ac:dyDescent="0.25">
      <c r="AN260" s="90"/>
      <c r="AO260" s="90"/>
    </row>
    <row r="261" spans="40:41" x14ac:dyDescent="0.25">
      <c r="AN261" s="90"/>
      <c r="AO261" s="90"/>
    </row>
    <row r="262" spans="40:41" x14ac:dyDescent="0.25">
      <c r="AN262" s="90"/>
      <c r="AO262" s="90"/>
    </row>
    <row r="263" spans="40:41" x14ac:dyDescent="0.25">
      <c r="AN263" s="90"/>
      <c r="AO263" s="90"/>
    </row>
    <row r="264" spans="40:41" x14ac:dyDescent="0.25">
      <c r="AN264" s="90"/>
      <c r="AO264" s="90"/>
    </row>
    <row r="265" spans="40:41" x14ac:dyDescent="0.25">
      <c r="AN265" s="90"/>
      <c r="AO265" s="90"/>
    </row>
    <row r="266" spans="40:41" x14ac:dyDescent="0.25">
      <c r="AN266" s="90"/>
      <c r="AO266" s="90"/>
    </row>
    <row r="267" spans="40:41" x14ac:dyDescent="0.25">
      <c r="AN267" s="90"/>
      <c r="AO267" s="90"/>
    </row>
    <row r="268" spans="40:41" x14ac:dyDescent="0.25">
      <c r="AN268" s="90"/>
      <c r="AO268" s="90"/>
    </row>
    <row r="269" spans="40:41" x14ac:dyDescent="0.25">
      <c r="AN269" s="90"/>
      <c r="AO269" s="90"/>
    </row>
    <row r="270" spans="40:41" x14ac:dyDescent="0.25">
      <c r="AN270" s="90"/>
      <c r="AO270" s="90"/>
    </row>
    <row r="271" spans="40:41" x14ac:dyDescent="0.25">
      <c r="AN271" s="90"/>
      <c r="AO271" s="90"/>
    </row>
    <row r="272" spans="40:41" x14ac:dyDescent="0.25">
      <c r="AN272" s="90"/>
      <c r="AO272" s="90"/>
    </row>
    <row r="273" spans="40:41" x14ac:dyDescent="0.25">
      <c r="AN273" s="90"/>
      <c r="AO273" s="90"/>
    </row>
    <row r="274" spans="40:41" x14ac:dyDescent="0.25">
      <c r="AN274" s="90"/>
      <c r="AO274" s="90"/>
    </row>
    <row r="275" spans="40:41" x14ac:dyDescent="0.25">
      <c r="AN275" s="90"/>
      <c r="AO275" s="90"/>
    </row>
    <row r="276" spans="40:41" x14ac:dyDescent="0.25">
      <c r="AN276" s="90"/>
      <c r="AO276" s="90"/>
    </row>
    <row r="277" spans="40:41" x14ac:dyDescent="0.25">
      <c r="AN277" s="90"/>
      <c r="AO277" s="90"/>
    </row>
    <row r="278" spans="40:41" x14ac:dyDescent="0.25">
      <c r="AN278" s="90"/>
      <c r="AO278" s="90"/>
    </row>
    <row r="279" spans="40:41" x14ac:dyDescent="0.25">
      <c r="AN279" s="90"/>
      <c r="AO279" s="90"/>
    </row>
    <row r="280" spans="40:41" x14ac:dyDescent="0.25">
      <c r="AN280" s="90"/>
      <c r="AO280" s="90"/>
    </row>
    <row r="281" spans="40:41" x14ac:dyDescent="0.25">
      <c r="AN281" s="90"/>
      <c r="AO281" s="90"/>
    </row>
    <row r="282" spans="40:41" x14ac:dyDescent="0.25">
      <c r="AN282" s="90"/>
      <c r="AO282" s="90"/>
    </row>
    <row r="283" spans="40:41" x14ac:dyDescent="0.25">
      <c r="AN283" s="90"/>
      <c r="AO283" s="90"/>
    </row>
    <row r="284" spans="40:41" x14ac:dyDescent="0.25">
      <c r="AN284" s="90"/>
      <c r="AO284" s="90"/>
    </row>
    <row r="285" spans="40:41" x14ac:dyDescent="0.25">
      <c r="AN285" s="90"/>
      <c r="AO285" s="90"/>
    </row>
    <row r="286" spans="40:41" x14ac:dyDescent="0.25">
      <c r="AN286" s="90"/>
      <c r="AO286" s="90"/>
    </row>
    <row r="287" spans="40:41" x14ac:dyDescent="0.25">
      <c r="AN287" s="90"/>
      <c r="AO287" s="90"/>
    </row>
    <row r="288" spans="40:41" x14ac:dyDescent="0.25">
      <c r="AN288" s="90"/>
      <c r="AO288" s="90"/>
    </row>
    <row r="289" spans="40:41" x14ac:dyDescent="0.25">
      <c r="AN289" s="90"/>
      <c r="AO289" s="90"/>
    </row>
    <row r="290" spans="40:41" x14ac:dyDescent="0.25">
      <c r="AN290" s="90"/>
      <c r="AO290" s="90"/>
    </row>
    <row r="291" spans="40:41" x14ac:dyDescent="0.25">
      <c r="AN291" s="90"/>
      <c r="AO291" s="90"/>
    </row>
  </sheetData>
  <autoFilter ref="A1:BC184" xr:uid="{826C0308-856D-4A28-8729-836C93FC2344}">
    <filterColumn colId="6">
      <filters>
        <filter val="Approved"/>
      </filters>
    </filterColumn>
  </autoFilter>
  <mergeCells count="30">
    <mergeCell ref="F1:F4"/>
    <mergeCell ref="B1:B4"/>
    <mergeCell ref="AR4:AT4"/>
    <mergeCell ref="AU4:AW4"/>
    <mergeCell ref="AR3:AW3"/>
    <mergeCell ref="AR2:AT2"/>
    <mergeCell ref="AU2:AW2"/>
    <mergeCell ref="C1:C4"/>
    <mergeCell ref="H4:M4"/>
    <mergeCell ref="N4:T4"/>
    <mergeCell ref="H2:M3"/>
    <mergeCell ref="N2:T3"/>
    <mergeCell ref="E1:E4"/>
    <mergeCell ref="G1:G4"/>
    <mergeCell ref="AX4:BC4"/>
    <mergeCell ref="AX2:BC2"/>
    <mergeCell ref="A1:A4"/>
    <mergeCell ref="U2:AD3"/>
    <mergeCell ref="AE3:AQ3"/>
    <mergeCell ref="AE2:AF2"/>
    <mergeCell ref="AG2:AH2"/>
    <mergeCell ref="AI2:AJ2"/>
    <mergeCell ref="AL2:AM2"/>
    <mergeCell ref="AP2:AQ2"/>
    <mergeCell ref="AP4:AQ4"/>
    <mergeCell ref="U4:AD4"/>
    <mergeCell ref="AE4:AF4"/>
    <mergeCell ref="AG4:AH4"/>
    <mergeCell ref="AI4:AJ4"/>
    <mergeCell ref="AL4:AM4"/>
  </mergeCells>
  <hyperlinks>
    <hyperlink ref="B5" location="'Initial Search'!A2" display="'Initial Search'!A2" xr:uid="{00000000-0004-0000-0200-000000000000}"/>
    <hyperlink ref="B11" location="'Initial Search'!A6" display="'Initial Search'!A6" xr:uid="{00000000-0004-0000-0200-000001000000}"/>
    <hyperlink ref="B10" location="'Initial Search'!A4" display="'Initial Search'!A4" xr:uid="{00000000-0004-0000-0200-000002000000}"/>
    <hyperlink ref="B7" location="'Initial Search'!A3" display="'Initial Search'!A3" xr:uid="{00000000-0004-0000-0200-000003000000}"/>
    <hyperlink ref="B6" location="'Initial Search'!A90" display="'Initial Search'!A90" xr:uid="{00000000-0004-0000-0200-000004000000}"/>
    <hyperlink ref="B8" location="'Initial Search'!A162" display="'Initial Search'!A162" xr:uid="{00000000-0004-0000-0200-000005000000}"/>
    <hyperlink ref="B9" location="'Initial Search'!A26" display="'Initial Search'!A26" xr:uid="{00000000-0004-0000-0200-000006000000}"/>
    <hyperlink ref="B12" location="'Initial Search'!A16" display="'Initial Search'!A16" xr:uid="{00000000-0004-0000-0200-000007000000}"/>
    <hyperlink ref="B15" location="'Initial Search'!A9" display="'Initial Search'!A9" xr:uid="{00000000-0004-0000-0200-000008000000}"/>
    <hyperlink ref="B13" location="'Initial Search'!A113" display="'Initial Search'!A113" xr:uid="{00000000-0004-0000-0200-000009000000}"/>
    <hyperlink ref="B14" location="'Initial Search'!A148" display="'Initial Search'!A148" xr:uid="{00000000-0004-0000-0200-00000A000000}"/>
    <hyperlink ref="AW13" r:id="rId1" xr:uid="{00000000-0004-0000-0200-00000B000000}"/>
    <hyperlink ref="B16" location="'Initial Search'!A7" display="'Initial Search'!A7" xr:uid="{00000000-0004-0000-0200-00000C000000}"/>
    <hyperlink ref="B17" location="'Initial Search'!A8" display="'Initial Search'!A8" xr:uid="{00000000-0004-0000-0200-00000D000000}"/>
    <hyperlink ref="AW17" r:id="rId2" xr:uid="{00000000-0004-0000-0200-00000E000000}"/>
    <hyperlink ref="B18:B20" location="'Initial Search'!A8" display="'Initial Search'!A8" xr:uid="{00000000-0004-0000-0200-00000F000000}"/>
    <hyperlink ref="B18" location="'Initial Search'!A14" display="'Initial Search'!A14" xr:uid="{00000000-0004-0000-0200-000010000000}"/>
    <hyperlink ref="B19" location="'Initial Search'!A86" display="'Initial Search'!A86" xr:uid="{00000000-0004-0000-0200-000011000000}"/>
    <hyperlink ref="B20" location="'Initial Search'!A123" display="'Initial Search'!A123" xr:uid="{00000000-0004-0000-0200-000012000000}"/>
    <hyperlink ref="B21" location="'Initial Search'!A10" display="'Initial Search'!A10" xr:uid="{00000000-0004-0000-0200-000013000000}"/>
    <hyperlink ref="B23" location="'Initial Search'!A11" display="'Initial Search'!A11" xr:uid="{00000000-0004-0000-0200-000014000000}"/>
    <hyperlink ref="B22" location="'Initial Search'!A172" display="'Initial Search'!A172" xr:uid="{00000000-0004-0000-0200-000015000000}"/>
    <hyperlink ref="B24" location="'Initial Search'!A12" display="'Initial Search'!A12" xr:uid="{00000000-0004-0000-0200-000016000000}"/>
    <hyperlink ref="B25:B30" location="'Initial Search'!A12" display="'Initial Search'!A12" xr:uid="{00000000-0004-0000-0200-000017000000}"/>
    <hyperlink ref="B25" location="'Initial Search'!A91" display="'Initial Search'!A91" xr:uid="{00000000-0004-0000-0200-000018000000}"/>
    <hyperlink ref="B26" location="'Initial Search'!A104" display="'Initial Search'!A104" xr:uid="{00000000-0004-0000-0200-000019000000}"/>
    <hyperlink ref="B27" location="'Initial Search'!A142" display="'Initial Search'!A142" xr:uid="{00000000-0004-0000-0200-00001A000000}"/>
    <hyperlink ref="B28" location="'Initial Search'!A217" display="'Initial Search'!A217" xr:uid="{00000000-0004-0000-0200-00001B000000}"/>
    <hyperlink ref="B29" location="'Initial Search'!A235" display="'Initial Search'!A235" xr:uid="{00000000-0004-0000-0200-00001C000000}"/>
    <hyperlink ref="B30" location="'Initial Search'!A233" display="'Initial Search'!A233" xr:uid="{00000000-0004-0000-0200-00001D000000}"/>
    <hyperlink ref="B31" location="'Initial Search'!A15" display="'Initial Search'!A15" xr:uid="{00000000-0004-0000-0200-00001E000000}"/>
    <hyperlink ref="B32:B35" location="'Initial Search'!A15" display="'Initial Search'!A15" xr:uid="{00000000-0004-0000-0200-00001F000000}"/>
    <hyperlink ref="B32" location="'Initial Search'!A224" display="'Initial Search'!A224" xr:uid="{00000000-0004-0000-0200-000020000000}"/>
    <hyperlink ref="B33" location="'Initial Search'!A239" display="'Initial Search'!A239" xr:uid="{00000000-0004-0000-0200-000021000000}"/>
    <hyperlink ref="B34" location="'Initial Search'!A234" display="'Initial Search'!A234" xr:uid="{00000000-0004-0000-0200-000022000000}"/>
    <hyperlink ref="B35" location="'Initial Search'!A256" display="'Initial Search'!A256" xr:uid="{00000000-0004-0000-0200-000023000000}"/>
    <hyperlink ref="B36" location="'Initial Search'!A17" display="'Initial Search'!A17" xr:uid="{00000000-0004-0000-0200-000024000000}"/>
    <hyperlink ref="B37:B39" location="'Initial Search'!A17" display="'Initial Search'!A17" xr:uid="{00000000-0004-0000-0200-000025000000}"/>
    <hyperlink ref="B37" location="'Initial Search'!A30" display="'Initial Search'!A30" xr:uid="{00000000-0004-0000-0200-000026000000}"/>
    <hyperlink ref="B38" location="'Initial Search'!A92" display="'Initial Search'!A92" xr:uid="{00000000-0004-0000-0200-000027000000}"/>
    <hyperlink ref="B39" location="'Initial Search'!A107" display="'Initial Search'!A107" xr:uid="{00000000-0004-0000-0200-000028000000}"/>
    <hyperlink ref="B40:B43" location="'Initial Search'!A17" display="'Initial Search'!A17" xr:uid="{00000000-0004-0000-0200-000029000000}"/>
    <hyperlink ref="B40" location="'Initial Search'!A18" display="'Initial Search'!A18" xr:uid="{00000000-0004-0000-0200-00002A000000}"/>
    <hyperlink ref="B41" location="'Initial Search'!A28" display="'Initial Search'!A28" xr:uid="{00000000-0004-0000-0200-00002B000000}"/>
    <hyperlink ref="B42" location="'Initial Search'!A19" display="'Initial Search'!A19" xr:uid="{00000000-0004-0000-0200-00002C000000}"/>
    <hyperlink ref="B43" location="'Initial Search'!A148" display="'Initial Search'!A148" xr:uid="{00000000-0004-0000-0200-00002D000000}"/>
    <hyperlink ref="B44:B46" location="'Initial Search'!A17" display="'Initial Search'!A17" xr:uid="{00000000-0004-0000-0200-00002E000000}"/>
    <hyperlink ref="B44" location="'Initial Search'!A130" display="'Initial Search'!A130" xr:uid="{00000000-0004-0000-0200-00002F000000}"/>
    <hyperlink ref="B45" location="'Initial Search'!A261" display="'Initial Search'!A261" xr:uid="{00000000-0004-0000-0200-000030000000}"/>
    <hyperlink ref="B46" location="'Initial Search'!A20" display="'Initial Search'!A20" xr:uid="{00000000-0004-0000-0200-000031000000}"/>
    <hyperlink ref="B48:B50" location="'Initial Search'!A17" display="'Initial Search'!A17" xr:uid="{00000000-0004-0000-0200-000032000000}"/>
    <hyperlink ref="B47" location="'Initial Search'!A205" display="'Initial Search'!A205" xr:uid="{00000000-0004-0000-0200-000033000000}"/>
    <hyperlink ref="B48" location="'Initial Search'!A21" display="'Initial Search'!A21" xr:uid="{00000000-0004-0000-0200-000034000000}"/>
    <hyperlink ref="B51:B52" location="'Initial Search'!A17" display="'Initial Search'!A17" xr:uid="{00000000-0004-0000-0200-000035000000}"/>
    <hyperlink ref="B50" location="'Initial Search'!A220" display="'Initial Search'!A220" xr:uid="{00000000-0004-0000-0200-000036000000}"/>
    <hyperlink ref="B49" location="'Initial Search'!A105" display="'Initial Search'!A105" xr:uid="{00000000-0004-0000-0200-000037000000}"/>
    <hyperlink ref="B51" location="'Initial Search'!A27" display="'Initial Search'!A27" xr:uid="{00000000-0004-0000-0200-000038000000}"/>
    <hyperlink ref="B52" location="'Initial Search'!A222" display="'Initial Search'!A222" xr:uid="{00000000-0004-0000-0200-000039000000}"/>
    <hyperlink ref="B53" location="'Initial Search'!A38" display="'Initial Search'!A38" xr:uid="{00000000-0004-0000-0200-00003A000000}"/>
    <hyperlink ref="B54:B55" location="'Initial Search'!A38" display="'Initial Search'!A38" xr:uid="{00000000-0004-0000-0200-00003B000000}"/>
    <hyperlink ref="B54" location="'Initial Search'!A39" display="'Initial Search'!A39" xr:uid="{A80E8214-1BD9-4C0F-AFAA-4ACE564CAD7A}"/>
    <hyperlink ref="B55" location="'Initial Search'!A40" display="'Initial Search'!A40" xr:uid="{19086E0B-6D12-4D0C-9A50-ABDFD7E6EF6C}"/>
    <hyperlink ref="B56:B57" location="'Initial Search'!A38" display="'Initial Search'!A38" xr:uid="{1925A97C-EA49-4618-AD5B-CB9077AED013}"/>
    <hyperlink ref="B56" location="'Initial Search'!A51" display="'Initial Search'!A51" xr:uid="{89BCC553-15B6-4474-ADE9-71C53B79476B}"/>
    <hyperlink ref="B57" location="'Initial Search'!A63" display="'Initial Search'!A63" xr:uid="{7AB8F2E2-455D-498E-9301-FF968A4DC4B2}"/>
    <hyperlink ref="B59" location="'Initial Search'!A64" display="'Initial Search'!A64" xr:uid="{EA873F69-B570-49A8-A906-0CF74C0E35DA}"/>
    <hyperlink ref="B58" location="'Initial Search'!A177" display="'Initial Search'!A177" xr:uid="{BAD210F2-1CFE-4447-95E4-39ADACE4D5B4}"/>
    <hyperlink ref="B60" location="'Initial Search'!A75" display="'Initial Search'!A75" xr:uid="{FA9507E4-0EC6-4454-9D4B-3F546F02A8E1}"/>
    <hyperlink ref="B61" location="'Initial Search'!A78" display="'Initial Search'!A78" xr:uid="{E9644FEB-12AC-4D3F-82EE-16C31AD72FFF}"/>
    <hyperlink ref="B68" location="'Initial Search'!A219" display="'Initial Search'!A219" xr:uid="{F41538FD-0EED-44F0-961C-C4454CD55FD3}"/>
    <hyperlink ref="B69:B70" location="'Initial Search'!A38" display="'Initial Search'!A38" xr:uid="{44E77AA8-D1EA-4927-B5F6-C1613C1F1B43}"/>
    <hyperlink ref="B63" location="'Initial Search'!A102" display="'Initial Search'!A102" xr:uid="{F59240B7-4355-4C6A-8982-E87E38DC7A1C}"/>
    <hyperlink ref="B65" location="'Initial Search'!A106" display="'Initial Search'!A106" xr:uid="{EE19BC07-0036-421E-A313-C0AEBA60AF2C}"/>
    <hyperlink ref="B66" location="'Initial Search'!A150" display="'Initial Search'!A150" xr:uid="{732ED44D-B015-49FD-BE46-BDDFF1289F69}"/>
    <hyperlink ref="B67" location="'Initial Search'!A160" display="'Initial Search'!A160" xr:uid="{EA31C721-AA72-4324-8965-C7DB15503B41}"/>
    <hyperlink ref="B69" location="'Initial Search'!A238" display="'Initial Search'!A238" xr:uid="{805ED77B-9C83-4D6E-9969-896AB43A9396}"/>
    <hyperlink ref="B70" location="'Initial Search'!A257" display="'Initial Search'!A257" xr:uid="{96128896-ECD6-4D87-AF2B-4BB31DC89FA5}"/>
    <hyperlink ref="B64" location="'Initial Search'!A170" display="'Initial Search'!A170" xr:uid="{54C8372E-A524-49BD-AA99-7C87D205CBCF}"/>
    <hyperlink ref="B71" location="'Initial Search'!A218" display="'Initial Search'!A218" xr:uid="{660EC642-B0EA-45F4-82D9-E3BA76D1F657}"/>
    <hyperlink ref="B72" location="'Initial Search'!A225" display="'Initial Search'!A225" xr:uid="{C7D5F80A-B7CC-477E-916D-61CDA2B015EF}"/>
    <hyperlink ref="B73" location="'Initial Search'!A241" display="'Initial Search'!A241" xr:uid="{9FBF57DB-B75E-4DD4-A833-8F2E26853943}"/>
    <hyperlink ref="B75" location="'Initial Search'!A271" display="'Initial Search'!A271" xr:uid="{1737D435-73DC-4AF4-AC0E-EF194D98923A}"/>
    <hyperlink ref="B62" location="'Initial Search'!A259" display="'Initial Search'!A259" xr:uid="{08CE8D54-2399-414A-A47A-44D16A206589}"/>
    <hyperlink ref="B76" location="'Initial Search'!A81" display="'Initial Search'!A81" xr:uid="{E9AA4A9C-F1DD-43F0-AB29-D711838AC052}"/>
    <hyperlink ref="B77" location="'Initial Search'!A83" display="'Initial Search'!A83" xr:uid="{505738F4-3A60-4B6D-A89D-8F1988C27AD1}"/>
    <hyperlink ref="B78" location="'Initial Search'!A84" display="'Initial Search'!A84" xr:uid="{93A5BF4F-F990-4756-9DC9-D13563D571E6}"/>
    <hyperlink ref="B79" location="'Initial Search'!A85" display="'Initial Search'!A85" xr:uid="{D361F422-98D7-4129-ADBC-FA26E18A641C}"/>
    <hyperlink ref="B83" location="'Initial Search'!A87" display="'Initial Search'!A87" xr:uid="{FF2EF177-B5AE-472C-971E-BC10D6674F02}"/>
    <hyperlink ref="B84" location="'Initial Search'!A88" display="'Initial Search'!A88" xr:uid="{9A042AAD-DF23-4B55-9A81-17685C05D886}"/>
    <hyperlink ref="B86" location="'Initial Search'!A89" display="'Initial Search'!A89" xr:uid="{075EE28F-3C35-4F52-8F4C-6A823070E1BA}"/>
    <hyperlink ref="B81:B82" location="'Initial Search'!A85" display="'Initial Search'!A85" xr:uid="{EBDBED04-8C1D-4FAA-B0E1-3CD6297814C2}"/>
    <hyperlink ref="B82" location="'Initial Search'!A182" display="'Initial Search'!A182" xr:uid="{D0D63059-F269-41BE-A2B8-AA214AF4A07C}"/>
    <hyperlink ref="B81" location="'Initial Search'!A115" display="'Initial Search'!A115" xr:uid="{B0E88B98-6030-4A9B-A326-FB106E8170BD}"/>
    <hyperlink ref="B85" location="'Initial Search'!A170" display="'Initial Search'!A170" xr:uid="{59D39E51-53DA-424B-B84B-55C74ADF9881}"/>
    <hyperlink ref="B87" location="'Initial Search'!A221" display="'Initial Search'!A221" xr:uid="{A590761E-121E-4404-BFFB-0C09B1A5E7EB}"/>
    <hyperlink ref="B88" location="'Initial Search'!A96" display="'Initial Search'!A96" xr:uid="{15A7D983-30AB-4565-94D6-3CC11FD6A0DE}"/>
    <hyperlink ref="B89" location="'Initial Search'!A108" display="'Initial Search'!A108" xr:uid="{01E89FAD-B96A-48F8-95BF-DFEA207E9411}"/>
    <hyperlink ref="B92" location="'Initial Search'!A220" display="'Initial Search'!A220" xr:uid="{D3119737-73FB-4CFB-9AC1-723D1C24F4B3}"/>
    <hyperlink ref="B93" location="'Initial Search'!A111" display="'Initial Search'!A111" xr:uid="{DB3ABC03-A012-456C-B7B9-4420335B0B73}"/>
    <hyperlink ref="B94" location="'Initial Search'!A108" display="'Initial Search'!A108" xr:uid="{B2DD73D3-9D6B-49A9-A65C-A50A01CC2509}"/>
    <hyperlink ref="B95" location="'Initial Search'!A238" display="'Initial Search'!A238" xr:uid="{3DE68C0D-35CB-4A61-AAF2-07683721F10D}"/>
    <hyperlink ref="B98" location="'Initial Search'!A121" display="'Initial Search'!A121" xr:uid="{4BEAFF7A-B92C-4B45-B4F7-0E8FF2347191}"/>
    <hyperlink ref="B99" location="'Initial Search'!A242" display="'Initial Search'!A242" xr:uid="{C7D9654C-C6F1-43DE-891D-762FE46C64FA}"/>
    <hyperlink ref="B97" location="'Initial Search'!A112" display="'Initial Search'!A112" xr:uid="{F0D110BA-FD7D-4DC7-AD94-431FE672B23E}"/>
    <hyperlink ref="B100" location="'Initial Search'!A116" display="'Initial Search'!A116" xr:uid="{35DDB496-5054-4D4A-90C3-8BD30A7AB8CF}"/>
    <hyperlink ref="B101" location="'Initial Search'!A131" display="'Initial Search'!A131" xr:uid="{070F570B-30FC-4AC2-9BC1-231A7691200F}"/>
    <hyperlink ref="B103" location="'Initial Search'!A143" display="'Initial Search'!A143" xr:uid="{420CC8DD-ECBB-405A-ABE2-2C303048DCF0}"/>
    <hyperlink ref="B105" location="'Initial Search'!A151" display="'Initial Search'!A151" xr:uid="{A5A9F100-2EA5-443A-8543-688B0C93B608}"/>
    <hyperlink ref="B107" location="'Initial Search'!A242" display="'Initial Search'!A242" xr:uid="{FA678956-5FD9-463C-99E1-297A4A6D9A80}"/>
    <hyperlink ref="B102" location="'Initial Search'!A134" display="'Initial Search'!A134" xr:uid="{F8597546-5016-4E29-8A33-230193ADEEFD}"/>
    <hyperlink ref="B104" location="'Initial Search'!A145" display="'Initial Search'!A145" xr:uid="{09CC153E-56C1-4811-90BA-378393D2D671}"/>
    <hyperlink ref="B106" location="'Initial Search'!A154" display="'Initial Search'!A154" xr:uid="{A2142137-F118-408B-BF4D-4E03E83A0A7A}"/>
    <hyperlink ref="B108" location="'Initial Search'!A108" display="'Initial Search'!A108" xr:uid="{D567CBE2-F3BF-4E20-A9BD-A86E108D7BB0}"/>
    <hyperlink ref="B109" location="'Initial Search'!A183" display="'Initial Search'!A183" xr:uid="{7ABBD257-71A4-4ECE-A47D-01DEF5B7D4B4}"/>
    <hyperlink ref="B110" location="'Initial Search'!A184" display="'Initial Search'!A184" xr:uid="{5323DC38-71E6-46F8-B590-E0ACCD888D9D}"/>
    <hyperlink ref="B111" location="'Initial Search'!A178" display="'Initial Search'!A178" xr:uid="{61B4250A-0FE9-4005-8EDF-9F41034C0E5D}"/>
    <hyperlink ref="B112" location="'Initial Search'!A179" display="'Initial Search'!A179" xr:uid="{44064435-8417-4DE5-A731-9920FCDD42C6}"/>
    <hyperlink ref="B113" location="'Initial Search'!A182" display="'Initial Search'!A182" xr:uid="{6F1642D2-84ED-4D28-9814-1B15439FD27C}"/>
    <hyperlink ref="B114" location="'Initial Search'!A185" display="'Initial Search'!A185" xr:uid="{17181642-FF1A-4A6A-B06F-584BD4BB99AD}"/>
    <hyperlink ref="B115" location="'Initial Search'!A187" display="'Initial Search'!A187" xr:uid="{2916E581-0F84-46E5-B974-782C7656F04B}"/>
    <hyperlink ref="B118" location="'Initial Search'!A199" display="'Initial Search'!A199" xr:uid="{AABD6398-7D99-44A4-95C6-DD02DC3BAC69}"/>
    <hyperlink ref="B119:B120" location="'Initial Search'!A190" display="'Initial Search'!A190" xr:uid="{3D2D69E1-CEFA-4BDA-B873-383314B8DC7E}"/>
    <hyperlink ref="B119" location="'Initial Search'!A197" display="'Initial Search'!A197" xr:uid="{91861386-B02D-453E-B24B-C8F60CA1C0AC}"/>
    <hyperlink ref="B120" location="'Initial Search'!A212" display="'Initial Search'!A212" xr:uid="{E17B4F67-CBB8-4651-91E7-AAA72C7EC102}"/>
    <hyperlink ref="B121" location="'Initial Search'!A215" display="'Initial Search'!A215" xr:uid="{10F3DD0F-3EE0-4DDC-BBFD-7218C1659076}"/>
    <hyperlink ref="B122" location="'Initial Search'!A216" display="'Initial Search'!A216" xr:uid="{981FCC36-BAF8-44E0-BB35-B41712C6B83A}"/>
    <hyperlink ref="B123" location="'Initial Search'!A230" display="'Initial Search'!A230" xr:uid="{82A9E5E2-C0B1-43C2-B8E0-CBF36F1CA5EA}"/>
    <hyperlink ref="B124" location="'Initial Search'!A232" display="'Initial Search'!A232" xr:uid="{F351BA0D-F857-432A-B7C3-8D914D07653D}"/>
    <hyperlink ref="B125" location="'Initial Search'!A231" display="'Initial Search'!A231" xr:uid="{2C791BA2-65B8-4D60-B913-CF4DF0C2BBB2}"/>
    <hyperlink ref="B126" location="'Initial Search'!A243" display="'Initial Search'!A243" xr:uid="{61044AD8-1494-49AF-AEB2-3F3C2EECA961}"/>
    <hyperlink ref="B127" location="'Initial Search'!A239" display="'Initial Search'!A239" xr:uid="{A5597E62-FE42-4FF6-92C4-23131455ACB3}"/>
    <hyperlink ref="B128" location="'Initial Search'!A251" display="'Initial Search'!A251" xr:uid="{273D9F22-83F2-40D4-A73D-BBFF640F80D2}"/>
    <hyperlink ref="B130" location="'Initial Search'!A252" display="'Initial Search'!A252" xr:uid="{EC7EECD9-679A-4D73-A855-0B74F0CF18DC}"/>
    <hyperlink ref="B131" location="'Initial Search'!A243" display="'Initial Search'!A243" xr:uid="{F55884C2-4063-4FBA-A18E-307150D84CBD}"/>
    <hyperlink ref="B132" location="'Initial Search'!A248" display="'Initial Search'!A248" xr:uid="{47EE4666-0773-42FD-93ED-D5E875DC8BC5}"/>
    <hyperlink ref="B133" location="'Initial Search'!A260" display="'Initial Search'!A260" xr:uid="{9645D326-12C9-46E8-815D-C729EAF6441E}"/>
    <hyperlink ref="B135:B136" location="'Initial Search'!A248" display="'Initial Search'!A248" xr:uid="{D8030CFC-3CDF-4C22-83DE-1A8EC52873F1}"/>
    <hyperlink ref="B137" location="'Initial Search'!A268" display="'Initial Search'!A268" xr:uid="{90D81D1F-3519-43A1-9F6E-082FA66E5729}"/>
    <hyperlink ref="B134" location="'Initial Search'!A251" display="'Initial Search'!A251" xr:uid="{E99A4817-8D92-4523-819B-8467E518B358}"/>
    <hyperlink ref="B135" location="'Initial Search'!A253" display="'Initial Search'!A253" xr:uid="{3B8F0E47-A266-4FBC-B47A-0F70E1D9DC06}"/>
    <hyperlink ref="B136" location="'Initial Search'!A254" display="'Initial Search'!A254" xr:uid="{30E8EA41-29D8-40C6-818E-019C4D6ECF4A}"/>
    <hyperlink ref="B138:B140" location="'Initial Search'!A257" display="'Initial Search'!A257" xr:uid="{5CE6005B-73F5-4206-B487-0D2EDFBF1AB9}"/>
    <hyperlink ref="B141" location="'Initial Search'!A284" display="'Initial Search'!A284" xr:uid="{ADF3777E-2F3F-463D-82CE-EA6F19507163}"/>
    <hyperlink ref="B138" location="'Initial Search'!A261" display="'Initial Search'!A261" xr:uid="{B837A53D-0CA9-4184-9DBA-A81479E1B92D}"/>
    <hyperlink ref="B139" location="'Initial Search'!A277" display="'Initial Search'!A277" xr:uid="{AB6F6EFF-E503-4F25-9AB7-805EADEFD1B5}"/>
    <hyperlink ref="B140" location="'Initial Search'!A280" display="'Initial Search'!A280" xr:uid="{C0561E53-FD0D-4081-8E36-3DF9C80282AD}"/>
    <hyperlink ref="B91" location="'Initial Search'!A229" display="'Initial Search'!A229" xr:uid="{75CCB185-9DDF-4D3B-B052-DBE6B79295DC}"/>
    <hyperlink ref="AT110" r:id="rId3" xr:uid="{CF08957E-B045-4EE5-8963-7A7EEB0116E9}"/>
    <hyperlink ref="B80" location="'Initial Search'!A246" display="'Initial Search'!A246" xr:uid="{B0B3F786-C7CA-46E2-B933-5B2627D24220}"/>
    <hyperlink ref="B116" location="'Initial Search'!A283" display="'Initial Search'!A283" xr:uid="{92DC8D1F-52CC-4870-8BBC-1DF50DE6ECC4}"/>
    <hyperlink ref="AT140" r:id="rId4" xr:uid="{2C73AA2B-8A82-421B-941F-AB6D26A83BA9}"/>
    <hyperlink ref="B142" location="'Initial Search'!A164" display="'Initial Search'!A164" xr:uid="{52E14F16-3048-4AFD-A7FE-D1F924624E8B}"/>
    <hyperlink ref="B96" location="'Initial Search'!A290" display="'Initial Search'!A290" xr:uid="{3BB3F008-AD18-42C4-B3EB-9950C0D661D6}"/>
    <hyperlink ref="B143" location="'Initial Search'!A291" display="'Initial Search'!A291" xr:uid="{331CDA21-44FB-4936-B3E9-2B321952FDA5}"/>
    <hyperlink ref="B90" location="'Initial Search'!A98" display="'Initial Search'!A98" xr:uid="{8289120C-85A6-4C78-952D-A03A56790C30}"/>
    <hyperlink ref="B144" location="'Initial Search'!A102" display="'Initial Search'!A102" xr:uid="{562F30F1-B83D-4FEB-BA99-C3B54DFFAD99}"/>
    <hyperlink ref="AT144" r:id="rId5" xr:uid="{F0F9D3D2-E27B-44EC-A3CD-705800257E4B}"/>
    <hyperlink ref="B145" location="'Initial Search'!A100" display="'Initial Search'!A100" xr:uid="{6C0E15A3-3E29-4AF0-9D5A-B365CF7D07B4}"/>
    <hyperlink ref="B129" location="'Initial Search'!A202" display="'Initial Search'!A202" xr:uid="{3A0B99FD-C82D-4852-BDC5-048A4BD79927}"/>
    <hyperlink ref="B74" location="'Initial Search'!A204" display="'Initial Search'!A204" xr:uid="{93251CCE-D08E-49C7-AF35-D7C17C5B47D3}"/>
    <hyperlink ref="B117" location="'Initial Search'!A286" display="'Initial Search'!A286" xr:uid="{B8CDB809-6A64-482B-BA80-F7ED4B119B93}"/>
    <hyperlink ref="AT117" r:id="rId6" xr:uid="{E29F4371-E702-443F-9E50-8B5D2984A9A0}"/>
    <hyperlink ref="B150" location="'Initial Search'!A300" display="'Initial Search'!A300" xr:uid="{0E6891EA-CD23-4980-A78D-9A4534F630B5}"/>
    <hyperlink ref="B148" location="'Initial Search'!A298" display="'Initial Search'!A298" xr:uid="{36BC671D-E34A-466D-A7A3-E286CD9F0B2A}"/>
    <hyperlink ref="B149" location="'Initial Search'!A299" display="'Initial Search'!A299" xr:uid="{BD4495F7-F4DF-45B8-B014-8D0854E46EA8}"/>
    <hyperlink ref="B151" location="'Initial Search'!A301" display="'Initial Search'!A301" xr:uid="{5BC1B494-CC45-46EE-B300-267504E131C4}"/>
    <hyperlink ref="B152" location="'Initial Search'!A302" display="'Initial Search'!A302" xr:uid="{D9507F5A-AFD9-4D8D-A1FA-0F82F21E5C7D}"/>
    <hyperlink ref="B146" location="'Initial Search'!A293" display="'Initial Search'!A293" xr:uid="{9750824B-DACE-436C-BA62-CF7D4824C434}"/>
    <hyperlink ref="B147" location="'Initial Search'!A296" display="'Initial Search'!A296" xr:uid="{FE609866-9DD0-4CB5-8E76-CC523174EB39}"/>
    <hyperlink ref="A129" location="'Quality Assessment '!F70" display="'Quality Assessment '!F70" xr:uid="{D311C1FA-D8A2-4F04-9EFC-C600790AC148}"/>
    <hyperlink ref="A130" location="'Quality Assessment '!F70" display="'Quality Assessment '!F70" xr:uid="{CE67D830-45BD-4AB4-933D-4F9262E914C8}"/>
    <hyperlink ref="A129:A130" location="'Quality Assessment '!F69" display="'Quality Assessment '!F69" xr:uid="{2879F33B-F04C-4F1C-8075-2DE24D8B281A}"/>
    <hyperlink ref="A147" location="'Quality Assessment '!F70" display="'Quality Assessment '!F70" xr:uid="{E3A20D26-937D-443B-9E97-6D4C760495E3}"/>
    <hyperlink ref="A6" location="'Quality Assessment '!F3" display="'Quality Assessment '!F3" xr:uid="{0C4792CD-CF45-433C-BFD0-615E8837132D}"/>
    <hyperlink ref="A7:A8" location="'Quality Assessment '!F3" display="'Quality Assessment '!F3" xr:uid="{1C1EF877-4262-4811-A284-887505D6AF69}"/>
    <hyperlink ref="A10" location="'Quality Assessment '!F6" display="'Quality Assessment '!F6" xr:uid="{AD272019-BF77-4726-A98B-0B6307086A60}"/>
    <hyperlink ref="A11" location="'Quality Assessment '!F7" display="'Quality Assessment '!F7" xr:uid="{D219A9AB-AAE6-4ADE-8185-841AD38AF93D}"/>
    <hyperlink ref="A14" location="'Quality Assessment '!F7" display="'Quality Assessment '!F7" xr:uid="{EF366BCC-AD39-48D8-9EDC-E22975974878}"/>
    <hyperlink ref="A17" location="'Quality Assessment '!F10" display="'Quality Assessment '!F10" xr:uid="{E64CCC8A-5F65-43D2-9F62-51F8BA36EBD7}"/>
    <hyperlink ref="A18" location="'Quality Assessment '!F10" display="'Quality Assessment '!F10" xr:uid="{F7F97F90-CB06-4515-9B32-0C333E1257E9}"/>
    <hyperlink ref="A19" location="'Quality Assessment '!F10" display="'Quality Assessment '!F10" xr:uid="{B59E45EC-D56E-41F0-B627-EED886E6A59B}"/>
    <hyperlink ref="A21" location="'Quality Assessment '!F13" display="'Quality Assessment '!F13" xr:uid="{CF91C2EA-64AE-41C7-A331-F462AF1FD213}"/>
    <hyperlink ref="A22" location="'Quality Assessment '!F13" display="'Quality Assessment '!F13" xr:uid="{16F2CC95-536C-4759-82CE-780A8CB3B45F}"/>
    <hyperlink ref="A26" location="'Quality Assessment '!F16" display="'Quality Assessment '!F16" xr:uid="{9FCC35B9-30BD-413C-9AEF-33A2DC92BFC9}"/>
    <hyperlink ref="A29" location="'Quality Assessment '!F16" display="'Quality Assessment '!F16" xr:uid="{80316B43-DB4C-4942-91C7-71C55D8F64A1}"/>
    <hyperlink ref="A90" location="'Quality Assessment '!F76" display="'Quality Assessment '!F76" xr:uid="{8A7E615E-8371-426F-8230-91FB9D33C916}"/>
    <hyperlink ref="A63" location="'Quality Assessment '!F36" display="'Quality Assessment '!F36" xr:uid="{A173E461-2EDD-4F8B-AE2D-1A2C4B0E44A5}"/>
    <hyperlink ref="A64" location="'Quality Assessment '!F36" display="'Quality Assessment '!F36" xr:uid="{6894C1D5-55CA-4A7E-B0B4-F712DAF206ED}"/>
    <hyperlink ref="A81" location="'Quality Assessment '!F48" display="'Quality Assessment '!F48" xr:uid="{0B3B2C9D-F605-4DFB-B88B-0C7F5FD44223}"/>
    <hyperlink ref="A82" location="'Quality Assessment '!F48" display="'Quality Assessment '!F48" xr:uid="{C5F53627-2D7C-47C3-A021-4CC0D6D0DDF4}"/>
    <hyperlink ref="A87" location="'Quality Assessment '!F48" display="'Quality Assessment '!F48" xr:uid="{71F56454-C0C9-417D-8BFF-791397E7331C}"/>
    <hyperlink ref="A89" location="'Quality Assessment '!F48" display="'Quality Assessment '!F48" xr:uid="{9D25E980-784C-4D76-BFD3-45B4F8A20FD1}"/>
    <hyperlink ref="A124" location="'Quality Assessment '!F67" display="'Quality Assessment '!F67" xr:uid="{C0A2B6E1-3914-4547-A222-8968875A77A9}"/>
    <hyperlink ref="A110" location="'Quality Assessment '!F62" display="'Quality Assessment '!F62" xr:uid="{37A8E5D8-A67F-43A0-97E7-96EA28B8B2D3}"/>
    <hyperlink ref="A116:A117" location="'Quality Assessment '!F62" display="'Quality Assessment '!F62" xr:uid="{B0899A0B-7A4E-4E5B-B309-3A72294795AD}"/>
    <hyperlink ref="A72" location="'Quality Assessment '!F45" display="'Quality Assessment '!F45" xr:uid="{19CE4700-EB49-4003-8D18-D4472F73F700}"/>
    <hyperlink ref="A73" location="'Quality Assessment '!F45" display="'Quality Assessment '!F45" xr:uid="{F0046822-2A5B-45DB-9C40-77D98D96E643}"/>
    <hyperlink ref="A80" location="'Quality Assessment '!F45" display="'Quality Assessment '!F45" xr:uid="{5ED08068-6D3F-4224-B5F7-770AD57AEDA6}"/>
    <hyperlink ref="A66" location="'Quality Assessment '!F39" display="'Quality Assessment '!F39" xr:uid="{3A16C656-51D0-4436-B510-2F5C4384C1C1}"/>
    <hyperlink ref="A67:A68" location="'Quality Assessment '!F39" display="'Quality Assessment '!F39" xr:uid="{DC88DF0E-C736-4F6F-ABC8-B1D5E51D0D82}"/>
    <hyperlink ref="A70" location="'Quality Assessment '!F39" display="'Quality Assessment '!F39" xr:uid="{A074F219-2887-4AF2-9527-CF435CDD7885}"/>
    <hyperlink ref="A146" location="'Quality Assessment '!F39" display="'Quality Assessment '!F39" xr:uid="{7A34811F-C356-4D70-A070-4631D2EFF5DE}"/>
    <hyperlink ref="A148" location="'Quality Assessment '!F54" display="'Quality Assessment '!F54" xr:uid="{822DE57E-C2E1-4D66-9B64-5D76196CBF0D}"/>
    <hyperlink ref="A95" location="'Quality Assessment '!F54" display="'Quality Assessment '!F54" xr:uid="{AB522537-6140-4E41-B9D0-459170578CA2}"/>
    <hyperlink ref="A96" location="'Quality Assessment '!F54" display="'Quality Assessment '!F54" xr:uid="{70D5FC29-1EC5-4106-A856-B8541E4EF1CA}"/>
    <hyperlink ref="A139" location="'Quality Assessment '!F72" display="'Quality Assessment '!F72" xr:uid="{7AD11019-8714-443F-BFEB-7BB4E8487ACF}"/>
    <hyperlink ref="A93" location="'Quality Assessment '!F53" display="'Quality Assessment '!F53" xr:uid="{D2ACC02C-C2C5-4DB8-A8A4-DC0060C0CA2B}"/>
    <hyperlink ref="A126" location="'Quality Assessment '!F68" display="'Quality Assessment '!F68" xr:uid="{B32F75BF-6C0A-4394-B516-AAD15A701D42}"/>
    <hyperlink ref="A71" location="'Quality Assessment '!F44" display="'Quality Assessment '!F44" xr:uid="{0450B87F-9A94-4B12-B63E-A9337B2C4FCE}"/>
    <hyperlink ref="A32" location="'Quality Assessment '!F18" display="'Quality Assessment '!F18" xr:uid="{B2D7405F-2861-4801-B653-D17623328988}"/>
    <hyperlink ref="A33" location="'Quality Assessment '!F18" display="'Quality Assessment '!F18" xr:uid="{B1962B31-0D66-4DBC-A00E-EE57D1ACCCD4}"/>
    <hyperlink ref="A35" location="'Quality Assessment '!F18" display="'Quality Assessment '!F18" xr:uid="{D023257C-699E-4950-BB4B-09206ADB0BCD}"/>
    <hyperlink ref="A36" location="'Quality Assessment '!F21" display="'Quality Assessment '!F21" xr:uid="{6EB6E3F4-2985-4A3E-8B30-4F0C8F01A248}"/>
    <hyperlink ref="A37" location="'Quality Assessment '!F22" display="'Quality Assessment '!F22" xr:uid="{AE5BD5C0-1830-4976-AC19-56D733F09BA4}"/>
    <hyperlink ref="A40" location="'Quality Assessment '!F24" display="'Quality Assessment '!F24" xr:uid="{8B87B431-5EDE-4361-9BDD-BDDC69F99A95}"/>
    <hyperlink ref="A42" location="'Quality Assessment '!F25" display="'Quality Assessment '!F25" xr:uid="{A54E338F-CE65-4858-A589-CF61A2119D31}"/>
    <hyperlink ref="A45" location="'Quality Assessment '!F26" display="'Quality Assessment '!F26" xr:uid="{B6C0776B-60B0-460E-A3B9-CCAE2B0FA201}"/>
    <hyperlink ref="A46" location="'Quality Assessment '!F28" display="'Quality Assessment '!F28" xr:uid="{6586671F-BD2B-4909-A85A-6CF226710050}"/>
    <hyperlink ref="A47" location="'Quality Assessment '!F29" display="'Quality Assessment '!F29" xr:uid="{1AA96B46-9DA1-4933-BFCC-783497170C19}"/>
    <hyperlink ref="A50" location="'Quality Assessment '!F30" display="'Quality Assessment '!F30" xr:uid="{8C5F1627-B226-47E8-B03D-780AF5F878A1}"/>
    <hyperlink ref="A54" location="'Quality Assessment '!F31" display="'Quality Assessment '!F31" xr:uid="{13270227-EB14-47A6-997D-841A31E634F3}"/>
    <hyperlink ref="A60" location="'Quality Assessment '!F35" display="'Quality Assessment '!F35" xr:uid="{7B401A23-1AB4-4988-A29D-F48B4A08215E}"/>
    <hyperlink ref="A57" location="'Quality Assessment '!F33" display="'Quality Assessment '!F33" xr:uid="{0E82934F-2F2D-410C-968E-0D71C39F07AB}"/>
    <hyperlink ref="A65" location="'Quality Assessment '!F38" display="'Quality Assessment '!F38" xr:uid="{71E4519A-96FC-4C54-A589-2252B57C5CE7}"/>
    <hyperlink ref="A74" location="'Quality Assessment '!F78" display="'Quality Assessment '!F78" xr:uid="{F4A5052E-0EAC-4BD6-A901-6AB9FFAEBEE2}"/>
    <hyperlink ref="A91" location="'Quality Assessment '!F52" display="'Quality Assessment '!F52" xr:uid="{F12A7F97-C990-494E-A532-2CB1677DD6BD}"/>
    <hyperlink ref="A140:A141" location="'Quality Assessment '!F72" display="'Quality Assessment '!F72" xr:uid="{D6582B06-73B4-4919-BEE3-137D42B4DC34}"/>
    <hyperlink ref="A140" location="'Quality Assessment '!F73" display="'Quality Assessment '!F73" xr:uid="{5A81063C-0954-4B55-9F3A-07A5A4D47956}"/>
    <hyperlink ref="A141" location="'Quality Assessment '!F74" display="'Quality Assessment '!F74" xr:uid="{202692B9-8363-42AB-B321-3F9FE2B4F4CE}"/>
    <hyperlink ref="A142" location="'Quality Assessment '!F75" display="'Quality Assessment '!F75" xr:uid="{25B5F5BD-0BA1-4F70-A922-20B0A2D09400}"/>
    <hyperlink ref="B153" location="'Initial Search'!A303" display="'Initial Search'!A303" xr:uid="{C1257130-4FE2-45C7-8AEF-796494162007}"/>
    <hyperlink ref="B154" location="'Initial Search'!A271" display="'Initial Search'!A271" xr:uid="{05104F1F-41BF-429A-AA11-594B3A35FFF0}"/>
    <hyperlink ref="B155" location="'Initial Search'!A312" display="'Initial Search'!A312" xr:uid="{E5F276F6-88D4-4E8D-9721-1279E5477E9F}"/>
    <hyperlink ref="B156" location="'Initial Search'!A313" display="'Initial Search'!A313" xr:uid="{E45BA79D-E833-436B-B5B5-7FF048F76926}"/>
    <hyperlink ref="A101" location="'Quality Assessment '!F57" display="'Quality Assessment '!F57" xr:uid="{8660300F-C20D-4D83-B88C-C92F01C7312F}"/>
    <hyperlink ref="A106" location="'Quality Assessment '!F60" display="'Quality Assessment '!F60" xr:uid="{44AB6930-1A31-4691-9393-47CDF58D13E0}"/>
    <hyperlink ref="A109" location="'Quality Assessment '!F62" display="'Quality Assessment '!F62" xr:uid="{C2CD075A-35C1-441D-AAFB-BDA7FD313C3D}"/>
    <hyperlink ref="A153" location="'Quality Assessment '!F60" display="'Quality Assessment '!F60" xr:uid="{038B3699-DABA-4B09-9324-997DACCFD91E}"/>
    <hyperlink ref="A118" location="'Quality Assessment '!F66" display="'Quality Assessment '!F66" xr:uid="{77238E8C-8892-4CF7-A534-2B441573EB8A}"/>
    <hyperlink ref="A154" location="'Feature Study'!F86" display="'Feature Study'!F86" xr:uid="{3B8FF6F5-C6AD-442E-BBEA-FDE752FC2618}"/>
    <hyperlink ref="A155:A156" location="'Feature Study'!F86" display="'Feature Study'!F86" xr:uid="{58B733B1-7C25-44DB-BBDC-2E5B6E73E8C6}"/>
    <hyperlink ref="A155" location="'Feature Study'!F87" display="'Feature Study'!F87" xr:uid="{FF8F8836-5108-4171-9475-7F6872769F58}"/>
    <hyperlink ref="A156" location="'Feature Study'!F88" display="'Feature Study'!F88" xr:uid="{F4EDD492-F463-4630-9E9E-7C5A6B23FB46}"/>
    <hyperlink ref="A128" location="'Quality Assessment '!F69" display="'Quality Assessment '!F69" xr:uid="{D8E5EE0D-E6F0-4BE1-8D9A-9CDC8E8ABA99}"/>
    <hyperlink ref="A143" location="'Quality Assessment '!F79" display="'Quality Assessment '!F79" xr:uid="{02CDE80D-DEBB-4DB0-AB90-6E9171207E1E}"/>
    <hyperlink ref="A149" location="'Quality Assessment '!F80" display="'Quality Assessment '!F80" xr:uid="{B89B1644-A8BC-4FB2-8DD8-DF55F4D1E1B4}"/>
    <hyperlink ref="A151" location="'Quality Assessment '!F82" display="'Quality Assessment '!F82" xr:uid="{F1C1F8E9-E4E6-4E09-ADE2-9A698EA25D7F}"/>
    <hyperlink ref="A152" location="'Quality Assessment '!F83" display="'Quality Assessment '!F83" xr:uid="{02029C41-7C1A-4668-A93F-F07E02E56751}"/>
    <hyperlink ref="B157:B167" location="'Initial Search'!A313" display="'Initial Search'!A313" xr:uid="{DA7E5059-866A-4B6C-9F7F-EB47541F5167}"/>
    <hyperlink ref="A23" location="'Quality Assessment '!F15" display="'Quality Assessment '!F15" xr:uid="{0384CA6A-31CA-47F8-8986-535ABF10A027}"/>
    <hyperlink ref="A77" location="'Quality Assessment '!F87" display="'Quality Assessment '!F87" xr:uid="{B8A66169-C3D8-4D88-BE7E-AFA1DCC739BE}"/>
    <hyperlink ref="A133" location="'Quality Assessment '!F88" display="'Quality Assessment '!F88" xr:uid="{1BC90A9C-1A2A-4595-9C68-D28069EECF74}"/>
    <hyperlink ref="A159" location="'Quality Assessment '!F89" display="A53" xr:uid="{397EB4B1-6929-4105-9345-4AA2B22B3C04}"/>
    <hyperlink ref="A102" location="'Quality Assessment '!F90" display="'Quality Assessment '!F90" xr:uid="{79529056-7514-4315-9402-BCEF4FC93C18}"/>
    <hyperlink ref="A83" location="'Quality Assessment '!F91" display="'Quality Assessment '!F91" xr:uid="{AD7E4DC4-5771-498C-A887-D4B2E8113307}"/>
    <hyperlink ref="A160" location="'Quality Assessment '!F91" display="'Quality Assessment '!F91" xr:uid="{2BB34F98-C44E-41C7-B019-8F873105628E}"/>
    <hyperlink ref="A105" location="'Quality Assessment '!F93" display="'Quality Assessment '!F93" xr:uid="{35923121-32C4-49F4-95E0-7295EC4776AD}"/>
    <hyperlink ref="A161" location="'Quality Assessment '!F94" display="'Quality Assessment '!F94" xr:uid="{7E5E2C67-85A2-4088-915A-D3ACA9F42283}"/>
    <hyperlink ref="A137" location="'Quality Assessment '!F95" display="A57" xr:uid="{7346E13F-B5E2-4CCC-A9D7-6DC0EC8B844A}"/>
    <hyperlink ref="B162" location="'Initial Search'!A331" display="'Initial Search'!A331" xr:uid="{80306653-6B3F-4F12-84FD-F1124BBEAC3C}"/>
    <hyperlink ref="A162" location="'Quality Assessment '!F96" display="'Quality Assessment '!F96" xr:uid="{09A75414-1447-42A6-8247-A8D0F09176C8}"/>
    <hyperlink ref="A165" location="'Quality Assessment '!F98" display="'Quality Assessment '!F98" xr:uid="{B988E308-5EAB-41C2-92B7-802716E144B3}"/>
    <hyperlink ref="A164" location="'Quality Assessment '!F99" display="'Quality Assessment '!F99" xr:uid="{D0AD6A00-3E3D-43E8-9193-7F499BED53D7}"/>
    <hyperlink ref="A163" location="'Quality Assessment '!F98" display="'Quality Assessment '!F98" xr:uid="{39CB576B-7873-4186-A0CF-A3801CFED0EB}"/>
    <hyperlink ref="B168" location="'Initial Search'!A335" display="'Initial Search'!A335" xr:uid="{68A780BD-109D-4772-AA4C-B5CF58A58449}"/>
    <hyperlink ref="B169" location="'Initial Search'!A295" display="'Initial Search'!A295" xr:uid="{FE4D5B8C-1711-4AD4-A89E-AB4458814B90}"/>
    <hyperlink ref="B167" location="'Initial Search'!A329" display="'Initial Search'!A329" xr:uid="{F8BD7BDD-0555-4EF6-BD37-44BE2507FF55}"/>
    <hyperlink ref="A166" location="'Quality Assessment '!F100" display="'Quality Assessment '!F100" xr:uid="{7B0623B5-BD06-44CA-BEBC-3F6E1C6F7907}"/>
    <hyperlink ref="A167" location="'Feature Study'!F100" display="'Feature Study'!F100" xr:uid="{6EC2301C-DB5E-41F2-8CF5-9AD692FDA927}"/>
    <hyperlink ref="A168" location="'Quality Assessment '!F102" display="'Quality Assessment '!F102" xr:uid="{58E12D2A-0630-4165-9325-9DFAAD86F3BB}"/>
    <hyperlink ref="A169" location="'Quality Assessment '!F103" display="'Quality Assessment '!F103" xr:uid="{0337774A-8CB1-47D0-8D2F-E236F49F810F}"/>
    <hyperlink ref="A170" location="'Quality Assessment '!F104" display="'Quality Assessment '!F104" xr:uid="{CC31E26E-9B3F-4ACD-80F1-996CAC1B9F4F}"/>
    <hyperlink ref="B171" location="'Initial Search'!A339" display="'Initial Search'!A339" xr:uid="{D3B17173-C053-4991-9936-1BC572EB5D77}"/>
    <hyperlink ref="B172" location="'Initial Search'!A340" display="'Initial Search'!A340" xr:uid="{2C639FC6-8EEA-40CE-9E37-6C01601327B1}"/>
    <hyperlink ref="B170" location="'Initial Search'!F337" display="'Initial Search'!F337" xr:uid="{243E387B-F82C-4963-A22A-9E480885FD1C}"/>
    <hyperlink ref="A172" location="'Quality Assessment '!F94" display="'Quality Assessment '!F94" xr:uid="{965CDC03-F253-4417-A21D-BC020FFEEB80}"/>
    <hyperlink ref="B173" location="'Feature Study'!A340" display="'Feature Study'!A340" xr:uid="{455B840B-D338-47D5-B5D0-6CAE7D697A9F}"/>
    <hyperlink ref="A173" location="'Quality Assessment '!F94" display="'Quality Assessment '!F94" xr:uid="{D3B7328D-45D8-4632-9CF0-6684408641E7}"/>
    <hyperlink ref="B174" location="'Initial Search'!A353" display="'Initial Search'!A353" xr:uid="{54760063-B5D2-483E-A7B1-50A9C11372CA}"/>
    <hyperlink ref="A174" location="'Quality Assessment '!F94" display="'Quality Assessment '!F94" xr:uid="{D76D9BF9-0A41-4872-BD32-8D031A217FFE}"/>
    <hyperlink ref="B175" location="'Feature Study'!A340" display="'Feature Study'!A340" xr:uid="{4686B1D5-CAC5-4DAA-8575-89F2A159AE11}"/>
    <hyperlink ref="A175" location="'Quality Assessment '!F94" display="'Quality Assessment '!F94" xr:uid="{724E80D8-6365-4AC5-8CFF-DC904F6CBE4C}"/>
    <hyperlink ref="A171" location="'Quality Assessment '!F107" display="'Quality Assessment '!F107" xr:uid="{7B05851C-3DC1-4155-A74B-C73D10834310}"/>
    <hyperlink ref="B176" location="'Feature Study'!A340" display="'Feature Study'!A340" xr:uid="{3FCF3896-6E9D-4280-9A08-1AB15F3214C7}"/>
    <hyperlink ref="B177" location="'Initial Search'!A344" display="'Initial Search'!A344" xr:uid="{EE1BA711-0661-440F-BE41-F371A71D17E8}"/>
    <hyperlink ref="A177" location="'Quality Assessment '!F111" display="'Quality Assessment '!F111" xr:uid="{0AA8015A-A550-4532-B215-6A07B478B350}"/>
    <hyperlink ref="B178" location="'Initial Search'!A346" display="'Initial Search'!A346" xr:uid="{E180C2E8-08D6-4473-87B7-5406AFF0532D}"/>
    <hyperlink ref="B179" location="'Initial Search'!A349" display="'Initial Search'!A349" xr:uid="{C8F0646C-373A-42C0-9769-AB95FD5EA922}"/>
    <hyperlink ref="B180" location="'Feature Study'!A352" display="'Feature Study'!A352" xr:uid="{C91698EF-E460-4DB3-B7FA-3E7E99836D28}"/>
    <hyperlink ref="B181" location="'Initial Search'!A365" display="'Initial Search'!A365" xr:uid="{4492D1E8-1BEF-4757-8F92-D7407B476CBD}"/>
    <hyperlink ref="A181" location="'Quality Assessment '!F53" display="'Quality Assessment '!F53" xr:uid="{8FAC2556-1558-467E-A98A-A9E6E0341157}"/>
    <hyperlink ref="B182" location="'Initial Search'!A368" display="'Initial Search'!A368" xr:uid="{EF0DB960-ECE8-41DC-80C7-4CAF10901DE4}"/>
    <hyperlink ref="B183" location="'Initial Search'!A370" display="'Initial Search'!A370" xr:uid="{63BB6E04-E4EA-43F3-A0FC-1833759174AD}"/>
    <hyperlink ref="A183" location="'Quality Assessment '!F92" display="'Quality Assessment '!F92" xr:uid="{E050935D-1630-49F4-8935-04C4385C67B4}"/>
    <hyperlink ref="B160" location="'Initial Search'!A135" display="'Initial Search'!A135" xr:uid="{EC40839A-0B64-43C9-A495-B4D215B20E3E}"/>
    <hyperlink ref="B159" location="'Initial Search'!A126" display="'Initial Search'!A126" xr:uid="{A2CDCD15-A39C-4942-A186-6110ADE2AE4A}"/>
    <hyperlink ref="B161" location="'Initial Search'!A248" display="'Initial Search'!A248" xr:uid="{DBE261E8-680A-492B-9B17-47D655D7504E}"/>
    <hyperlink ref="B165" location="'Initial Search'!A322" display="'Initial Search'!A322" xr:uid="{45EF9343-F8D0-4802-8C83-181B0F38FB89}"/>
    <hyperlink ref="B163" location="'Initial Search'!A320" display="'Initial Search'!A320" xr:uid="{EEA98187-D77F-4943-A2AD-20F1B10D241B}"/>
    <hyperlink ref="B164" location="'Initial Search'!A321" display="'Initial Search'!A321" xr:uid="{BA832387-9935-4830-880A-C781B4E938D2}"/>
    <hyperlink ref="B166" location="'Initial Search'!A326" display="'Initial Search'!A326" xr:uid="{BD3DA915-EF07-4AE6-808E-CD4F77448014}"/>
  </hyperlinks>
  <pageMargins left="0.7" right="0.7" top="0.75" bottom="0.75" header="0.3" footer="0.3"/>
  <pageSetup orientation="portrait" r:id="rId7"/>
  <ignoredErrors>
    <ignoredError sqref="B168:E168 G16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A18B-F52E-4FE2-8943-5C8BAA30AC7E}">
  <dimension ref="A1:AI134"/>
  <sheetViews>
    <sheetView tabSelected="1" zoomScaleNormal="100" workbookViewId="0">
      <pane ySplit="1" topLeftCell="A2" activePane="bottomLeft" state="frozen"/>
      <selection pane="bottomLeft" activeCell="G52" sqref="G52"/>
    </sheetView>
  </sheetViews>
  <sheetFormatPr defaultRowHeight="15" x14ac:dyDescent="0.25"/>
  <cols>
    <col min="1" max="1" width="95.140625" customWidth="1"/>
    <col min="2" max="4" width="10.85546875" style="235" customWidth="1"/>
    <col min="5" max="5" width="12.42578125" style="235" customWidth="1"/>
    <col min="6" max="6" width="10.85546875" style="235" customWidth="1"/>
    <col min="7" max="7" width="21.7109375" style="235" customWidth="1"/>
    <col min="8" max="9" width="11.140625" customWidth="1"/>
    <col min="10" max="10" width="11.7109375" customWidth="1"/>
    <col min="11" max="11" width="12" customWidth="1"/>
    <col min="12" max="12" width="13.28515625" customWidth="1"/>
    <col min="13" max="13" width="12.140625" customWidth="1"/>
    <col min="14" max="14" width="11.5703125" customWidth="1"/>
    <col min="15" max="15" width="12" customWidth="1"/>
    <col min="16" max="17" width="11.140625" customWidth="1"/>
    <col min="18" max="18" width="7.5703125" customWidth="1"/>
    <col min="19" max="19" width="6.28515625" customWidth="1"/>
    <col min="20" max="20" width="15" customWidth="1"/>
    <col min="21" max="21" width="4.7109375" customWidth="1"/>
    <col min="22" max="22" width="11.140625" customWidth="1"/>
    <col min="23" max="23" width="11.28515625" customWidth="1"/>
    <col min="24" max="24" width="11" customWidth="1"/>
    <col min="25" max="26" width="10.42578125" customWidth="1"/>
    <col min="27" max="28" width="10.140625" customWidth="1"/>
    <col min="29" max="29" width="34.42578125" customWidth="1"/>
    <col min="31" max="31" width="5.5703125" customWidth="1"/>
    <col min="32" max="32" width="79.5703125" customWidth="1"/>
    <col min="33" max="33" width="5.140625" style="235" customWidth="1"/>
    <col min="34" max="34" width="71.5703125" customWidth="1"/>
  </cols>
  <sheetData>
    <row r="1" spans="1:35" s="2" customFormat="1" ht="24" x14ac:dyDescent="0.25">
      <c r="A1" s="387" t="s">
        <v>1</v>
      </c>
      <c r="B1" s="387" t="s">
        <v>1616</v>
      </c>
      <c r="C1" s="387" t="s">
        <v>2468</v>
      </c>
      <c r="D1" s="387" t="s">
        <v>1676</v>
      </c>
      <c r="E1" s="387" t="s">
        <v>2081</v>
      </c>
      <c r="F1" s="387" t="s">
        <v>2083</v>
      </c>
      <c r="G1" s="387" t="s">
        <v>2082</v>
      </c>
      <c r="H1" s="20" t="s">
        <v>1625</v>
      </c>
      <c r="I1" s="20" t="s">
        <v>1636</v>
      </c>
      <c r="J1" s="20" t="s">
        <v>561</v>
      </c>
      <c r="K1" s="20" t="s">
        <v>1637</v>
      </c>
      <c r="L1" s="20" t="s">
        <v>2071</v>
      </c>
      <c r="M1" s="20" t="s">
        <v>1617</v>
      </c>
      <c r="N1" s="20" t="s">
        <v>1618</v>
      </c>
      <c r="O1" s="20" t="s">
        <v>1627</v>
      </c>
      <c r="P1" s="20" t="s">
        <v>1639</v>
      </c>
      <c r="Q1" s="231" t="s">
        <v>2074</v>
      </c>
      <c r="R1" s="387" t="s">
        <v>1619</v>
      </c>
      <c r="S1" s="387" t="s">
        <v>1620</v>
      </c>
      <c r="T1" s="21"/>
      <c r="U1" s="21"/>
      <c r="V1" s="21"/>
      <c r="W1" s="21"/>
      <c r="X1" s="21"/>
      <c r="Y1" s="21"/>
      <c r="Z1" s="21"/>
      <c r="AA1" s="21"/>
      <c r="AB1" s="21"/>
      <c r="AC1" s="21"/>
    </row>
    <row r="2" spans="1:35" s="2" customFormat="1" x14ac:dyDescent="0.25">
      <c r="A2" s="388"/>
      <c r="B2" s="388"/>
      <c r="C2" s="388"/>
      <c r="D2" s="388"/>
      <c r="E2" s="388"/>
      <c r="F2" s="388"/>
      <c r="G2" s="388"/>
      <c r="H2" s="26" t="s">
        <v>1611</v>
      </c>
      <c r="I2" s="26" t="s">
        <v>1612</v>
      </c>
      <c r="J2" s="26" t="s">
        <v>1613</v>
      </c>
      <c r="K2" s="26" t="s">
        <v>1614</v>
      </c>
      <c r="L2" s="26" t="s">
        <v>1615</v>
      </c>
      <c r="M2" s="26" t="s">
        <v>1632</v>
      </c>
      <c r="N2" s="26" t="s">
        <v>1633</v>
      </c>
      <c r="O2" s="26" t="s">
        <v>1634</v>
      </c>
      <c r="P2" s="26" t="s">
        <v>1635</v>
      </c>
      <c r="Q2" s="78" t="s">
        <v>2075</v>
      </c>
      <c r="R2" s="388"/>
      <c r="S2" s="388"/>
      <c r="T2" s="21"/>
      <c r="U2" s="21"/>
      <c r="V2" s="21"/>
      <c r="W2" s="21"/>
      <c r="X2" s="21"/>
      <c r="Y2" s="21"/>
      <c r="Z2" s="21"/>
      <c r="AA2" s="21"/>
      <c r="AB2" s="21"/>
      <c r="AC2" s="21"/>
    </row>
    <row r="3" spans="1:35" x14ac:dyDescent="0.25">
      <c r="A3" s="55" t="str">
        <f>'Initial Search'!D90</f>
        <v>Distributed Collaborative Model Editing Framework for Domain Specific Modeling Tools</v>
      </c>
      <c r="B3" s="22">
        <f>ROW('Initial Search'!90:90)</f>
        <v>90</v>
      </c>
      <c r="C3" s="22">
        <f>ROW('Feature Study'!6:6)</f>
        <v>6</v>
      </c>
      <c r="D3" s="23" t="str">
        <f>'Initial Search'!M90</f>
        <v>Accepted</v>
      </c>
      <c r="E3" s="23" t="str">
        <f>'Initial Search'!N90</f>
        <v>Approved</v>
      </c>
      <c r="F3" s="389" t="s">
        <v>2120</v>
      </c>
      <c r="G3" s="23" t="str">
        <f>'Initial Search'!O90</f>
        <v>DiCoMEF</v>
      </c>
      <c r="H3" s="55" t="s">
        <v>1623</v>
      </c>
      <c r="I3" s="55" t="s">
        <v>1624</v>
      </c>
      <c r="J3" s="55" t="s">
        <v>1624</v>
      </c>
      <c r="K3" s="55" t="s">
        <v>1624</v>
      </c>
      <c r="L3" s="55" t="s">
        <v>1621</v>
      </c>
      <c r="M3" s="55" t="s">
        <v>1623</v>
      </c>
      <c r="N3" s="55" t="s">
        <v>1623</v>
      </c>
      <c r="O3" s="55" t="s">
        <v>1621</v>
      </c>
      <c r="P3" s="55" t="s">
        <v>1623</v>
      </c>
      <c r="Q3" s="55" t="s">
        <v>1621</v>
      </c>
      <c r="R3" s="55">
        <f t="shared" ref="R3:R34" si="0">COUNTIF(H3:N3,"Yes") + 0.5 * COUNTIF(H3:N3,"partially")</f>
        <v>4.5</v>
      </c>
      <c r="S3" s="55">
        <f>R3/7*100</f>
        <v>64.285714285714292</v>
      </c>
      <c r="T3" s="73"/>
      <c r="V3" s="393"/>
      <c r="W3" s="394"/>
      <c r="X3" s="395"/>
      <c r="Y3" s="396" t="s">
        <v>1622</v>
      </c>
      <c r="Z3" s="397"/>
      <c r="AA3" s="397"/>
      <c r="AB3" s="398"/>
      <c r="AC3" s="16"/>
    </row>
    <row r="4" spans="1:35" x14ac:dyDescent="0.25">
      <c r="A4" s="55" t="str">
        <f>'Initial Search'!D3</f>
        <v>Collaborative editing of EMF/Ecore meta-models and models conflict detection, reconciliation, and merging in DiCoMEF</v>
      </c>
      <c r="B4" s="22">
        <f>ROW('Initial Search'!3:3)</f>
        <v>3</v>
      </c>
      <c r="C4" s="22">
        <f>ROW('Feature Study'!7:7)</f>
        <v>7</v>
      </c>
      <c r="D4" s="23" t="str">
        <f>'Initial Search'!M3</f>
        <v>Accepted</v>
      </c>
      <c r="E4" s="23" t="str">
        <f>'Initial Search'!N3</f>
        <v>Approved</v>
      </c>
      <c r="F4" s="391"/>
      <c r="G4" s="23" t="str">
        <f>'Initial Search'!O3</f>
        <v>DiCoMEF</v>
      </c>
      <c r="H4" s="55" t="s">
        <v>1623</v>
      </c>
      <c r="I4" s="55" t="s">
        <v>1623</v>
      </c>
      <c r="J4" s="55" t="s">
        <v>1623</v>
      </c>
      <c r="K4" s="55" t="s">
        <v>1621</v>
      </c>
      <c r="L4" s="55" t="s">
        <v>1624</v>
      </c>
      <c r="M4" s="55" t="s">
        <v>1621</v>
      </c>
      <c r="N4" s="55" t="s">
        <v>1624</v>
      </c>
      <c r="O4" s="55" t="s">
        <v>1621</v>
      </c>
      <c r="P4" s="55" t="s">
        <v>1624</v>
      </c>
      <c r="Q4" s="55" t="s">
        <v>1624</v>
      </c>
      <c r="R4" s="55">
        <f t="shared" si="0"/>
        <v>4</v>
      </c>
      <c r="S4" s="55">
        <f t="shared" ref="S4:S82" si="1">R4/7*100</f>
        <v>57.142857142857139</v>
      </c>
      <c r="T4" s="73"/>
      <c r="V4" s="232"/>
      <c r="W4" s="233"/>
      <c r="X4" s="234"/>
      <c r="Y4" s="228"/>
      <c r="Z4" s="229"/>
      <c r="AA4" s="229"/>
      <c r="AB4" s="230"/>
      <c r="AC4" s="16"/>
    </row>
    <row r="5" spans="1:35" x14ac:dyDescent="0.25">
      <c r="A5" s="55" t="str">
        <f>'Initial Search'!D171</f>
        <v>Collaborative editing of EMF/Ecore meta-models and models: Conflict detection, reconciliation, and merging in DiCoMEF</v>
      </c>
      <c r="B5" s="22">
        <f>ROW('Initial Search'!171:171)</f>
        <v>171</v>
      </c>
      <c r="C5" s="22">
        <f>ROW('Feature Study'!8:8)</f>
        <v>8</v>
      </c>
      <c r="D5" s="23" t="str">
        <f>'Initial Search'!M171</f>
        <v>Accepted</v>
      </c>
      <c r="E5" s="23" t="str">
        <f>'Initial Search'!N171</f>
        <v>Approved</v>
      </c>
      <c r="F5" s="390"/>
      <c r="G5" s="23" t="str">
        <f>'Initial Search'!O171</f>
        <v>DiCoMEF</v>
      </c>
      <c r="H5" s="55" t="s">
        <v>1623</v>
      </c>
      <c r="I5" s="55" t="s">
        <v>1623</v>
      </c>
      <c r="J5" s="55" t="s">
        <v>1623</v>
      </c>
      <c r="K5" s="55" t="s">
        <v>1623</v>
      </c>
      <c r="L5" s="55" t="s">
        <v>1623</v>
      </c>
      <c r="M5" s="55" t="s">
        <v>1623</v>
      </c>
      <c r="N5" s="55" t="s">
        <v>1623</v>
      </c>
      <c r="O5" s="55" t="s">
        <v>1621</v>
      </c>
      <c r="P5" s="55" t="s">
        <v>1623</v>
      </c>
      <c r="Q5" s="55" t="s">
        <v>1624</v>
      </c>
      <c r="R5" s="55">
        <f t="shared" si="0"/>
        <v>7</v>
      </c>
      <c r="S5" s="55">
        <f t="shared" si="1"/>
        <v>100</v>
      </c>
      <c r="T5" s="73"/>
      <c r="V5" s="18" t="s">
        <v>1623</v>
      </c>
      <c r="W5" s="18" t="s">
        <v>1624</v>
      </c>
      <c r="X5" s="18" t="s">
        <v>1621</v>
      </c>
      <c r="Y5" s="18" t="s">
        <v>551</v>
      </c>
      <c r="Z5" s="18" t="s">
        <v>1623</v>
      </c>
      <c r="AA5" s="18" t="s">
        <v>1624</v>
      </c>
      <c r="AB5" s="18" t="s">
        <v>1631</v>
      </c>
      <c r="AC5" s="16"/>
    </row>
    <row r="6" spans="1:35" x14ac:dyDescent="0.25">
      <c r="A6" s="55" t="str">
        <f>'Initial Search'!D4</f>
        <v>Composite-based conflict resolution in merging versions of UML models</v>
      </c>
      <c r="B6" s="22">
        <f>ROW('Initial Search'!4:4)</f>
        <v>4</v>
      </c>
      <c r="C6" s="22">
        <f>ROW('Feature Study'!10:10)</f>
        <v>10</v>
      </c>
      <c r="D6" s="23" t="str">
        <f>'Initial Search'!M4</f>
        <v>Accepted</v>
      </c>
      <c r="E6" s="23" t="str">
        <f>'Initial Search'!N4</f>
        <v>Approved</v>
      </c>
      <c r="F6" s="23" t="s">
        <v>2119</v>
      </c>
      <c r="G6" s="23" t="str">
        <f>'Initial Search'!O4</f>
        <v>Chong et al.</v>
      </c>
      <c r="H6" s="55" t="s">
        <v>1623</v>
      </c>
      <c r="I6" s="55" t="s">
        <v>1623</v>
      </c>
      <c r="J6" s="55" t="s">
        <v>1623</v>
      </c>
      <c r="K6" s="55" t="s">
        <v>1623</v>
      </c>
      <c r="L6" s="55" t="s">
        <v>1624</v>
      </c>
      <c r="M6" s="55" t="s">
        <v>1623</v>
      </c>
      <c r="N6" s="55" t="s">
        <v>1624</v>
      </c>
      <c r="O6" s="55" t="s">
        <v>1621</v>
      </c>
      <c r="P6" s="55" t="s">
        <v>1624</v>
      </c>
      <c r="Q6" s="55" t="s">
        <v>1621</v>
      </c>
      <c r="R6" s="55">
        <f t="shared" si="0"/>
        <v>6</v>
      </c>
      <c r="S6" s="55">
        <f t="shared" si="1"/>
        <v>85.714285714285708</v>
      </c>
      <c r="T6" s="73"/>
      <c r="V6" s="17">
        <f t="shared" ref="V6:V15" si="2">Z6/Y6</f>
        <v>0.9107142857142857</v>
      </c>
      <c r="W6" s="17">
        <f t="shared" ref="W6:W15" si="3">AA6/Y6</f>
        <v>8.9285714285714288E-2</v>
      </c>
      <c r="X6" s="17">
        <f t="shared" ref="X6:X15" si="4">AB6/Y6</f>
        <v>0</v>
      </c>
      <c r="Y6" s="17">
        <f t="shared" ref="Y6:Y15" si="5">AB6+AA6+Z6</f>
        <v>112</v>
      </c>
      <c r="Z6" s="17">
        <f>COUNTIF(H3:H114,"Yes")</f>
        <v>102</v>
      </c>
      <c r="AA6" s="17">
        <f>COUNTIF(H3:H114,"Partially")</f>
        <v>10</v>
      </c>
      <c r="AB6" s="17">
        <f>COUNTIF(H3:H114,"No")</f>
        <v>0</v>
      </c>
      <c r="AC6" s="19" t="s">
        <v>1625</v>
      </c>
      <c r="AD6" t="s">
        <v>1611</v>
      </c>
      <c r="AE6" s="235" t="s">
        <v>2065</v>
      </c>
      <c r="AF6" t="s">
        <v>2067</v>
      </c>
      <c r="AH6" t="s">
        <v>2055</v>
      </c>
    </row>
    <row r="7" spans="1:35" x14ac:dyDescent="0.25">
      <c r="A7" s="55" t="str">
        <f>'Initial Search'!D6</f>
        <v>Operation-based conflict detection and resolution</v>
      </c>
      <c r="B7" s="22">
        <f>ROW('Initial Search'!6:6)</f>
        <v>6</v>
      </c>
      <c r="C7" s="22">
        <f>ROW('Feature Study'!11:11)</f>
        <v>11</v>
      </c>
      <c r="D7" s="23" t="str">
        <f>'Initial Search'!M6</f>
        <v>Accepted</v>
      </c>
      <c r="E7" s="23" t="str">
        <f>'Initial Search'!N6</f>
        <v>Approved</v>
      </c>
      <c r="F7" s="389" t="s">
        <v>2118</v>
      </c>
      <c r="G7" s="23" t="str">
        <f>'Initial Search'!O6</f>
        <v>SCM (UniCase+)</v>
      </c>
      <c r="H7" s="55" t="s">
        <v>1624</v>
      </c>
      <c r="I7" s="55" t="s">
        <v>1623</v>
      </c>
      <c r="J7" s="55" t="s">
        <v>1623</v>
      </c>
      <c r="K7" s="55" t="s">
        <v>1621</v>
      </c>
      <c r="L7" s="55" t="s">
        <v>1624</v>
      </c>
      <c r="M7" s="55" t="s">
        <v>1621</v>
      </c>
      <c r="N7" s="55" t="s">
        <v>1623</v>
      </c>
      <c r="O7" s="55" t="s">
        <v>1621</v>
      </c>
      <c r="P7" s="55" t="s">
        <v>1624</v>
      </c>
      <c r="Q7" s="55" t="s">
        <v>1624</v>
      </c>
      <c r="R7" s="55">
        <f t="shared" si="0"/>
        <v>4</v>
      </c>
      <c r="S7" s="55">
        <f t="shared" si="1"/>
        <v>57.142857142857139</v>
      </c>
      <c r="T7" s="73"/>
      <c r="V7" s="17">
        <f t="shared" si="2"/>
        <v>0.5982142857142857</v>
      </c>
      <c r="W7" s="17">
        <f t="shared" si="3"/>
        <v>0.19642857142857142</v>
      </c>
      <c r="X7" s="17">
        <f>(AB7/Y7)-0.004</f>
        <v>0.20135714285714285</v>
      </c>
      <c r="Y7" s="17">
        <f t="shared" si="5"/>
        <v>112</v>
      </c>
      <c r="Z7" s="17">
        <f>COUNTIF(I3:I114,"Yes")</f>
        <v>67</v>
      </c>
      <c r="AA7" s="17">
        <f>COUNTIF(I3:I114,"Partially")</f>
        <v>22</v>
      </c>
      <c r="AB7" s="17">
        <f>COUNTIF(I3:I114,"No")</f>
        <v>23</v>
      </c>
      <c r="AC7" s="19" t="s">
        <v>1636</v>
      </c>
      <c r="AD7" t="s">
        <v>1612</v>
      </c>
      <c r="AE7" s="235" t="s">
        <v>2065</v>
      </c>
      <c r="AF7" t="s">
        <v>2068</v>
      </c>
      <c r="AH7" t="s">
        <v>2057</v>
      </c>
    </row>
    <row r="8" spans="1:35" x14ac:dyDescent="0.25">
      <c r="A8" s="55" t="str">
        <f>'Initial Search'!D113</f>
        <v>Operation-based conflict detection</v>
      </c>
      <c r="B8" s="22">
        <f>ROW('Initial Search'!113:113)</f>
        <v>113</v>
      </c>
      <c r="C8" s="22">
        <f>ROW('Feature Study'!13:13)</f>
        <v>13</v>
      </c>
      <c r="D8" s="23" t="str">
        <f>'Initial Search'!M113</f>
        <v>Accepted</v>
      </c>
      <c r="E8" s="23" t="str">
        <f>'Initial Search'!N113</f>
        <v>Approved</v>
      </c>
      <c r="F8" s="391"/>
      <c r="G8" s="23" t="str">
        <f>'Initial Search'!O113</f>
        <v>SCM (UniCase+)</v>
      </c>
      <c r="H8" s="55" t="s">
        <v>1624</v>
      </c>
      <c r="I8" s="55" t="s">
        <v>1621</v>
      </c>
      <c r="J8" s="55" t="s">
        <v>1623</v>
      </c>
      <c r="K8" s="55" t="s">
        <v>1623</v>
      </c>
      <c r="L8" s="55" t="s">
        <v>1623</v>
      </c>
      <c r="M8" s="55" t="s">
        <v>1624</v>
      </c>
      <c r="N8" s="55" t="s">
        <v>1621</v>
      </c>
      <c r="O8" s="55" t="s">
        <v>1621</v>
      </c>
      <c r="P8" s="55" t="s">
        <v>1623</v>
      </c>
      <c r="Q8" s="55" t="s">
        <v>1621</v>
      </c>
      <c r="R8" s="55">
        <f t="shared" si="0"/>
        <v>4</v>
      </c>
      <c r="S8" s="55">
        <f t="shared" si="1"/>
        <v>57.142857142857139</v>
      </c>
      <c r="T8" s="73"/>
      <c r="V8" s="17">
        <f t="shared" si="2"/>
        <v>0.8660714285714286</v>
      </c>
      <c r="W8" s="17">
        <f t="shared" si="3"/>
        <v>0.13392857142857142</v>
      </c>
      <c r="X8" s="17">
        <f t="shared" si="4"/>
        <v>0</v>
      </c>
      <c r="Y8" s="17">
        <f t="shared" si="5"/>
        <v>112</v>
      </c>
      <c r="Z8" s="17">
        <f>COUNTIF(J3:J114,"Yes")</f>
        <v>97</v>
      </c>
      <c r="AA8" s="17">
        <f>COUNTIF(J3:J114,"Partially")</f>
        <v>15</v>
      </c>
      <c r="AB8" s="17">
        <f>COUNTIF(J3:J114,"No")</f>
        <v>0</v>
      </c>
      <c r="AC8" s="19" t="s">
        <v>561</v>
      </c>
      <c r="AD8" t="s">
        <v>1613</v>
      </c>
      <c r="AE8" s="235" t="s">
        <v>2065</v>
      </c>
      <c r="AF8" t="s">
        <v>2073</v>
      </c>
      <c r="AH8" t="s">
        <v>2059</v>
      </c>
    </row>
    <row r="9" spans="1:35" x14ac:dyDescent="0.25">
      <c r="A9" s="55" t="str">
        <f>'Initial Search'!D148</f>
        <v>Collaborative model merging</v>
      </c>
      <c r="B9" s="22">
        <f>ROW('Initial Search'!148:148)</f>
        <v>148</v>
      </c>
      <c r="C9" s="22">
        <f>ROW('Feature Study'!14:14)</f>
        <v>14</v>
      </c>
      <c r="D9" s="23" t="str">
        <f>'Initial Search'!M148</f>
        <v>Accepted</v>
      </c>
      <c r="E9" s="23" t="str">
        <f>'Initial Search'!N148</f>
        <v>Disapproved</v>
      </c>
      <c r="F9" s="390"/>
      <c r="G9" s="23" t="str">
        <f>'Initial Search'!O148</f>
        <v>SCM (UniCase+)</v>
      </c>
      <c r="H9" s="55" t="s">
        <v>1624</v>
      </c>
      <c r="I9" s="55" t="s">
        <v>1621</v>
      </c>
      <c r="J9" s="55" t="s">
        <v>1624</v>
      </c>
      <c r="K9" s="55" t="s">
        <v>1624</v>
      </c>
      <c r="L9" s="55" t="s">
        <v>1624</v>
      </c>
      <c r="M9" s="55" t="s">
        <v>1624</v>
      </c>
      <c r="N9" s="55" t="s">
        <v>1621</v>
      </c>
      <c r="O9" s="55" t="s">
        <v>1621</v>
      </c>
      <c r="P9" s="55" t="s">
        <v>1623</v>
      </c>
      <c r="Q9" s="55" t="s">
        <v>1621</v>
      </c>
      <c r="R9" s="55">
        <f t="shared" si="0"/>
        <v>2.5</v>
      </c>
      <c r="S9" s="81">
        <f t="shared" si="1"/>
        <v>35.714285714285715</v>
      </c>
      <c r="T9" s="73"/>
      <c r="V9" s="17">
        <f t="shared" si="2"/>
        <v>0.22321428571428573</v>
      </c>
      <c r="W9" s="17">
        <f t="shared" si="3"/>
        <v>0.35714285714285715</v>
      </c>
      <c r="X9" s="17">
        <f t="shared" si="4"/>
        <v>0.41964285714285715</v>
      </c>
      <c r="Y9" s="17">
        <f t="shared" si="5"/>
        <v>112</v>
      </c>
      <c r="Z9" s="17">
        <f>COUNTIF(K3:K114,"Yes")</f>
        <v>25</v>
      </c>
      <c r="AA9" s="17">
        <f>COUNTIF(K3:K114,"Partially")</f>
        <v>40</v>
      </c>
      <c r="AB9" s="17">
        <f>COUNTIF(K3:K114,"No")</f>
        <v>47</v>
      </c>
      <c r="AC9" s="19" t="s">
        <v>1640</v>
      </c>
      <c r="AD9" t="s">
        <v>1614</v>
      </c>
      <c r="AE9" s="235" t="s">
        <v>2065</v>
      </c>
      <c r="AF9" t="s">
        <v>2062</v>
      </c>
      <c r="AH9" s="71" t="s">
        <v>2076</v>
      </c>
    </row>
    <row r="10" spans="1:35" x14ac:dyDescent="0.25">
      <c r="A10" s="55" t="str">
        <f>'Initial Search'!D8</f>
        <v>Collaborative-Design Conflicts: Costs and Solutions</v>
      </c>
      <c r="B10" s="22">
        <f>ROW('Initial Search'!8:8)</f>
        <v>8</v>
      </c>
      <c r="C10" s="22">
        <f>ROW('Feature Study'!17:17)</f>
        <v>17</v>
      </c>
      <c r="D10" s="23" t="str">
        <f>'Initial Search'!M8</f>
        <v>Accepted</v>
      </c>
      <c r="E10" s="23" t="str">
        <f>'Initial Search'!N8</f>
        <v>Approved</v>
      </c>
      <c r="F10" s="389" t="s">
        <v>2117</v>
      </c>
      <c r="G10" s="23" t="str">
        <f>'Initial Search'!O8</f>
        <v>FLAME</v>
      </c>
      <c r="H10" s="55" t="s">
        <v>1623</v>
      </c>
      <c r="I10" s="55" t="s">
        <v>1621</v>
      </c>
      <c r="J10" s="55" t="s">
        <v>1623</v>
      </c>
      <c r="K10" s="55" t="s">
        <v>1621</v>
      </c>
      <c r="L10" s="55" t="s">
        <v>1623</v>
      </c>
      <c r="M10" s="55" t="s">
        <v>1624</v>
      </c>
      <c r="N10" s="55" t="s">
        <v>1623</v>
      </c>
      <c r="O10" s="55" t="s">
        <v>1621</v>
      </c>
      <c r="P10" s="55" t="s">
        <v>1623</v>
      </c>
      <c r="Q10" s="55" t="s">
        <v>1621</v>
      </c>
      <c r="R10" s="55">
        <f t="shared" si="0"/>
        <v>4.5</v>
      </c>
      <c r="S10" s="55">
        <f t="shared" si="1"/>
        <v>64.285714285714292</v>
      </c>
      <c r="T10" s="73"/>
      <c r="V10" s="17">
        <f t="shared" si="2"/>
        <v>0.20535714285714285</v>
      </c>
      <c r="W10" s="17">
        <f t="shared" si="3"/>
        <v>0.5892857142857143</v>
      </c>
      <c r="X10" s="17">
        <f>(AB10/Y10)-0.001</f>
        <v>0.20435714285714285</v>
      </c>
      <c r="Y10" s="17">
        <f t="shared" si="5"/>
        <v>112</v>
      </c>
      <c r="Z10" s="17">
        <f>COUNTIF(L3:L114,"Yes")</f>
        <v>23</v>
      </c>
      <c r="AA10" s="17">
        <f>COUNTIF(L3:L114,"Partially")</f>
        <v>66</v>
      </c>
      <c r="AB10" s="17">
        <f>COUNTIF(L3:L114,"No")</f>
        <v>23</v>
      </c>
      <c r="AC10" s="19" t="s">
        <v>2071</v>
      </c>
      <c r="AD10" t="s">
        <v>1615</v>
      </c>
      <c r="AE10" s="235" t="s">
        <v>2065</v>
      </c>
      <c r="AF10" t="s">
        <v>3100</v>
      </c>
      <c r="AH10" t="s">
        <v>2061</v>
      </c>
      <c r="AI10" t="s">
        <v>2072</v>
      </c>
    </row>
    <row r="11" spans="1:35" x14ac:dyDescent="0.25">
      <c r="A11" s="55" t="str">
        <f>'Initial Search'!D14</f>
        <v>Proactive Detection of Higher-Order Software Design Conflicts</v>
      </c>
      <c r="B11" s="22">
        <f>ROW('Initial Search'!14:14)</f>
        <v>14</v>
      </c>
      <c r="C11" s="22">
        <f>ROW('Feature Study'!18:18)</f>
        <v>18</v>
      </c>
      <c r="D11" s="23" t="str">
        <f>'Initial Search'!M14</f>
        <v>Accepted</v>
      </c>
      <c r="E11" s="23" t="str">
        <f>'Initial Search'!N14</f>
        <v>Approved</v>
      </c>
      <c r="F11" s="391"/>
      <c r="G11" s="23" t="str">
        <f>'Initial Search'!O14</f>
        <v>FLAME</v>
      </c>
      <c r="H11" s="55" t="s">
        <v>1623</v>
      </c>
      <c r="I11" s="55" t="s">
        <v>1621</v>
      </c>
      <c r="J11" s="55" t="s">
        <v>1623</v>
      </c>
      <c r="K11" s="55" t="s">
        <v>1623</v>
      </c>
      <c r="L11" s="55" t="s">
        <v>1623</v>
      </c>
      <c r="M11" s="55" t="s">
        <v>1623</v>
      </c>
      <c r="N11" s="55" t="s">
        <v>1621</v>
      </c>
      <c r="O11" s="55" t="s">
        <v>1621</v>
      </c>
      <c r="P11" s="55" t="s">
        <v>1623</v>
      </c>
      <c r="Q11" s="55" t="s">
        <v>1621</v>
      </c>
      <c r="R11" s="55">
        <f t="shared" si="0"/>
        <v>5</v>
      </c>
      <c r="S11" s="55">
        <f t="shared" si="1"/>
        <v>71.428571428571431</v>
      </c>
      <c r="T11" s="73"/>
      <c r="V11" s="17">
        <f t="shared" si="2"/>
        <v>0.6160714285714286</v>
      </c>
      <c r="W11" s="17">
        <f t="shared" si="3"/>
        <v>0.25892857142857145</v>
      </c>
      <c r="X11" s="17">
        <f>(AB11/Y11)-0.001</f>
        <v>0.124</v>
      </c>
      <c r="Y11" s="17">
        <f t="shared" si="5"/>
        <v>112</v>
      </c>
      <c r="Z11" s="16">
        <f>COUNTIF(M3:M114,"Yes")</f>
        <v>69</v>
      </c>
      <c r="AA11" s="16">
        <f>COUNTIF(M3:M114,"Partially")</f>
        <v>29</v>
      </c>
      <c r="AB11" s="17">
        <f>COUNTIF(M3:M114,"No")</f>
        <v>14</v>
      </c>
      <c r="AC11" s="19" t="s">
        <v>1626</v>
      </c>
      <c r="AD11" t="s">
        <v>1632</v>
      </c>
      <c r="AE11" s="235" t="s">
        <v>2065</v>
      </c>
      <c r="AF11" t="s">
        <v>2069</v>
      </c>
      <c r="AH11" t="s">
        <v>2056</v>
      </c>
    </row>
    <row r="12" spans="1:35" x14ac:dyDescent="0.25">
      <c r="A12" s="55" t="str">
        <f>'Initial Search'!D86</f>
        <v>Continuous Analysis of Collaborative Design</v>
      </c>
      <c r="B12" s="22">
        <f>ROW('Initial Search'!86:86)</f>
        <v>86</v>
      </c>
      <c r="C12" s="22">
        <f>ROW('Feature Study'!19:19)</f>
        <v>19</v>
      </c>
      <c r="D12" s="23" t="str">
        <f>'Initial Search'!M86</f>
        <v>Accepted</v>
      </c>
      <c r="E12" s="23" t="str">
        <f>'Initial Search'!N86</f>
        <v>Approved</v>
      </c>
      <c r="F12" s="390"/>
      <c r="G12" s="23" t="str">
        <f>'Initial Search'!O86</f>
        <v>FLAME</v>
      </c>
      <c r="H12" s="55" t="s">
        <v>1623</v>
      </c>
      <c r="I12" s="55" t="s">
        <v>1621</v>
      </c>
      <c r="J12" s="55" t="s">
        <v>1623</v>
      </c>
      <c r="K12" s="55" t="s">
        <v>1623</v>
      </c>
      <c r="L12" s="55" t="s">
        <v>1623</v>
      </c>
      <c r="M12" s="55" t="s">
        <v>1623</v>
      </c>
      <c r="N12" s="55" t="s">
        <v>1621</v>
      </c>
      <c r="O12" s="55" t="s">
        <v>1621</v>
      </c>
      <c r="P12" s="55" t="s">
        <v>1623</v>
      </c>
      <c r="Q12" s="55" t="s">
        <v>1621</v>
      </c>
      <c r="R12" s="55">
        <f t="shared" si="0"/>
        <v>5</v>
      </c>
      <c r="S12" s="55">
        <f t="shared" si="1"/>
        <v>71.428571428571431</v>
      </c>
      <c r="T12" s="73"/>
      <c r="V12" s="17">
        <f t="shared" si="2"/>
        <v>0.4732142857142857</v>
      </c>
      <c r="W12" s="17">
        <f t="shared" si="3"/>
        <v>0.4107142857142857</v>
      </c>
      <c r="X12" s="17">
        <f>AB12/Y12</f>
        <v>0.11607142857142858</v>
      </c>
      <c r="Y12" s="17">
        <f t="shared" si="5"/>
        <v>112</v>
      </c>
      <c r="Z12" s="16">
        <f>COUNTIF(N3:N114,"Yes")</f>
        <v>53</v>
      </c>
      <c r="AA12" s="16">
        <f>COUNTIF(N3:N114,"Partially")</f>
        <v>46</v>
      </c>
      <c r="AB12" s="17">
        <f>COUNTIF(N3:N114,"No")</f>
        <v>13</v>
      </c>
      <c r="AC12" s="19" t="s">
        <v>1628</v>
      </c>
      <c r="AD12" t="s">
        <v>1633</v>
      </c>
      <c r="AE12" s="235" t="s">
        <v>2065</v>
      </c>
      <c r="AF12" t="s">
        <v>2063</v>
      </c>
    </row>
    <row r="13" spans="1:35" x14ac:dyDescent="0.25">
      <c r="A13" s="55" t="str">
        <f>'Initial Search'!D10</f>
        <v>Inconsistency Resolution in Merging Versions of Architectural Models</v>
      </c>
      <c r="B13" s="22">
        <f>ROW('Initial Search'!10:10)</f>
        <v>10</v>
      </c>
      <c r="C13" s="22">
        <f>ROW('Feature Study'!21:21)</f>
        <v>21</v>
      </c>
      <c r="D13" s="23" t="str">
        <f>'Initial Search'!M10</f>
        <v>Accepted</v>
      </c>
      <c r="E13" s="23" t="str">
        <f>'Initial Search'!N10</f>
        <v>Approved</v>
      </c>
      <c r="F13" s="389" t="s">
        <v>2116</v>
      </c>
      <c r="G13" s="23" t="str">
        <f>'Initial Search'!O10</f>
        <v>Dam et al.</v>
      </c>
      <c r="H13" s="55" t="s">
        <v>1623</v>
      </c>
      <c r="I13" s="55" t="s">
        <v>1623</v>
      </c>
      <c r="J13" s="55" t="s">
        <v>1623</v>
      </c>
      <c r="K13" s="55" t="s">
        <v>1623</v>
      </c>
      <c r="L13" s="55" t="s">
        <v>1624</v>
      </c>
      <c r="M13" s="55" t="s">
        <v>1623</v>
      </c>
      <c r="N13" s="55" t="s">
        <v>1623</v>
      </c>
      <c r="O13" s="55" t="s">
        <v>1621</v>
      </c>
      <c r="P13" s="55" t="s">
        <v>1624</v>
      </c>
      <c r="Q13" s="55" t="s">
        <v>1624</v>
      </c>
      <c r="R13" s="55">
        <f t="shared" si="0"/>
        <v>6.5</v>
      </c>
      <c r="S13" s="55">
        <f t="shared" si="1"/>
        <v>92.857142857142861</v>
      </c>
      <c r="T13" s="73"/>
      <c r="V13" s="17">
        <f t="shared" si="2"/>
        <v>1.7857142857142856E-2</v>
      </c>
      <c r="W13" s="17">
        <f t="shared" si="3"/>
        <v>8.9285714285714281E-3</v>
      </c>
      <c r="X13" s="17">
        <f t="shared" si="4"/>
        <v>0.9732142857142857</v>
      </c>
      <c r="Y13" s="17">
        <f t="shared" si="5"/>
        <v>112</v>
      </c>
      <c r="Z13" s="16">
        <f>COUNTIF(O3:O114,"Yes")</f>
        <v>2</v>
      </c>
      <c r="AA13" s="16">
        <f>COUNTIF(O3:O114,"Partially")</f>
        <v>1</v>
      </c>
      <c r="AB13" s="16">
        <f>COUNTIF(O3:O114,"No")</f>
        <v>109</v>
      </c>
      <c r="AC13" s="63" t="s">
        <v>1627</v>
      </c>
      <c r="AD13" t="s">
        <v>1634</v>
      </c>
      <c r="AE13" s="235" t="s">
        <v>2066</v>
      </c>
      <c r="AF13" t="s">
        <v>2058</v>
      </c>
      <c r="AH13" t="s">
        <v>2077</v>
      </c>
    </row>
    <row r="14" spans="1:35" x14ac:dyDescent="0.25">
      <c r="A14" s="55" t="str">
        <f>'Initial Search'!D172</f>
        <v>Consistent merging of model versions</v>
      </c>
      <c r="B14" s="22">
        <f>ROW('Initial Search'!172:172)</f>
        <v>172</v>
      </c>
      <c r="C14" s="22">
        <f>ROW('Feature Study'!22:22)</f>
        <v>22</v>
      </c>
      <c r="D14" s="23" t="str">
        <f>'Initial Search'!M172</f>
        <v>Accepted</v>
      </c>
      <c r="E14" s="23" t="str">
        <f>'Initial Search'!N172</f>
        <v>Approved</v>
      </c>
      <c r="F14" s="390"/>
      <c r="G14" s="23" t="str">
        <f>'Initial Search'!O172</f>
        <v>Dam et al.</v>
      </c>
      <c r="H14" s="55" t="s">
        <v>1623</v>
      </c>
      <c r="I14" s="55" t="s">
        <v>1623</v>
      </c>
      <c r="J14" s="55" t="s">
        <v>1623</v>
      </c>
      <c r="K14" s="55" t="s">
        <v>1623</v>
      </c>
      <c r="L14" s="55" t="s">
        <v>1623</v>
      </c>
      <c r="M14" s="55" t="s">
        <v>1623</v>
      </c>
      <c r="N14" s="55" t="s">
        <v>1623</v>
      </c>
      <c r="O14" s="55" t="s">
        <v>1621</v>
      </c>
      <c r="P14" s="55" t="s">
        <v>1623</v>
      </c>
      <c r="Q14" s="55" t="s">
        <v>1624</v>
      </c>
      <c r="R14" s="55">
        <f t="shared" si="0"/>
        <v>7</v>
      </c>
      <c r="S14" s="55">
        <f t="shared" si="1"/>
        <v>100</v>
      </c>
      <c r="T14" s="73"/>
      <c r="V14" s="17">
        <f t="shared" si="2"/>
        <v>0.5267857142857143</v>
      </c>
      <c r="W14" s="17">
        <f t="shared" si="3"/>
        <v>0.36607142857142855</v>
      </c>
      <c r="X14" s="17">
        <f t="shared" si="4"/>
        <v>0.10714285714285714</v>
      </c>
      <c r="Y14" s="17">
        <f t="shared" si="5"/>
        <v>112</v>
      </c>
      <c r="Z14" s="16">
        <f>COUNTIF(P3:P114,"Yes")</f>
        <v>59</v>
      </c>
      <c r="AA14" s="16">
        <f>COUNTIF(P3:P114,"Partially")</f>
        <v>41</v>
      </c>
      <c r="AB14" s="16">
        <f>COUNTIF(P3:P114,"No")</f>
        <v>12</v>
      </c>
      <c r="AC14" s="63" t="s">
        <v>1639</v>
      </c>
      <c r="AD14" t="s">
        <v>1635</v>
      </c>
      <c r="AE14" s="235" t="s">
        <v>2066</v>
      </c>
      <c r="AF14" t="s">
        <v>2060</v>
      </c>
    </row>
    <row r="15" spans="1:35" x14ac:dyDescent="0.25">
      <c r="A15" s="55" t="str">
        <f>'Initial Search'!D11</f>
        <v>Handling Concurrent Changes in Collaborative Process Model Development: A Change-Pattern Based Approach</v>
      </c>
      <c r="B15" s="22">
        <f>ROW('Initial Search'!11:11)</f>
        <v>11</v>
      </c>
      <c r="C15" s="22">
        <f>ROW('Feature Study'!23:23)</f>
        <v>23</v>
      </c>
      <c r="D15" s="23" t="str">
        <f>'Initial Search'!M11</f>
        <v>Accepted</v>
      </c>
      <c r="E15" s="23" t="str">
        <f>'Initial Search'!N11</f>
        <v>Approved</v>
      </c>
      <c r="F15" s="288" t="s">
        <v>2115</v>
      </c>
      <c r="G15" s="23" t="str">
        <f>'Initial Search'!O11</f>
        <v>xoWiki</v>
      </c>
      <c r="H15" s="55" t="s">
        <v>1623</v>
      </c>
      <c r="I15" s="55" t="s">
        <v>1624</v>
      </c>
      <c r="J15" s="55" t="s">
        <v>1623</v>
      </c>
      <c r="K15" s="55" t="s">
        <v>1621</v>
      </c>
      <c r="L15" s="55" t="s">
        <v>1623</v>
      </c>
      <c r="M15" s="55" t="s">
        <v>1624</v>
      </c>
      <c r="N15" s="55" t="s">
        <v>1624</v>
      </c>
      <c r="O15" s="55" t="s">
        <v>1621</v>
      </c>
      <c r="P15" s="55" t="s">
        <v>1623</v>
      </c>
      <c r="Q15" s="55" t="s">
        <v>1624</v>
      </c>
      <c r="R15" s="55">
        <f t="shared" si="0"/>
        <v>4.5</v>
      </c>
      <c r="S15" s="55">
        <f t="shared" si="1"/>
        <v>64.285714285714292</v>
      </c>
      <c r="T15" s="73"/>
      <c r="V15" s="17">
        <f t="shared" si="2"/>
        <v>0.10714285714285714</v>
      </c>
      <c r="W15" s="17">
        <f t="shared" si="3"/>
        <v>0.26785714285714285</v>
      </c>
      <c r="X15" s="17">
        <f t="shared" si="4"/>
        <v>0.625</v>
      </c>
      <c r="Y15" s="17">
        <f t="shared" si="5"/>
        <v>112</v>
      </c>
      <c r="Z15" s="16">
        <f>COUNTIF(Q3:Q114,"Yes")</f>
        <v>12</v>
      </c>
      <c r="AA15" s="16">
        <f>COUNTIF(Q3:Q114,"Partially")</f>
        <v>30</v>
      </c>
      <c r="AB15" s="16">
        <f>COUNTIF(Q3:Q114,"No")</f>
        <v>70</v>
      </c>
      <c r="AC15" s="63" t="s">
        <v>2074</v>
      </c>
      <c r="AD15" t="s">
        <v>2075</v>
      </c>
      <c r="AE15" s="235" t="s">
        <v>2066</v>
      </c>
      <c r="AF15" t="s">
        <v>2070</v>
      </c>
    </row>
    <row r="16" spans="1:35" x14ac:dyDescent="0.25">
      <c r="A16" s="55" t="str">
        <f>'Initial Search'!D104</f>
        <v>Property-based locking in collaborative modeling</v>
      </c>
      <c r="B16" s="22">
        <f>ROW('Initial Search'!104:104)</f>
        <v>104</v>
      </c>
      <c r="C16" s="22">
        <f>ROW('Feature Study'!26:26)</f>
        <v>26</v>
      </c>
      <c r="D16" s="23" t="str">
        <f>'Initial Search'!M104</f>
        <v>Accepted</v>
      </c>
      <c r="E16" s="23" t="str">
        <f>'Initial Search'!N104</f>
        <v>Approved</v>
      </c>
      <c r="F16" s="389" t="s">
        <v>2114</v>
      </c>
      <c r="G16" s="23" t="str">
        <f>'Initial Search'!O104</f>
        <v>MONDO</v>
      </c>
      <c r="H16" s="55" t="s">
        <v>1623</v>
      </c>
      <c r="I16" s="55" t="s">
        <v>1623</v>
      </c>
      <c r="J16" s="55" t="s">
        <v>1623</v>
      </c>
      <c r="K16" s="55" t="s">
        <v>1623</v>
      </c>
      <c r="L16" s="55" t="s">
        <v>1624</v>
      </c>
      <c r="M16" s="55" t="s">
        <v>1624</v>
      </c>
      <c r="N16" s="55" t="s">
        <v>1624</v>
      </c>
      <c r="O16" s="55" t="s">
        <v>1621</v>
      </c>
      <c r="P16" s="55" t="s">
        <v>1623</v>
      </c>
      <c r="Q16" s="55" t="s">
        <v>1623</v>
      </c>
      <c r="R16" s="55">
        <f t="shared" si="0"/>
        <v>5.5</v>
      </c>
      <c r="S16" s="55">
        <f t="shared" si="1"/>
        <v>78.571428571428569</v>
      </c>
      <c r="T16" s="73"/>
    </row>
    <row r="17" spans="1:20" x14ac:dyDescent="0.25">
      <c r="A17" s="55" t="str">
        <f>'Initial Search'!D235</f>
        <v>Automated Model Merge by Design Space Exploration</v>
      </c>
      <c r="B17" s="22">
        <f>ROW('Initial Search'!235:235)</f>
        <v>235</v>
      </c>
      <c r="C17" s="22">
        <f>ROW('Feature Study'!29:29)</f>
        <v>29</v>
      </c>
      <c r="D17" s="23" t="str">
        <f>'Initial Search'!M235</f>
        <v>Accepted</v>
      </c>
      <c r="E17" s="23" t="str">
        <f>'Initial Search'!N235</f>
        <v>Approved</v>
      </c>
      <c r="F17" s="390"/>
      <c r="G17" s="23" t="str">
        <f>'Initial Search'!O235</f>
        <v>MONDO</v>
      </c>
      <c r="H17" s="55" t="s">
        <v>1623</v>
      </c>
      <c r="I17" s="55" t="s">
        <v>1623</v>
      </c>
      <c r="J17" s="55" t="s">
        <v>1623</v>
      </c>
      <c r="K17" s="55" t="s">
        <v>1624</v>
      </c>
      <c r="L17" s="55" t="s">
        <v>1623</v>
      </c>
      <c r="M17" s="55" t="s">
        <v>1623</v>
      </c>
      <c r="N17" s="55" t="s">
        <v>1623</v>
      </c>
      <c r="O17" s="55" t="s">
        <v>1621</v>
      </c>
      <c r="P17" s="55" t="s">
        <v>1623</v>
      </c>
      <c r="Q17" s="55" t="s">
        <v>1621</v>
      </c>
      <c r="R17" s="55">
        <f t="shared" si="0"/>
        <v>6.5</v>
      </c>
      <c r="S17" s="55">
        <f t="shared" si="1"/>
        <v>92.857142857142861</v>
      </c>
      <c r="T17" s="73"/>
    </row>
    <row r="18" spans="1:20" x14ac:dyDescent="0.25">
      <c r="A18" s="55" t="str">
        <f>'Initial Search'!D224</f>
        <v>Detection and resolution of conflicting change operations in version management of process models</v>
      </c>
      <c r="B18" s="22">
        <f>ROW('Initial Search'!224:224)</f>
        <v>224</v>
      </c>
      <c r="C18" s="22">
        <f>ROW('Feature Study'!32:32)</f>
        <v>32</v>
      </c>
      <c r="D18" s="23" t="str">
        <f>'Initial Search'!M224</f>
        <v>Accepted</v>
      </c>
      <c r="E18" s="23" t="str">
        <f>'Initial Search'!N224</f>
        <v>Approved</v>
      </c>
      <c r="F18" s="389" t="s">
        <v>2113</v>
      </c>
      <c r="G18" s="23" t="str">
        <f>'Initial Search'!O224</f>
        <v>Gerth et al.</v>
      </c>
      <c r="H18" s="55" t="s">
        <v>1623</v>
      </c>
      <c r="I18" s="55" t="s">
        <v>1623</v>
      </c>
      <c r="J18" s="55" t="s">
        <v>1623</v>
      </c>
      <c r="K18" s="55" t="s">
        <v>1624</v>
      </c>
      <c r="L18" s="55" t="s">
        <v>1621</v>
      </c>
      <c r="M18" s="55" t="s">
        <v>1623</v>
      </c>
      <c r="N18" s="55" t="s">
        <v>1623</v>
      </c>
      <c r="O18" s="55" t="s">
        <v>1621</v>
      </c>
      <c r="P18" s="55" t="s">
        <v>1623</v>
      </c>
      <c r="Q18" s="55" t="s">
        <v>1624</v>
      </c>
      <c r="R18" s="55">
        <f t="shared" si="0"/>
        <v>5.5</v>
      </c>
      <c r="S18" s="55">
        <f t="shared" si="1"/>
        <v>78.571428571428569</v>
      </c>
      <c r="T18" s="73" t="s">
        <v>1868</v>
      </c>
    </row>
    <row r="19" spans="1:20" x14ac:dyDescent="0.25">
      <c r="A19" s="55" t="str">
        <f>'Initial Search'!D239</f>
        <v>Precise Detection of Conflicting Change Operations Using Process Model Terms</v>
      </c>
      <c r="B19" s="22">
        <f>ROW('Initial Search'!239:239)</f>
        <v>239</v>
      </c>
      <c r="C19" s="22">
        <f>ROW('Feature Study'!33:33)</f>
        <v>33</v>
      </c>
      <c r="D19" s="23" t="str">
        <f>'Initial Search'!M239</f>
        <v>Accepted</v>
      </c>
      <c r="E19" s="23" t="str">
        <f>'Initial Search'!N239</f>
        <v>Approved</v>
      </c>
      <c r="F19" s="391"/>
      <c r="G19" s="23" t="str">
        <f>'Initial Search'!O239</f>
        <v>Gerth et al.</v>
      </c>
      <c r="H19" s="55" t="s">
        <v>1623</v>
      </c>
      <c r="I19" s="55" t="s">
        <v>1623</v>
      </c>
      <c r="J19" s="55" t="s">
        <v>1623</v>
      </c>
      <c r="K19" s="55" t="s">
        <v>1624</v>
      </c>
      <c r="L19" s="55" t="s">
        <v>1621</v>
      </c>
      <c r="M19" s="55" t="s">
        <v>1623</v>
      </c>
      <c r="N19" s="55" t="s">
        <v>1623</v>
      </c>
      <c r="O19" s="55" t="s">
        <v>1621</v>
      </c>
      <c r="P19" s="55" t="s">
        <v>1624</v>
      </c>
      <c r="Q19" s="55" t="s">
        <v>1621</v>
      </c>
      <c r="R19" s="55">
        <f t="shared" si="0"/>
        <v>5.5</v>
      </c>
      <c r="S19" s="55">
        <f t="shared" si="1"/>
        <v>78.571428571428569</v>
      </c>
      <c r="T19" s="73" t="s">
        <v>1868</v>
      </c>
    </row>
    <row r="20" spans="1:20" x14ac:dyDescent="0.25">
      <c r="A20" s="55" t="str">
        <f>'Initial Search'!D256</f>
        <v>Dependent and Conflicting Change Operations of Process Models</v>
      </c>
      <c r="B20" s="22">
        <f>ROW('Initial Search'!256:256)</f>
        <v>256</v>
      </c>
      <c r="C20" s="22">
        <f>ROW('Feature Study'!35:35)</f>
        <v>35</v>
      </c>
      <c r="D20" s="23" t="str">
        <f>'Initial Search'!M256</f>
        <v>Accepted</v>
      </c>
      <c r="E20" s="23" t="str">
        <f>'Initial Search'!N256</f>
        <v>Approved</v>
      </c>
      <c r="F20" s="390"/>
      <c r="G20" s="23" t="str">
        <f>'Initial Search'!O256</f>
        <v>Gerth et al.</v>
      </c>
      <c r="H20" s="55" t="s">
        <v>1623</v>
      </c>
      <c r="I20" s="55" t="s">
        <v>1623</v>
      </c>
      <c r="J20" s="55" t="s">
        <v>1623</v>
      </c>
      <c r="K20" s="55" t="s">
        <v>1624</v>
      </c>
      <c r="L20" s="55" t="s">
        <v>1624</v>
      </c>
      <c r="M20" s="55" t="s">
        <v>1623</v>
      </c>
      <c r="N20" s="55" t="s">
        <v>1623</v>
      </c>
      <c r="O20" s="55" t="s">
        <v>1621</v>
      </c>
      <c r="P20" s="55" t="s">
        <v>1624</v>
      </c>
      <c r="Q20" s="55" t="s">
        <v>1621</v>
      </c>
      <c r="R20" s="55">
        <f t="shared" si="0"/>
        <v>6</v>
      </c>
      <c r="S20" s="55">
        <f t="shared" si="1"/>
        <v>85.714285714285708</v>
      </c>
      <c r="T20" s="73"/>
    </row>
    <row r="21" spans="1:20" x14ac:dyDescent="0.25">
      <c r="A21" s="55" t="str">
        <f>'Initial Search'!D17</f>
        <v>Conflict Analysis at Collaborative Development of Domain Specific Models using Description Logics</v>
      </c>
      <c r="B21" s="22">
        <f>ROW('Initial Search'!17:17)</f>
        <v>17</v>
      </c>
      <c r="C21" s="22">
        <f>ROW('Feature Study'!36:36)</f>
        <v>36</v>
      </c>
      <c r="D21" s="23" t="str">
        <f>'Initial Search'!M17</f>
        <v>Accepted</v>
      </c>
      <c r="E21" s="23" t="str">
        <f>'Initial Search'!N17</f>
        <v>Approved</v>
      </c>
      <c r="F21" s="23" t="s">
        <v>2112</v>
      </c>
      <c r="G21" s="23" t="str">
        <f>'Initial Search'!O17</f>
        <v>Bartelt</v>
      </c>
      <c r="H21" s="55" t="s">
        <v>1623</v>
      </c>
      <c r="I21" s="55" t="s">
        <v>1623</v>
      </c>
      <c r="J21" s="55" t="s">
        <v>1623</v>
      </c>
      <c r="K21" s="55" t="s">
        <v>1621</v>
      </c>
      <c r="L21" s="55" t="s">
        <v>1624</v>
      </c>
      <c r="M21" s="55" t="s">
        <v>1621</v>
      </c>
      <c r="N21" s="55" t="s">
        <v>1623</v>
      </c>
      <c r="O21" s="55" t="s">
        <v>1621</v>
      </c>
      <c r="P21" s="55" t="s">
        <v>1624</v>
      </c>
      <c r="Q21" s="55" t="s">
        <v>1621</v>
      </c>
      <c r="R21" s="55">
        <f t="shared" si="0"/>
        <v>4.5</v>
      </c>
      <c r="S21" s="55">
        <f t="shared" si="1"/>
        <v>64.285714285714292</v>
      </c>
      <c r="T21" s="73"/>
    </row>
    <row r="22" spans="1:20" x14ac:dyDescent="0.25">
      <c r="A22" s="55" t="str">
        <f>'Initial Search'!D30</f>
        <v>Technology Support for Collaborative Inconsistency Management in Model Driven Engineering</v>
      </c>
      <c r="B22" s="22">
        <f>ROW('Initial Search'!30:30)</f>
        <v>30</v>
      </c>
      <c r="C22" s="22">
        <f>ROW('Feature Study'!37:37)</f>
        <v>37</v>
      </c>
      <c r="D22" s="23" t="str">
        <f>'Initial Search'!M30</f>
        <v>Accepted</v>
      </c>
      <c r="E22" s="23" t="str">
        <f>'Initial Search'!N30</f>
        <v>Approved</v>
      </c>
      <c r="F22" s="389" t="s">
        <v>2111</v>
      </c>
      <c r="G22" s="23" t="str">
        <f>'Initial Search'!O30</f>
        <v>Jazz</v>
      </c>
      <c r="H22" s="55" t="s">
        <v>1623</v>
      </c>
      <c r="I22" s="55" t="s">
        <v>1623</v>
      </c>
      <c r="J22" s="55" t="s">
        <v>1624</v>
      </c>
      <c r="K22" s="55" t="s">
        <v>1621</v>
      </c>
      <c r="L22" s="55" t="s">
        <v>1624</v>
      </c>
      <c r="M22" s="55" t="s">
        <v>1621</v>
      </c>
      <c r="N22" s="55" t="s">
        <v>1623</v>
      </c>
      <c r="O22" s="55" t="s">
        <v>1621</v>
      </c>
      <c r="P22" s="55" t="s">
        <v>1621</v>
      </c>
      <c r="Q22" s="55" t="s">
        <v>1621</v>
      </c>
      <c r="R22" s="55">
        <f t="shared" si="0"/>
        <v>4</v>
      </c>
      <c r="S22" s="55">
        <f t="shared" si="1"/>
        <v>57.142857142857139</v>
      </c>
      <c r="T22" s="73"/>
    </row>
    <row r="23" spans="1:20" x14ac:dyDescent="0.25">
      <c r="A23" s="55" t="str">
        <f>'Initial Search'!D107</f>
        <v>Consistence preserving model merge in collaborative development processes</v>
      </c>
      <c r="B23" s="22">
        <f>ROW('Initial Search'!107:107)</f>
        <v>107</v>
      </c>
      <c r="C23" s="22">
        <f>ROW('Feature Study'!39:39)</f>
        <v>39</v>
      </c>
      <c r="D23" s="23" t="str">
        <f>'Initial Search'!M107</f>
        <v>Accepted</v>
      </c>
      <c r="E23" s="23" t="str">
        <f>'Initial Search'!N107</f>
        <v>Disapproved</v>
      </c>
      <c r="F23" s="390"/>
      <c r="G23" s="23" t="str">
        <f>'Initial Search'!O107</f>
        <v>Jazz</v>
      </c>
      <c r="H23" s="55" t="s">
        <v>1624</v>
      </c>
      <c r="I23" s="55" t="s">
        <v>1624</v>
      </c>
      <c r="J23" s="55" t="s">
        <v>1624</v>
      </c>
      <c r="K23" s="55" t="s">
        <v>1621</v>
      </c>
      <c r="L23" s="55" t="s">
        <v>1624</v>
      </c>
      <c r="M23" s="55" t="s">
        <v>1621</v>
      </c>
      <c r="N23" s="55" t="s">
        <v>1624</v>
      </c>
      <c r="O23" s="55" t="s">
        <v>1621</v>
      </c>
      <c r="P23" s="55" t="s">
        <v>1623</v>
      </c>
      <c r="Q23" s="55" t="s">
        <v>1624</v>
      </c>
      <c r="R23" s="55">
        <f t="shared" si="0"/>
        <v>2.5</v>
      </c>
      <c r="S23" s="81">
        <f t="shared" si="1"/>
        <v>35.714285714285715</v>
      </c>
      <c r="T23" s="73"/>
    </row>
    <row r="24" spans="1:20" x14ac:dyDescent="0.25">
      <c r="A24" s="55" t="str">
        <f>'Initial Search'!D18</f>
        <v>Consistency-preserving edit scripts in model versioning</v>
      </c>
      <c r="B24" s="22">
        <f>ROW('Initial Search'!18:18)</f>
        <v>18</v>
      </c>
      <c r="C24" s="22">
        <f>ROW('Feature Study'!40:40)</f>
        <v>40</v>
      </c>
      <c r="D24" s="23" t="str">
        <f>'Initial Search'!M18</f>
        <v>Accepted</v>
      </c>
      <c r="E24" s="23" t="str">
        <f>'Initial Search'!N18</f>
        <v>Approved</v>
      </c>
      <c r="F24" s="23" t="s">
        <v>2110</v>
      </c>
      <c r="G24" s="23" t="str">
        <f>'Initial Search'!O18</f>
        <v>Kehrer et al.</v>
      </c>
      <c r="H24" s="55" t="s">
        <v>1623</v>
      </c>
      <c r="I24" s="55" t="s">
        <v>1623</v>
      </c>
      <c r="J24" s="55" t="s">
        <v>1623</v>
      </c>
      <c r="K24" s="55" t="s">
        <v>1623</v>
      </c>
      <c r="L24" s="55" t="s">
        <v>1623</v>
      </c>
      <c r="M24" s="55" t="s">
        <v>1623</v>
      </c>
      <c r="N24" s="55" t="s">
        <v>1624</v>
      </c>
      <c r="O24" s="55" t="s">
        <v>1621</v>
      </c>
      <c r="P24" s="55" t="s">
        <v>1623</v>
      </c>
      <c r="Q24" s="55" t="s">
        <v>1621</v>
      </c>
      <c r="R24" s="55">
        <f t="shared" si="0"/>
        <v>6.5</v>
      </c>
      <c r="S24" s="55">
        <f t="shared" si="1"/>
        <v>92.857142857142861</v>
      </c>
      <c r="T24" s="73"/>
    </row>
    <row r="25" spans="1:20" x14ac:dyDescent="0.25">
      <c r="A25" s="55" t="str">
        <f>'Initial Search'!D19</f>
        <v>Supporting Collaborative Development in an Open MDA Environment</v>
      </c>
      <c r="B25" s="22">
        <f>ROW('Initial Search'!19:19)</f>
        <v>19</v>
      </c>
      <c r="C25" s="22">
        <f>ROW('Feature Study'!42:42)</f>
        <v>42</v>
      </c>
      <c r="D25" s="23" t="str">
        <f>'Initial Search'!M19</f>
        <v>Accepted</v>
      </c>
      <c r="E25" s="23" t="str">
        <f>'Initial Search'!N19</f>
        <v>Approved</v>
      </c>
      <c r="F25" s="23" t="s">
        <v>2109</v>
      </c>
      <c r="G25" s="23" t="str">
        <f>'Initial Search'!O19</f>
        <v>ModelBus</v>
      </c>
      <c r="H25" s="55" t="s">
        <v>1623</v>
      </c>
      <c r="I25" s="55" t="s">
        <v>1623</v>
      </c>
      <c r="J25" s="55" t="s">
        <v>1623</v>
      </c>
      <c r="K25" s="55" t="s">
        <v>1621</v>
      </c>
      <c r="L25" s="55" t="s">
        <v>1624</v>
      </c>
      <c r="M25" s="55" t="s">
        <v>1624</v>
      </c>
      <c r="N25" s="55" t="s">
        <v>1623</v>
      </c>
      <c r="O25" s="55" t="s">
        <v>1621</v>
      </c>
      <c r="P25" s="55" t="s">
        <v>1623</v>
      </c>
      <c r="Q25" s="55" t="s">
        <v>1623</v>
      </c>
      <c r="R25" s="55">
        <f t="shared" si="0"/>
        <v>5</v>
      </c>
      <c r="S25" s="55">
        <f t="shared" si="1"/>
        <v>71.428571428571431</v>
      </c>
      <c r="T25" s="73"/>
    </row>
    <row r="26" spans="1:20" x14ac:dyDescent="0.25">
      <c r="A26" s="55" t="str">
        <f>'Initial Search'!D130</f>
        <v>A semantically rich approach for collaborative model edition</v>
      </c>
      <c r="B26" s="22">
        <f>ROW('Initial Search'!130:130)</f>
        <v>130</v>
      </c>
      <c r="C26" s="22">
        <f>ROW('Feature Study'!44:44)</f>
        <v>44</v>
      </c>
      <c r="D26" s="23" t="str">
        <f>'Initial Search'!M130</f>
        <v>Accepted</v>
      </c>
      <c r="E26" s="23" t="str">
        <f>'Initial Search'!N130</f>
        <v>Disapproved</v>
      </c>
      <c r="F26" s="389" t="s">
        <v>2108</v>
      </c>
      <c r="G26" s="23" t="str">
        <f>'Initial Search'!O130</f>
        <v>D-PRAXIS</v>
      </c>
      <c r="H26" s="55" t="s">
        <v>1624</v>
      </c>
      <c r="I26" s="55" t="s">
        <v>1621</v>
      </c>
      <c r="J26" s="55" t="s">
        <v>1624</v>
      </c>
      <c r="K26" s="55" t="s">
        <v>1624</v>
      </c>
      <c r="L26" s="55" t="s">
        <v>1624</v>
      </c>
      <c r="M26" s="55" t="s">
        <v>1624</v>
      </c>
      <c r="N26" s="55" t="s">
        <v>1621</v>
      </c>
      <c r="O26" s="55" t="s">
        <v>1621</v>
      </c>
      <c r="P26" s="55" t="s">
        <v>1624</v>
      </c>
      <c r="Q26" s="55" t="s">
        <v>1621</v>
      </c>
      <c r="R26" s="55">
        <f t="shared" si="0"/>
        <v>2.5</v>
      </c>
      <c r="S26" s="81">
        <f t="shared" si="1"/>
        <v>35.714285714285715</v>
      </c>
      <c r="T26" s="73"/>
    </row>
    <row r="27" spans="1:20" x14ac:dyDescent="0.25">
      <c r="A27" s="55" t="str">
        <f>'Initial Search'!D261</f>
        <v>D-Praxis : A Peer-to-Peer Collaborative Model Editing Framework</v>
      </c>
      <c r="B27" s="22">
        <f>ROW('Initial Search'!261:261)</f>
        <v>261</v>
      </c>
      <c r="C27" s="22">
        <f>ROW('Feature Study'!45:45)</f>
        <v>45</v>
      </c>
      <c r="D27" s="23" t="str">
        <f>'Initial Search'!M261</f>
        <v>Accepted</v>
      </c>
      <c r="E27" s="23" t="str">
        <f>'Initial Search'!N261</f>
        <v>Approved</v>
      </c>
      <c r="F27" s="390"/>
      <c r="G27" s="23" t="str">
        <f>'Initial Search'!O261</f>
        <v>D-PRAXIS</v>
      </c>
      <c r="H27" s="55" t="s">
        <v>1623</v>
      </c>
      <c r="I27" s="55" t="s">
        <v>1624</v>
      </c>
      <c r="J27" s="55" t="s">
        <v>1623</v>
      </c>
      <c r="K27" s="55" t="s">
        <v>1624</v>
      </c>
      <c r="L27" s="55" t="s">
        <v>1624</v>
      </c>
      <c r="M27" s="55" t="s">
        <v>1624</v>
      </c>
      <c r="N27" s="55" t="s">
        <v>1621</v>
      </c>
      <c r="O27" s="55" t="s">
        <v>1621</v>
      </c>
      <c r="P27" s="55" t="s">
        <v>1623</v>
      </c>
      <c r="Q27" s="55" t="s">
        <v>1621</v>
      </c>
      <c r="R27" s="55">
        <f t="shared" si="0"/>
        <v>4</v>
      </c>
      <c r="S27" s="55">
        <f t="shared" si="1"/>
        <v>57.142857142857139</v>
      </c>
      <c r="T27" s="73"/>
    </row>
    <row r="28" spans="1:20" x14ac:dyDescent="0.25">
      <c r="A28" s="55" t="str">
        <f>'Initial Search'!D20</f>
        <v>A UML profile for modeling the conflicts in model merging</v>
      </c>
      <c r="B28" s="22">
        <f>ROW('Initial Search'!20:20)</f>
        <v>20</v>
      </c>
      <c r="C28" s="22">
        <f>ROW('Feature Study'!46:46)</f>
        <v>46</v>
      </c>
      <c r="D28" s="23" t="str">
        <f>'Initial Search'!M20</f>
        <v>Accepted</v>
      </c>
      <c r="E28" s="23" t="str">
        <f>'Initial Search'!N20</f>
        <v>Approved</v>
      </c>
      <c r="F28" s="23" t="s">
        <v>2107</v>
      </c>
      <c r="G28" s="23" t="str">
        <f>'Initial Search'!O20</f>
        <v>Conflict UML Profile</v>
      </c>
      <c r="H28" s="55" t="s">
        <v>1623</v>
      </c>
      <c r="I28" s="55" t="s">
        <v>1623</v>
      </c>
      <c r="J28" s="55" t="s">
        <v>1623</v>
      </c>
      <c r="K28" s="55" t="s">
        <v>1624</v>
      </c>
      <c r="L28" s="55" t="s">
        <v>1624</v>
      </c>
      <c r="M28" s="55" t="s">
        <v>1623</v>
      </c>
      <c r="N28" s="55" t="s">
        <v>1623</v>
      </c>
      <c r="O28" s="55" t="s">
        <v>1621</v>
      </c>
      <c r="P28" s="55" t="s">
        <v>1624</v>
      </c>
      <c r="Q28" s="55" t="s">
        <v>1621</v>
      </c>
      <c r="R28" s="55">
        <f t="shared" si="0"/>
        <v>6</v>
      </c>
      <c r="S28" s="55">
        <f t="shared" si="1"/>
        <v>85.714285714285708</v>
      </c>
    </row>
    <row r="29" spans="1:20" x14ac:dyDescent="0.25">
      <c r="A29" s="55" t="str">
        <f>'Initial Search'!D205</f>
        <v>Configurable three‐way model merging</v>
      </c>
      <c r="B29" s="22">
        <f>ROW('Initial Search'!205:205)</f>
        <v>205</v>
      </c>
      <c r="C29" s="22">
        <f>ROW('Feature Study'!47:47)</f>
        <v>47</v>
      </c>
      <c r="D29" s="23" t="str">
        <f>'Initial Search'!M205</f>
        <v>Accepted</v>
      </c>
      <c r="E29" s="23" t="str">
        <f>'Initial Search'!N205</f>
        <v>Approved</v>
      </c>
      <c r="F29" s="23" t="s">
        <v>2106</v>
      </c>
      <c r="G29" s="23" t="str">
        <f>'Initial Search'!O205</f>
        <v>E3MP</v>
      </c>
      <c r="H29" s="55" t="s">
        <v>1623</v>
      </c>
      <c r="I29" s="55" t="s">
        <v>1623</v>
      </c>
      <c r="J29" s="55" t="s">
        <v>1623</v>
      </c>
      <c r="K29" s="55" t="s">
        <v>1623</v>
      </c>
      <c r="L29" s="55" t="s">
        <v>1624</v>
      </c>
      <c r="M29" s="55" t="s">
        <v>1623</v>
      </c>
      <c r="N29" s="55" t="s">
        <v>1623</v>
      </c>
      <c r="O29" s="55" t="s">
        <v>1621</v>
      </c>
      <c r="P29" s="55" t="s">
        <v>1623</v>
      </c>
      <c r="Q29" s="55" t="s">
        <v>1624</v>
      </c>
      <c r="R29" s="55">
        <f t="shared" si="0"/>
        <v>6.5</v>
      </c>
      <c r="S29" s="55">
        <f t="shared" si="1"/>
        <v>92.857142857142861</v>
      </c>
    </row>
    <row r="30" spans="1:20" x14ac:dyDescent="0.25">
      <c r="A30" s="55" t="str">
        <f>'Initial Search'!D220</f>
        <v>Table-Driven Detection and Resolution of Operation-Based Merge Conflicts with Mirador</v>
      </c>
      <c r="B30" s="22">
        <f>ROW('Initial Search'!220:220)</f>
        <v>220</v>
      </c>
      <c r="C30" s="22">
        <f>ROW('Feature Study'!50:50)</f>
        <v>50</v>
      </c>
      <c r="D30" s="23" t="str">
        <f>'Initial Search'!M220</f>
        <v>Accepted</v>
      </c>
      <c r="E30" s="23" t="str">
        <f>'Initial Search'!N220</f>
        <v>Approved</v>
      </c>
      <c r="F30" s="23" t="s">
        <v>2105</v>
      </c>
      <c r="G30" s="23" t="str">
        <f>'Initial Search'!O220</f>
        <v>Mirador</v>
      </c>
      <c r="H30" s="55" t="s">
        <v>1623</v>
      </c>
      <c r="I30" s="55" t="s">
        <v>1623</v>
      </c>
      <c r="J30" s="55" t="s">
        <v>1623</v>
      </c>
      <c r="K30" s="55" t="s">
        <v>1621</v>
      </c>
      <c r="L30" s="55" t="s">
        <v>1624</v>
      </c>
      <c r="M30" s="55" t="s">
        <v>1623</v>
      </c>
      <c r="N30" s="55" t="s">
        <v>1623</v>
      </c>
      <c r="O30" s="55" t="s">
        <v>1621</v>
      </c>
      <c r="P30" s="55" t="s">
        <v>1623</v>
      </c>
      <c r="Q30" s="55" t="s">
        <v>1621</v>
      </c>
      <c r="R30" s="55">
        <f t="shared" si="0"/>
        <v>5.5</v>
      </c>
      <c r="S30" s="55">
        <f t="shared" si="1"/>
        <v>78.571428571428569</v>
      </c>
      <c r="T30" s="73"/>
    </row>
    <row r="31" spans="1:20" x14ac:dyDescent="0.25">
      <c r="A31" s="55" t="str">
        <f>'Initial Search'!D39</f>
        <v>Managing Model Conflicts in Collaborative Modeling Using Constraint Programming</v>
      </c>
      <c r="B31" s="22">
        <f>ROW('Initial Search'!39:39)</f>
        <v>39</v>
      </c>
      <c r="C31" s="22">
        <f>ROW('Feature Study'!54:54)</f>
        <v>54</v>
      </c>
      <c r="D31" s="23" t="str">
        <f>'Initial Search'!M39</f>
        <v>Accepted</v>
      </c>
      <c r="E31" s="23" t="str">
        <f>'Initial Search'!N39</f>
        <v>Approved</v>
      </c>
      <c r="F31" s="389" t="s">
        <v>2104</v>
      </c>
      <c r="G31" s="23" t="str">
        <f>'Initial Search'!O39</f>
        <v>CSP</v>
      </c>
      <c r="H31" s="55" t="s">
        <v>1623</v>
      </c>
      <c r="I31" s="55" t="s">
        <v>1623</v>
      </c>
      <c r="J31" s="55" t="s">
        <v>1623</v>
      </c>
      <c r="K31" s="55" t="s">
        <v>1621</v>
      </c>
      <c r="L31" s="55" t="s">
        <v>1621</v>
      </c>
      <c r="M31" s="55" t="s">
        <v>1624</v>
      </c>
      <c r="N31" s="55" t="s">
        <v>1624</v>
      </c>
      <c r="O31" s="55" t="s">
        <v>1621</v>
      </c>
      <c r="P31" s="55" t="s">
        <v>1623</v>
      </c>
      <c r="Q31" s="55" t="s">
        <v>1621</v>
      </c>
      <c r="R31" s="55">
        <f t="shared" si="0"/>
        <v>4</v>
      </c>
      <c r="S31" s="55">
        <f t="shared" si="1"/>
        <v>57.142857142857139</v>
      </c>
      <c r="T31" s="73"/>
    </row>
    <row r="32" spans="1:20" x14ac:dyDescent="0.25">
      <c r="A32" s="55" t="str">
        <f>'Initial Search'!D40</f>
        <v>Collaborative modelling: An MDE-oriented process to manage large-scale models</v>
      </c>
      <c r="B32" s="22">
        <f>ROW('Initial Search'!40:40)</f>
        <v>40</v>
      </c>
      <c r="C32" s="22">
        <f>ROW('Feature Study'!55:55)</f>
        <v>55</v>
      </c>
      <c r="D32" s="23" t="str">
        <f>'Initial Search'!M40</f>
        <v>Accepted</v>
      </c>
      <c r="E32" s="23" t="str">
        <f>'Initial Search'!N40</f>
        <v>Disapproved</v>
      </c>
      <c r="F32" s="390"/>
      <c r="G32" s="23" t="str">
        <f>'Initial Search'!O40</f>
        <v>CSP</v>
      </c>
      <c r="H32" s="55" t="s">
        <v>1624</v>
      </c>
      <c r="I32" s="55" t="s">
        <v>1624</v>
      </c>
      <c r="J32" s="55" t="s">
        <v>1624</v>
      </c>
      <c r="K32" s="55" t="s">
        <v>1621</v>
      </c>
      <c r="L32" s="55" t="s">
        <v>1621</v>
      </c>
      <c r="M32" s="55" t="s">
        <v>1624</v>
      </c>
      <c r="N32" s="55" t="s">
        <v>1624</v>
      </c>
      <c r="O32" s="55" t="s">
        <v>1621</v>
      </c>
      <c r="P32" s="55" t="s">
        <v>1623</v>
      </c>
      <c r="Q32" s="55" t="s">
        <v>1621</v>
      </c>
      <c r="R32" s="55">
        <f t="shared" si="0"/>
        <v>2.5</v>
      </c>
      <c r="S32" s="81">
        <f t="shared" si="1"/>
        <v>35.714285714285715</v>
      </c>
      <c r="T32" s="73"/>
    </row>
    <row r="33" spans="1:23" x14ac:dyDescent="0.25">
      <c r="A33" s="55" t="str">
        <f>'Initial Search'!D63</f>
        <v>Concurrent Fine-Grained Versioning of UML Models</v>
      </c>
      <c r="B33" s="22">
        <f>ROW('Initial Search'!63:63)</f>
        <v>63</v>
      </c>
      <c r="C33" s="22">
        <f>ROW('Feature Study'!57:57)</f>
        <v>57</v>
      </c>
      <c r="D33" s="23" t="str">
        <f>'Initial Search'!M63</f>
        <v>Accepted</v>
      </c>
      <c r="E33" s="23" t="str">
        <f>'Initial Search'!N63</f>
        <v>Approved</v>
      </c>
      <c r="F33" s="23" t="s">
        <v>2103</v>
      </c>
      <c r="G33" s="23" t="str">
        <f>'Initial Search'!O63</f>
        <v>ArgoEclipse+ADAMS</v>
      </c>
      <c r="H33" s="55" t="s">
        <v>1623</v>
      </c>
      <c r="I33" s="55" t="s">
        <v>1623</v>
      </c>
      <c r="J33" s="55" t="s">
        <v>1623</v>
      </c>
      <c r="K33" s="55" t="s">
        <v>1624</v>
      </c>
      <c r="L33" s="55" t="s">
        <v>1624</v>
      </c>
      <c r="M33" s="55" t="s">
        <v>1624</v>
      </c>
      <c r="N33" s="55" t="s">
        <v>1624</v>
      </c>
      <c r="O33" s="55" t="s">
        <v>1621</v>
      </c>
      <c r="P33" s="55" t="s">
        <v>1624</v>
      </c>
      <c r="Q33" s="55" t="s">
        <v>1621</v>
      </c>
      <c r="R33" s="55">
        <f t="shared" si="0"/>
        <v>5</v>
      </c>
      <c r="S33" s="55">
        <f t="shared" si="1"/>
        <v>71.428571428571431</v>
      </c>
    </row>
    <row r="34" spans="1:23" x14ac:dyDescent="0.25">
      <c r="A34" s="55" t="str">
        <f>'Initial Search'!D177</f>
        <v>Enhancing collaborative synchronous UML modelling with fine-grained versioning of software artefacts</v>
      </c>
      <c r="B34" s="22">
        <f>ROW('Initial Search'!177:177)</f>
        <v>177</v>
      </c>
      <c r="C34" s="22">
        <f>ROW('Feature Study'!58:58)</f>
        <v>58</v>
      </c>
      <c r="D34" s="23" t="str">
        <f>'Initial Search'!M177</f>
        <v>Accepted</v>
      </c>
      <c r="E34" s="23" t="str">
        <f>'Initial Search'!N177</f>
        <v>Disapproved</v>
      </c>
      <c r="F34" s="23"/>
      <c r="G34" s="23" t="str">
        <f>'Initial Search'!O177</f>
        <v>STEVE</v>
      </c>
      <c r="H34" s="55" t="s">
        <v>1624</v>
      </c>
      <c r="I34" s="55" t="s">
        <v>1621</v>
      </c>
      <c r="J34" s="55" t="s">
        <v>1624</v>
      </c>
      <c r="K34" s="55" t="s">
        <v>1621</v>
      </c>
      <c r="L34" s="55" t="s">
        <v>1624</v>
      </c>
      <c r="M34" s="55" t="s">
        <v>1624</v>
      </c>
      <c r="N34" s="55" t="s">
        <v>1624</v>
      </c>
      <c r="O34" s="55" t="s">
        <v>1621</v>
      </c>
      <c r="P34" s="55" t="s">
        <v>1624</v>
      </c>
      <c r="Q34" s="55" t="s">
        <v>1621</v>
      </c>
      <c r="R34" s="55">
        <f t="shared" si="0"/>
        <v>2.5</v>
      </c>
      <c r="S34" s="81">
        <f t="shared" si="1"/>
        <v>35.714285714285715</v>
      </c>
      <c r="T34" s="73"/>
    </row>
    <row r="35" spans="1:23" x14ac:dyDescent="0.25">
      <c r="A35" s="55" t="str">
        <f>'Initial Search'!D75</f>
        <v>CAMEL: A Tool for Collaborative Distributed Software Design</v>
      </c>
      <c r="B35" s="22">
        <f>ROW('Initial Search'!75:75)</f>
        <v>75</v>
      </c>
      <c r="C35" s="22">
        <f>ROW('Feature Study'!60:60)</f>
        <v>60</v>
      </c>
      <c r="D35" s="23" t="str">
        <f>'Initial Search'!M75</f>
        <v>Accepted</v>
      </c>
      <c r="E35" s="23" t="str">
        <f>'Initial Search'!N75</f>
        <v>Approved</v>
      </c>
      <c r="F35" s="23" t="s">
        <v>2102</v>
      </c>
      <c r="G35" s="23" t="str">
        <f>'Initial Search'!O75</f>
        <v>CAMEL</v>
      </c>
      <c r="H35" s="55" t="s">
        <v>1623</v>
      </c>
      <c r="I35" s="55" t="s">
        <v>1621</v>
      </c>
      <c r="J35" s="55" t="s">
        <v>1623</v>
      </c>
      <c r="K35" s="55" t="s">
        <v>1624</v>
      </c>
      <c r="L35" s="55" t="s">
        <v>1624</v>
      </c>
      <c r="M35" s="55" t="s">
        <v>1624</v>
      </c>
      <c r="N35" s="55" t="s">
        <v>1624</v>
      </c>
      <c r="O35" s="55" t="s">
        <v>1621</v>
      </c>
      <c r="P35" s="55" t="s">
        <v>1623</v>
      </c>
      <c r="Q35" s="55" t="s">
        <v>1623</v>
      </c>
      <c r="R35" s="55">
        <f t="shared" ref="R35:R65" si="6">COUNTIF(H35:N35,"Yes") + 0.5 * COUNTIF(H35:N35,"partially")</f>
        <v>4</v>
      </c>
      <c r="S35" s="55">
        <f t="shared" si="1"/>
        <v>57.142857142857139</v>
      </c>
      <c r="T35" s="73"/>
    </row>
    <row r="36" spans="1:23" x14ac:dyDescent="0.25">
      <c r="A36" s="55" t="str">
        <f>'Initial Search'!D102</f>
        <v>Search-based model merging</v>
      </c>
      <c r="B36" s="22">
        <f>ROW('Initial Search'!102:102)</f>
        <v>102</v>
      </c>
      <c r="C36" s="22">
        <f>ROW('Feature Study'!63:63)</f>
        <v>63</v>
      </c>
      <c r="D36" s="23" t="str">
        <f>'Initial Search'!M102</f>
        <v>Accepted</v>
      </c>
      <c r="E36" s="23" t="str">
        <f>'Initial Search'!N102</f>
        <v>Approved</v>
      </c>
      <c r="F36" s="389" t="s">
        <v>2101</v>
      </c>
      <c r="G36" s="23" t="str">
        <f>'Initial Search'!O102</f>
        <v>MOMM</v>
      </c>
      <c r="H36" s="55" t="s">
        <v>1623</v>
      </c>
      <c r="I36" s="55" t="s">
        <v>1623</v>
      </c>
      <c r="J36" s="55" t="s">
        <v>1623</v>
      </c>
      <c r="K36" s="55" t="s">
        <v>1623</v>
      </c>
      <c r="L36" s="55" t="s">
        <v>1624</v>
      </c>
      <c r="M36" s="55" t="s">
        <v>1623</v>
      </c>
      <c r="N36" s="55" t="s">
        <v>1623</v>
      </c>
      <c r="O36" s="55" t="s">
        <v>1621</v>
      </c>
      <c r="P36" s="55" t="s">
        <v>1623</v>
      </c>
      <c r="Q36" s="55" t="s">
        <v>1621</v>
      </c>
      <c r="R36" s="55">
        <f t="shared" si="6"/>
        <v>6.5</v>
      </c>
      <c r="S36" s="55">
        <f t="shared" si="1"/>
        <v>92.857142857142861</v>
      </c>
      <c r="T36" s="73"/>
    </row>
    <row r="37" spans="1:23" x14ac:dyDescent="0.25">
      <c r="A37" s="55" t="str">
        <f>'Initial Search'!D170</f>
        <v>MOMM: Multi-objective model merging</v>
      </c>
      <c r="B37" s="22">
        <f>ROW('Initial Search'!170:170)</f>
        <v>170</v>
      </c>
      <c r="C37" s="22">
        <f>ROW('Feature Study'!64:64)</f>
        <v>64</v>
      </c>
      <c r="D37" s="23" t="str">
        <f>'Initial Search'!M170</f>
        <v>Accepted</v>
      </c>
      <c r="E37" s="23" t="str">
        <f>'Initial Search'!N170</f>
        <v>Approved</v>
      </c>
      <c r="F37" s="390"/>
      <c r="G37" s="23" t="str">
        <f>'Initial Search'!O170</f>
        <v>MOMM</v>
      </c>
      <c r="H37" s="55" t="s">
        <v>1623</v>
      </c>
      <c r="I37" s="55" t="s">
        <v>1623</v>
      </c>
      <c r="J37" s="55" t="s">
        <v>1623</v>
      </c>
      <c r="K37" s="55" t="s">
        <v>1623</v>
      </c>
      <c r="L37" s="55" t="s">
        <v>1624</v>
      </c>
      <c r="M37" s="55" t="s">
        <v>1623</v>
      </c>
      <c r="N37" s="55" t="s">
        <v>1623</v>
      </c>
      <c r="O37" s="55" t="s">
        <v>1621</v>
      </c>
      <c r="P37" s="55" t="s">
        <v>1623</v>
      </c>
      <c r="Q37" s="55" t="s">
        <v>1624</v>
      </c>
      <c r="R37" s="55">
        <f t="shared" si="6"/>
        <v>6.5</v>
      </c>
      <c r="S37" s="55">
        <f t="shared" si="1"/>
        <v>92.857142857142861</v>
      </c>
      <c r="T37" s="73"/>
      <c r="V37" t="s">
        <v>1629</v>
      </c>
      <c r="W37">
        <f>AVERAGE(R3:R114)</f>
        <v>4.9107142857142856</v>
      </c>
    </row>
    <row r="38" spans="1:23" x14ac:dyDescent="0.25">
      <c r="A38" s="55" t="str">
        <f>'Initial Search'!D106</f>
        <v>Colex: a web-based collaborative conflict lexicon</v>
      </c>
      <c r="B38" s="22">
        <f>ROW('Initial Search'!106:106)</f>
        <v>106</v>
      </c>
      <c r="C38" s="22">
        <f>ROW('Feature Study'!65:65)</f>
        <v>65</v>
      </c>
      <c r="D38" s="23" t="str">
        <f>'Initial Search'!M106</f>
        <v>Accepted</v>
      </c>
      <c r="E38" s="23" t="str">
        <f>'Initial Search'!N106</f>
        <v>Approved</v>
      </c>
      <c r="F38" s="23" t="s">
        <v>2100</v>
      </c>
      <c r="G38" s="23" t="str">
        <f>'Initial Search'!O106</f>
        <v>Colex</v>
      </c>
      <c r="H38" s="55" t="s">
        <v>1623</v>
      </c>
      <c r="I38" s="55" t="s">
        <v>1623</v>
      </c>
      <c r="J38" s="55" t="s">
        <v>1623</v>
      </c>
      <c r="K38" s="55" t="s">
        <v>1621</v>
      </c>
      <c r="L38" s="55" t="s">
        <v>1624</v>
      </c>
      <c r="M38" s="55" t="s">
        <v>1621</v>
      </c>
      <c r="N38" s="55" t="s">
        <v>1623</v>
      </c>
      <c r="O38" s="55" t="s">
        <v>1621</v>
      </c>
      <c r="P38" s="55" t="s">
        <v>1623</v>
      </c>
      <c r="Q38" s="55" t="s">
        <v>1623</v>
      </c>
      <c r="R38" s="55">
        <f t="shared" si="6"/>
        <v>4.5</v>
      </c>
      <c r="S38" s="55">
        <f t="shared" si="1"/>
        <v>64.285714285714292</v>
      </c>
      <c r="T38" s="73"/>
      <c r="V38" t="s">
        <v>1630</v>
      </c>
      <c r="W38">
        <f>STDEV(R3:R114)</f>
        <v>1.0249462427438811</v>
      </c>
    </row>
    <row r="39" spans="1:23" x14ac:dyDescent="0.25">
      <c r="A39" s="55" t="str">
        <f>'Initial Search'!D150</f>
        <v>Conflicts as first-class entities: a UML profile for model versioning</v>
      </c>
      <c r="B39" s="22">
        <f>ROW('Initial Search'!150:150)</f>
        <v>150</v>
      </c>
      <c r="C39" s="22">
        <f>ROW('Feature Study'!66:66)</f>
        <v>66</v>
      </c>
      <c r="D39" s="23" t="str">
        <f>'Initial Search'!M150</f>
        <v>Accepted</v>
      </c>
      <c r="E39" s="23" t="str">
        <f>'Initial Search'!N150</f>
        <v>Approved</v>
      </c>
      <c r="F39" s="389" t="s">
        <v>2099</v>
      </c>
      <c r="G39" s="23" t="str">
        <f>'Initial Search'!O150</f>
        <v>AMOR</v>
      </c>
      <c r="H39" s="55" t="s">
        <v>1623</v>
      </c>
      <c r="I39" s="55" t="s">
        <v>1623</v>
      </c>
      <c r="J39" s="55" t="s">
        <v>1623</v>
      </c>
      <c r="K39" s="55" t="s">
        <v>1621</v>
      </c>
      <c r="L39" s="55" t="s">
        <v>1624</v>
      </c>
      <c r="M39" s="55" t="s">
        <v>1621</v>
      </c>
      <c r="N39" s="55" t="s">
        <v>1623</v>
      </c>
      <c r="O39" s="55" t="s">
        <v>1621</v>
      </c>
      <c r="P39" s="55" t="s">
        <v>1623</v>
      </c>
      <c r="Q39" s="55" t="s">
        <v>1624</v>
      </c>
      <c r="R39" s="55">
        <f t="shared" si="6"/>
        <v>4.5</v>
      </c>
      <c r="S39" s="55">
        <f t="shared" si="1"/>
        <v>64.285714285714292</v>
      </c>
      <c r="T39" s="73"/>
    </row>
    <row r="40" spans="1:23" x14ac:dyDescent="0.25">
      <c r="A40" s="55" t="str">
        <f>'Initial Search'!D160</f>
        <v>A recommender for conflict resolution support in optimistic model versioning</v>
      </c>
      <c r="B40" s="22">
        <f>ROW('Initial Search'!160:160)</f>
        <v>160</v>
      </c>
      <c r="C40" s="22">
        <f>ROW('Feature Study'!67:67)</f>
        <v>67</v>
      </c>
      <c r="D40" s="23" t="str">
        <f>'Initial Search'!M160</f>
        <v>Accepted</v>
      </c>
      <c r="E40" s="23" t="str">
        <f>'Initial Search'!N160</f>
        <v>Approved</v>
      </c>
      <c r="F40" s="391"/>
      <c r="G40" s="23" t="str">
        <f>'Initial Search'!O160</f>
        <v>AMOR</v>
      </c>
      <c r="H40" s="55" t="s">
        <v>1623</v>
      </c>
      <c r="I40" s="55" t="s">
        <v>1623</v>
      </c>
      <c r="J40" s="55" t="s">
        <v>1623</v>
      </c>
      <c r="K40" s="55" t="s">
        <v>1624</v>
      </c>
      <c r="L40" s="55" t="s">
        <v>1624</v>
      </c>
      <c r="M40" s="55" t="s">
        <v>1621</v>
      </c>
      <c r="N40" s="55" t="s">
        <v>1623</v>
      </c>
      <c r="O40" s="55" t="s">
        <v>1621</v>
      </c>
      <c r="P40" s="55" t="s">
        <v>1623</v>
      </c>
      <c r="Q40" s="55" t="s">
        <v>1624</v>
      </c>
      <c r="R40" s="55">
        <f t="shared" si="6"/>
        <v>5</v>
      </c>
      <c r="S40" s="55">
        <f t="shared" si="1"/>
        <v>71.428571428571431</v>
      </c>
      <c r="T40" s="73"/>
    </row>
    <row r="41" spans="1:23" x14ac:dyDescent="0.25">
      <c r="A41" s="55" t="str">
        <f>'Initial Search'!D219</f>
        <v>An Introduction to Model Versioning</v>
      </c>
      <c r="B41" s="22">
        <f>ROW('Initial Search'!219:219)</f>
        <v>219</v>
      </c>
      <c r="C41" s="22">
        <f>ROW('Feature Study'!68:68)</f>
        <v>68</v>
      </c>
      <c r="D41" s="23" t="str">
        <f>'Initial Search'!M219</f>
        <v>Accepted</v>
      </c>
      <c r="E41" s="23" t="str">
        <f>'Initial Search'!N219</f>
        <v>Approved</v>
      </c>
      <c r="F41" s="391"/>
      <c r="G41" s="23" t="str">
        <f>'Initial Search'!O219</f>
        <v>AMOR</v>
      </c>
      <c r="H41" s="55" t="s">
        <v>1624</v>
      </c>
      <c r="I41" s="55" t="s">
        <v>1623</v>
      </c>
      <c r="J41" s="55" t="s">
        <v>1623</v>
      </c>
      <c r="K41" s="55" t="s">
        <v>1621</v>
      </c>
      <c r="L41" s="55" t="s">
        <v>1624</v>
      </c>
      <c r="M41" s="55" t="s">
        <v>1623</v>
      </c>
      <c r="N41" s="55" t="s">
        <v>1624</v>
      </c>
      <c r="O41" s="55" t="s">
        <v>1621</v>
      </c>
      <c r="P41" s="55" t="s">
        <v>1624</v>
      </c>
      <c r="Q41" s="55" t="s">
        <v>1623</v>
      </c>
      <c r="R41" s="55">
        <f t="shared" si="6"/>
        <v>4.5</v>
      </c>
      <c r="S41" s="55">
        <f t="shared" si="1"/>
        <v>64.285714285714292</v>
      </c>
      <c r="T41" s="73"/>
    </row>
    <row r="42" spans="1:23" x14ac:dyDescent="0.25">
      <c r="A42" s="55" t="str">
        <f>'Initial Search'!D257</f>
        <v>Towards Semantics-Aware Merge Support in Optimistic Model Versioning</v>
      </c>
      <c r="B42" s="22">
        <f>ROW('Initial Search'!257:257)</f>
        <v>257</v>
      </c>
      <c r="C42" s="22">
        <f>ROW('Feature Study'!70:70)</f>
        <v>70</v>
      </c>
      <c r="D42" s="23" t="str">
        <f>'Initial Search'!M257</f>
        <v>Accepted</v>
      </c>
      <c r="E42" s="23" t="str">
        <f>'Initial Search'!N257</f>
        <v>Approved</v>
      </c>
      <c r="F42" s="391"/>
      <c r="G42" s="23" t="str">
        <f>'Initial Search'!O257</f>
        <v>AMOR</v>
      </c>
      <c r="H42" s="55" t="s">
        <v>1623</v>
      </c>
      <c r="I42" s="55" t="s">
        <v>1623</v>
      </c>
      <c r="J42" s="55" t="s">
        <v>1623</v>
      </c>
      <c r="K42" s="55" t="s">
        <v>1621</v>
      </c>
      <c r="L42" s="55" t="s">
        <v>1624</v>
      </c>
      <c r="M42" s="55" t="s">
        <v>1623</v>
      </c>
      <c r="N42" s="55" t="s">
        <v>1623</v>
      </c>
      <c r="O42" s="55" t="s">
        <v>1621</v>
      </c>
      <c r="P42" s="55" t="s">
        <v>1623</v>
      </c>
      <c r="Q42" s="55" t="s">
        <v>1623</v>
      </c>
      <c r="R42" s="55">
        <f t="shared" si="6"/>
        <v>5.5</v>
      </c>
      <c r="S42" s="55">
        <f t="shared" si="1"/>
        <v>78.571428571428569</v>
      </c>
      <c r="T42" s="73"/>
    </row>
    <row r="43" spans="1:23" x14ac:dyDescent="0.25">
      <c r="A43" s="55" t="str">
        <f>'Initial Search'!D293</f>
        <v>Conflict Visualization for Evolving UML Models</v>
      </c>
      <c r="B43" s="22">
        <f>ROW('Initial Search'!293:293)</f>
        <v>293</v>
      </c>
      <c r="C43" s="22">
        <f>ROW('Feature Study'!146:146)</f>
        <v>146</v>
      </c>
      <c r="D43" s="23" t="str">
        <f>'Initial Search'!M293</f>
        <v>Accepted</v>
      </c>
      <c r="E43" s="23" t="str">
        <f>'Initial Search'!N293</f>
        <v>Approved</v>
      </c>
      <c r="F43" s="390"/>
      <c r="G43" s="287" t="str">
        <f>'Initial Search'!O293</f>
        <v>AMOR</v>
      </c>
      <c r="H43" s="55" t="s">
        <v>1623</v>
      </c>
      <c r="I43" s="55" t="s">
        <v>1623</v>
      </c>
      <c r="J43" s="55" t="s">
        <v>1623</v>
      </c>
      <c r="K43" s="55" t="s">
        <v>1624</v>
      </c>
      <c r="L43" s="55" t="s">
        <v>1624</v>
      </c>
      <c r="M43" s="55" t="s">
        <v>1623</v>
      </c>
      <c r="N43" s="55" t="s">
        <v>1624</v>
      </c>
      <c r="O43" s="55" t="s">
        <v>1621</v>
      </c>
      <c r="P43" s="55" t="s">
        <v>1623</v>
      </c>
      <c r="Q43" s="55" t="s">
        <v>1621</v>
      </c>
      <c r="R43" s="55">
        <f t="shared" si="6"/>
        <v>5.5</v>
      </c>
      <c r="S43" s="55">
        <f t="shared" si="1"/>
        <v>78.571428571428569</v>
      </c>
      <c r="T43" s="73"/>
    </row>
    <row r="44" spans="1:23" x14ac:dyDescent="0.25">
      <c r="A44" s="55" t="str">
        <f>'Initial Search'!D218</f>
        <v>Turning Conflicts into Collaboration</v>
      </c>
      <c r="B44" s="22">
        <f>ROW('Initial Search'!218:218)</f>
        <v>218</v>
      </c>
      <c r="C44" s="22">
        <f>ROW('Feature Study'!71:71)</f>
        <v>71</v>
      </c>
      <c r="D44" s="23" t="str">
        <f>'Initial Search'!M218</f>
        <v>Accepted</v>
      </c>
      <c r="E44" s="23" t="str">
        <f>'Initial Search'!N218</f>
        <v>Approved</v>
      </c>
      <c r="F44" s="23" t="s">
        <v>2124</v>
      </c>
      <c r="G44" s="23" t="str">
        <f>'Initial Search'!O218</f>
        <v>Wieland et al.</v>
      </c>
      <c r="H44" s="55" t="s">
        <v>1623</v>
      </c>
      <c r="I44" s="55" t="s">
        <v>1623</v>
      </c>
      <c r="J44" s="55" t="s">
        <v>1623</v>
      </c>
      <c r="K44" s="55" t="s">
        <v>1623</v>
      </c>
      <c r="L44" s="55" t="s">
        <v>1624</v>
      </c>
      <c r="M44" s="55" t="s">
        <v>1623</v>
      </c>
      <c r="N44" s="55" t="s">
        <v>1623</v>
      </c>
      <c r="O44" s="55" t="s">
        <v>1623</v>
      </c>
      <c r="P44" s="55" t="s">
        <v>1624</v>
      </c>
      <c r="Q44" s="55" t="s">
        <v>1623</v>
      </c>
      <c r="R44" s="55">
        <f t="shared" si="6"/>
        <v>6.5</v>
      </c>
      <c r="S44" s="55">
        <f t="shared" si="1"/>
        <v>92.857142857142861</v>
      </c>
      <c r="T44" s="73"/>
    </row>
    <row r="45" spans="1:23" x14ac:dyDescent="0.25">
      <c r="A45" s="55" t="str">
        <f>'Initial Search'!D225</f>
        <v>A fundamental approach to model versioning based on graph modifications: from theory to implementation</v>
      </c>
      <c r="B45" s="22">
        <f>ROW('Initial Search'!225:225)</f>
        <v>225</v>
      </c>
      <c r="C45" s="22">
        <f>ROW('Feature Study'!72:72)</f>
        <v>72</v>
      </c>
      <c r="D45" s="23" t="str">
        <f>'Initial Search'!M225</f>
        <v>Accepted</v>
      </c>
      <c r="E45" s="23" t="str">
        <f>'Initial Search'!N225</f>
        <v>Approved</v>
      </c>
      <c r="F45" s="389" t="s">
        <v>2129</v>
      </c>
      <c r="G45" s="23" t="str">
        <f>'Initial Search'!O225</f>
        <v>Taentzer et al.</v>
      </c>
      <c r="H45" s="55" t="s">
        <v>1623</v>
      </c>
      <c r="I45" s="55" t="s">
        <v>1623</v>
      </c>
      <c r="J45" s="55" t="s">
        <v>1623</v>
      </c>
      <c r="K45" s="55" t="s">
        <v>1621</v>
      </c>
      <c r="L45" s="55" t="s">
        <v>1624</v>
      </c>
      <c r="M45" s="55" t="s">
        <v>1623</v>
      </c>
      <c r="N45" s="55" t="s">
        <v>1623</v>
      </c>
      <c r="O45" s="55" t="s">
        <v>1621</v>
      </c>
      <c r="P45" s="55" t="s">
        <v>1623</v>
      </c>
      <c r="Q45" s="55" t="s">
        <v>1624</v>
      </c>
      <c r="R45" s="55">
        <f t="shared" si="6"/>
        <v>5.5</v>
      </c>
      <c r="S45" s="55">
        <f t="shared" si="1"/>
        <v>78.571428571428569</v>
      </c>
      <c r="T45" s="73"/>
    </row>
    <row r="46" spans="1:23" x14ac:dyDescent="0.25">
      <c r="A46" s="55" t="str">
        <f>'Initial Search'!D241</f>
        <v>Conflict Detection for Model Versioning Based on Graph Modifications</v>
      </c>
      <c r="B46" s="22">
        <f>ROW('Initial Search'!241:241)</f>
        <v>241</v>
      </c>
      <c r="C46" s="22">
        <f>ROW('Feature Study'!73:73)</f>
        <v>73</v>
      </c>
      <c r="D46" s="23" t="str">
        <f>'Initial Search'!M241</f>
        <v>Accepted</v>
      </c>
      <c r="E46" s="23" t="str">
        <f>'Initial Search'!N241</f>
        <v>Approved</v>
      </c>
      <c r="F46" s="391"/>
      <c r="G46" s="23" t="str">
        <f>'Initial Search'!O241</f>
        <v>Taentzer et al.</v>
      </c>
      <c r="H46" s="55" t="s">
        <v>1623</v>
      </c>
      <c r="I46" s="55" t="s">
        <v>1624</v>
      </c>
      <c r="J46" s="55" t="s">
        <v>1623</v>
      </c>
      <c r="K46" s="55" t="s">
        <v>1621</v>
      </c>
      <c r="L46" s="55" t="s">
        <v>1621</v>
      </c>
      <c r="M46" s="55" t="s">
        <v>1623</v>
      </c>
      <c r="N46" s="55" t="s">
        <v>1623</v>
      </c>
      <c r="O46" s="55" t="s">
        <v>1621</v>
      </c>
      <c r="P46" s="55" t="s">
        <v>1623</v>
      </c>
      <c r="Q46" s="55" t="s">
        <v>1624</v>
      </c>
      <c r="R46" s="55">
        <f t="shared" si="6"/>
        <v>4.5</v>
      </c>
      <c r="S46" s="55">
        <f t="shared" si="1"/>
        <v>64.285714285714292</v>
      </c>
      <c r="T46" s="73"/>
    </row>
    <row r="47" spans="1:23" x14ac:dyDescent="0.25">
      <c r="A47" s="55" t="str">
        <f>'Initial Search'!D246</f>
        <v>A Formal Resolution Strategy for Operation-Based Conflicts in Model Versioning Using Graph Modifications</v>
      </c>
      <c r="B47" s="22">
        <f>ROW('Initial Search'!246:246)</f>
        <v>246</v>
      </c>
      <c r="C47" s="22">
        <f>ROW('Feature Study'!80:80)</f>
        <v>80</v>
      </c>
      <c r="D47" s="23" t="str">
        <f>'Initial Search'!M246</f>
        <v>Accepted</v>
      </c>
      <c r="E47" s="23" t="str">
        <f>'Initial Search'!N246</f>
        <v>Approved</v>
      </c>
      <c r="F47" s="390"/>
      <c r="G47" s="23" t="str">
        <f>'Initial Search'!O241</f>
        <v>Taentzer et al.</v>
      </c>
      <c r="H47" s="55" t="s">
        <v>1623</v>
      </c>
      <c r="I47" s="55" t="s">
        <v>1623</v>
      </c>
      <c r="J47" s="55" t="s">
        <v>1623</v>
      </c>
      <c r="K47" s="55" t="s">
        <v>1621</v>
      </c>
      <c r="L47" s="55" t="s">
        <v>1621</v>
      </c>
      <c r="M47" s="55" t="s">
        <v>1624</v>
      </c>
      <c r="N47" s="55" t="s">
        <v>1624</v>
      </c>
      <c r="O47" s="55" t="s">
        <v>1621</v>
      </c>
      <c r="P47" s="55" t="s">
        <v>1623</v>
      </c>
      <c r="Q47" s="55" t="s">
        <v>1621</v>
      </c>
      <c r="R47" s="55">
        <f t="shared" si="6"/>
        <v>4</v>
      </c>
      <c r="S47" s="55">
        <f t="shared" si="1"/>
        <v>57.142857142857139</v>
      </c>
      <c r="T47" s="73"/>
    </row>
    <row r="48" spans="1:23" x14ac:dyDescent="0.25">
      <c r="A48" s="55" t="str">
        <f>'Initial Search'!D115</f>
        <v>Model-based tool support for consistent three-way merging of EMF models</v>
      </c>
      <c r="B48" s="22">
        <f>ROW('Initial Search'!115:115)</f>
        <v>115</v>
      </c>
      <c r="C48" s="22">
        <f>ROW('Feature Study'!81:81)</f>
        <v>81</v>
      </c>
      <c r="D48" s="23" t="str">
        <f>'Initial Search'!M115</f>
        <v>Accepted</v>
      </c>
      <c r="E48" s="23" t="str">
        <f>'Initial Search'!N115</f>
        <v>Approved</v>
      </c>
      <c r="F48" s="389" t="s">
        <v>2130</v>
      </c>
      <c r="G48" s="23" t="str">
        <f>'Initial Search'!O115</f>
        <v>BTMerge</v>
      </c>
      <c r="H48" s="55" t="s">
        <v>1623</v>
      </c>
      <c r="I48" s="55" t="s">
        <v>1623</v>
      </c>
      <c r="J48" s="55" t="s">
        <v>1623</v>
      </c>
      <c r="K48" s="55" t="s">
        <v>1624</v>
      </c>
      <c r="L48" s="55" t="s">
        <v>1624</v>
      </c>
      <c r="M48" s="55" t="s">
        <v>1623</v>
      </c>
      <c r="N48" s="55" t="s">
        <v>1623</v>
      </c>
      <c r="O48" s="55" t="s">
        <v>1621</v>
      </c>
      <c r="P48" s="55" t="s">
        <v>1624</v>
      </c>
      <c r="Q48" s="55" t="s">
        <v>1624</v>
      </c>
      <c r="R48" s="55">
        <f t="shared" si="6"/>
        <v>6</v>
      </c>
      <c r="S48" s="55">
        <f t="shared" si="1"/>
        <v>85.714285714285708</v>
      </c>
      <c r="T48" s="73"/>
    </row>
    <row r="49" spans="1:33" x14ac:dyDescent="0.25">
      <c r="A49" s="55" t="str">
        <f>'Initial Search'!D182</f>
        <v>A graph-based algorithm for three-way merging of ordered collections in EMF models</v>
      </c>
      <c r="B49" s="22">
        <f>ROW('Initial Search'!182:182)</f>
        <v>182</v>
      </c>
      <c r="C49" s="22">
        <f>ROW('Feature Study'!82:82)</f>
        <v>82</v>
      </c>
      <c r="D49" s="23" t="str">
        <f>'Initial Search'!M182</f>
        <v>Accepted</v>
      </c>
      <c r="E49" s="23" t="str">
        <f>'Initial Search'!N182</f>
        <v>Approved</v>
      </c>
      <c r="F49" s="391"/>
      <c r="G49" s="23" t="str">
        <f>'Initial Search'!O182</f>
        <v>BTMerge</v>
      </c>
      <c r="H49" s="55" t="s">
        <v>1623</v>
      </c>
      <c r="I49" s="55" t="s">
        <v>1623</v>
      </c>
      <c r="J49" s="55" t="s">
        <v>1623</v>
      </c>
      <c r="K49" s="55" t="s">
        <v>1623</v>
      </c>
      <c r="L49" s="55" t="s">
        <v>1624</v>
      </c>
      <c r="M49" s="55" t="s">
        <v>1623</v>
      </c>
      <c r="N49" s="55" t="s">
        <v>1623</v>
      </c>
      <c r="O49" s="55" t="s">
        <v>1621</v>
      </c>
      <c r="P49" s="55" t="s">
        <v>1623</v>
      </c>
      <c r="Q49" s="55" t="s">
        <v>1624</v>
      </c>
      <c r="R49" s="55">
        <f t="shared" si="6"/>
        <v>6.5</v>
      </c>
      <c r="S49" s="55">
        <f t="shared" si="1"/>
        <v>92.857142857142861</v>
      </c>
      <c r="T49" s="73"/>
    </row>
    <row r="50" spans="1:33" x14ac:dyDescent="0.25">
      <c r="A50" s="55" t="str">
        <f>'Initial Search'!D221</f>
        <v>Merging of EMF models - Formal foundations</v>
      </c>
      <c r="B50" s="22">
        <f>ROW('Initial Search'!221:221)</f>
        <v>221</v>
      </c>
      <c r="C50" s="22">
        <f>ROW('Feature Study'!87:87)</f>
        <v>87</v>
      </c>
      <c r="D50" s="23" t="str">
        <f>'Initial Search'!M221</f>
        <v>Accepted</v>
      </c>
      <c r="E50" s="23" t="str">
        <f>'Initial Search'!N221</f>
        <v>Approved</v>
      </c>
      <c r="F50" s="391"/>
      <c r="G50" s="23" t="str">
        <f>'Initial Search'!O221</f>
        <v>BTMerge</v>
      </c>
      <c r="H50" s="55" t="s">
        <v>1623</v>
      </c>
      <c r="I50" s="55" t="s">
        <v>1623</v>
      </c>
      <c r="J50" s="55" t="s">
        <v>1623</v>
      </c>
      <c r="K50" s="55" t="s">
        <v>1624</v>
      </c>
      <c r="L50" s="55" t="s">
        <v>1621</v>
      </c>
      <c r="M50" s="55" t="s">
        <v>1623</v>
      </c>
      <c r="N50" s="55" t="s">
        <v>1623</v>
      </c>
      <c r="O50" s="55" t="s">
        <v>1621</v>
      </c>
      <c r="P50" s="55" t="s">
        <v>1623</v>
      </c>
      <c r="Q50" s="55" t="s">
        <v>1624</v>
      </c>
      <c r="R50" s="55">
        <f t="shared" si="6"/>
        <v>5.5</v>
      </c>
      <c r="S50" s="55">
        <f t="shared" si="1"/>
        <v>78.571428571428569</v>
      </c>
      <c r="T50" s="73"/>
    </row>
    <row r="51" spans="1:33" x14ac:dyDescent="0.25">
      <c r="A51" s="55" t="str">
        <f>'Initial Search'!D108</f>
        <v>A formal approach to three-way merging of EMF models</v>
      </c>
      <c r="B51" s="22">
        <f>ROW('Initial Search'!108:108)</f>
        <v>108</v>
      </c>
      <c r="C51" s="22">
        <f>ROW('Feature Study'!89:89)</f>
        <v>89</v>
      </c>
      <c r="D51" s="23" t="str">
        <f>'Initial Search'!M108</f>
        <v>Accepted</v>
      </c>
      <c r="E51" s="23" t="str">
        <f>'Initial Search'!N108</f>
        <v>Approved</v>
      </c>
      <c r="F51" s="390"/>
      <c r="G51" s="23" t="str">
        <f>'Initial Search'!O108</f>
        <v>BTMerge</v>
      </c>
      <c r="H51" s="55" t="s">
        <v>1623</v>
      </c>
      <c r="I51" s="55" t="s">
        <v>1623</v>
      </c>
      <c r="J51" s="55" t="s">
        <v>1623</v>
      </c>
      <c r="K51" s="55" t="s">
        <v>1621</v>
      </c>
      <c r="L51" s="55" t="s">
        <v>1621</v>
      </c>
      <c r="M51" s="55" t="s">
        <v>1623</v>
      </c>
      <c r="N51" s="55" t="s">
        <v>1621</v>
      </c>
      <c r="O51" s="55" t="s">
        <v>1621</v>
      </c>
      <c r="P51" s="55" t="s">
        <v>1623</v>
      </c>
      <c r="Q51" s="55" t="s">
        <v>1624</v>
      </c>
      <c r="R51" s="55">
        <f t="shared" si="6"/>
        <v>4</v>
      </c>
      <c r="S51" s="55">
        <f t="shared" si="1"/>
        <v>57.142857142857139</v>
      </c>
      <c r="T51" s="73"/>
    </row>
    <row r="52" spans="1:33" x14ac:dyDescent="0.25">
      <c r="A52" s="55" t="str">
        <f>'Initial Search'!D229</f>
        <v>Managing Model Conflicts in Distributed Development</v>
      </c>
      <c r="B52" s="22">
        <f>ROW('Initial Search'!229:229)</f>
        <v>229</v>
      </c>
      <c r="C52" s="22">
        <f>ROW('Feature Study'!91:91)</f>
        <v>91</v>
      </c>
      <c r="D52" s="23" t="str">
        <f>'Initial Search'!M229</f>
        <v>Accepted</v>
      </c>
      <c r="E52" s="23" t="str">
        <f>'Initial Search'!N229</f>
        <v>Approved</v>
      </c>
      <c r="F52" s="23" t="s">
        <v>2168</v>
      </c>
      <c r="G52" s="23" t="str">
        <f>'Initial Search'!O229</f>
        <v>Cicchetti et al.</v>
      </c>
      <c r="H52" s="55" t="s">
        <v>1623</v>
      </c>
      <c r="I52" s="55" t="s">
        <v>1623</v>
      </c>
      <c r="J52" s="55" t="s">
        <v>1623</v>
      </c>
      <c r="K52" s="55" t="s">
        <v>1621</v>
      </c>
      <c r="L52" s="55" t="s">
        <v>1624</v>
      </c>
      <c r="M52" s="55" t="s">
        <v>1623</v>
      </c>
      <c r="N52" s="55" t="s">
        <v>1623</v>
      </c>
      <c r="O52" s="55" t="s">
        <v>1621</v>
      </c>
      <c r="P52" s="55" t="s">
        <v>1623</v>
      </c>
      <c r="Q52" s="55" t="s">
        <v>1621</v>
      </c>
      <c r="R52" s="55">
        <f t="shared" si="6"/>
        <v>5.5</v>
      </c>
      <c r="S52" s="55">
        <f t="shared" si="1"/>
        <v>78.571428571428569</v>
      </c>
      <c r="T52" s="73"/>
    </row>
    <row r="53" spans="1:33" x14ac:dyDescent="0.25">
      <c r="A53" s="55" t="str">
        <f>'Initial Search'!D111</f>
        <v>Foundations of Collaborative, Real-Time Feature Modeling</v>
      </c>
      <c r="B53" s="22">
        <f>ROW('Initial Search'!111:111)</f>
        <v>111</v>
      </c>
      <c r="C53" s="22">
        <f>ROW('Feature Study'!93:93)</f>
        <v>93</v>
      </c>
      <c r="D53" s="23" t="str">
        <f>'Initial Search'!M111</f>
        <v>Accepted</v>
      </c>
      <c r="E53" s="23" t="str">
        <f>'Initial Search'!N111</f>
        <v>Approved</v>
      </c>
      <c r="F53" s="389" t="s">
        <v>2173</v>
      </c>
      <c r="G53" s="23" t="str">
        <f>'Initial Search'!O111</f>
        <v>variED</v>
      </c>
      <c r="H53" s="55" t="s">
        <v>1623</v>
      </c>
      <c r="I53" s="55" t="s">
        <v>1621</v>
      </c>
      <c r="J53" s="55" t="s">
        <v>1623</v>
      </c>
      <c r="K53" s="55" t="s">
        <v>1624</v>
      </c>
      <c r="L53" s="55" t="s">
        <v>1624</v>
      </c>
      <c r="M53" s="55" t="s">
        <v>1623</v>
      </c>
      <c r="N53" s="55" t="s">
        <v>1624</v>
      </c>
      <c r="O53" s="55" t="s">
        <v>1621</v>
      </c>
      <c r="P53" s="55" t="s">
        <v>1623</v>
      </c>
      <c r="Q53" s="55" t="s">
        <v>1621</v>
      </c>
      <c r="R53" s="55">
        <f>COUNTIF(H53:N53,"Yes") + 0.5 * COUNTIF(H53:N53,"partially")</f>
        <v>4.5</v>
      </c>
      <c r="S53" s="55">
        <f>R53/7*100</f>
        <v>64.285714285714292</v>
      </c>
      <c r="T53" s="73"/>
      <c r="AG53" s="284"/>
    </row>
    <row r="54" spans="1:33" x14ac:dyDescent="0.25">
      <c r="A54" s="55" t="str">
        <f>'Initial Search'!D365</f>
        <v>variED: an editor for collaborative, real-time feature modeling</v>
      </c>
      <c r="B54" s="22">
        <f>ROW('Initial Search'!365:365)</f>
        <v>365</v>
      </c>
      <c r="C54" s="22">
        <f>ROW('Feature Study'!181:181)</f>
        <v>181</v>
      </c>
      <c r="D54" s="23" t="str">
        <f>'Initial Search'!M365</f>
        <v>Accepted</v>
      </c>
      <c r="E54" s="23" t="str">
        <f>'Initial Search'!N365</f>
        <v>Approved</v>
      </c>
      <c r="F54" s="390"/>
      <c r="G54" s="23" t="str">
        <f>'Initial Search'!O365</f>
        <v>variED</v>
      </c>
      <c r="H54" s="55" t="s">
        <v>1623</v>
      </c>
      <c r="I54" s="55" t="s">
        <v>1621</v>
      </c>
      <c r="J54" s="55" t="s">
        <v>1623</v>
      </c>
      <c r="K54" s="55" t="s">
        <v>1623</v>
      </c>
      <c r="L54" s="55" t="s">
        <v>1623</v>
      </c>
      <c r="M54" s="55" t="s">
        <v>1623</v>
      </c>
      <c r="N54" s="55" t="s">
        <v>1624</v>
      </c>
      <c r="O54" s="55" t="s">
        <v>1621</v>
      </c>
      <c r="P54" s="55" t="s">
        <v>1623</v>
      </c>
      <c r="Q54" s="55" t="s">
        <v>1621</v>
      </c>
      <c r="R54" s="55">
        <f t="shared" si="6"/>
        <v>5.5</v>
      </c>
      <c r="S54" s="55">
        <f t="shared" si="1"/>
        <v>78.571428571428569</v>
      </c>
      <c r="T54" s="73"/>
    </row>
    <row r="55" spans="1:33" x14ac:dyDescent="0.25">
      <c r="A55" s="55" t="str">
        <f>'Initial Search'!D238</f>
        <v>Models in Conflict – Towards a Semantically Enhanced Version Control System for Models</v>
      </c>
      <c r="B55" s="22">
        <f>ROW('Initial Search'!238:238)</f>
        <v>238</v>
      </c>
      <c r="C55" s="22">
        <f>ROW('Feature Study'!95:95)</f>
        <v>95</v>
      </c>
      <c r="D55" s="23" t="str">
        <f>'Initial Search'!M238</f>
        <v>Accepted</v>
      </c>
      <c r="E55" s="23" t="str">
        <f>'Initial Search'!N238</f>
        <v>Approved</v>
      </c>
      <c r="F55" s="391" t="s">
        <v>2183</v>
      </c>
      <c r="G55" s="23" t="str">
        <f>'Initial Search'!O238</f>
        <v>SMoVer</v>
      </c>
      <c r="H55" s="55" t="s">
        <v>1623</v>
      </c>
      <c r="I55" s="55" t="s">
        <v>1621</v>
      </c>
      <c r="J55" s="55" t="s">
        <v>1624</v>
      </c>
      <c r="K55" s="55" t="s">
        <v>1624</v>
      </c>
      <c r="L55" s="55" t="s">
        <v>1624</v>
      </c>
      <c r="M55" s="55" t="s">
        <v>1623</v>
      </c>
      <c r="N55" s="55" t="s">
        <v>1623</v>
      </c>
      <c r="O55" s="55" t="s">
        <v>1621</v>
      </c>
      <c r="P55" s="55" t="s">
        <v>1624</v>
      </c>
      <c r="Q55" s="55" t="s">
        <v>1623</v>
      </c>
      <c r="R55" s="55">
        <f t="shared" si="6"/>
        <v>4.5</v>
      </c>
      <c r="S55" s="55">
        <f t="shared" si="1"/>
        <v>64.285714285714292</v>
      </c>
      <c r="T55" s="73"/>
    </row>
    <row r="56" spans="1:33" x14ac:dyDescent="0.25">
      <c r="A56" s="55" t="str">
        <f>'Initial Search'!D290</f>
        <v>Semantically enhanced conflict detection between model versions in SMoVer by example</v>
      </c>
      <c r="B56" s="22">
        <f>ROW('Initial Search'!290:290)</f>
        <v>290</v>
      </c>
      <c r="C56" s="22">
        <f>ROW('Feature Study'!96:96)</f>
        <v>96</v>
      </c>
      <c r="D56" s="23" t="str">
        <f>'Initial Search'!M290</f>
        <v>Accepted</v>
      </c>
      <c r="E56" s="23" t="str">
        <f>'Initial Search'!N290</f>
        <v>Approved</v>
      </c>
      <c r="F56" s="391"/>
      <c r="G56" s="287" t="str">
        <f>'Initial Search'!O290</f>
        <v>SMoVer</v>
      </c>
      <c r="H56" s="55" t="s">
        <v>1623</v>
      </c>
      <c r="I56" s="55" t="s">
        <v>1623</v>
      </c>
      <c r="J56" s="55" t="s">
        <v>1623</v>
      </c>
      <c r="K56" s="55" t="s">
        <v>1621</v>
      </c>
      <c r="L56" s="55" t="s">
        <v>1624</v>
      </c>
      <c r="M56" s="55" t="s">
        <v>1623</v>
      </c>
      <c r="N56" s="55" t="s">
        <v>1623</v>
      </c>
      <c r="O56" s="55" t="s">
        <v>1621</v>
      </c>
      <c r="P56" s="55" t="s">
        <v>1623</v>
      </c>
      <c r="Q56" s="55" t="s">
        <v>1621</v>
      </c>
      <c r="R56" s="55">
        <f t="shared" si="6"/>
        <v>5.5</v>
      </c>
      <c r="S56" s="55">
        <f t="shared" si="1"/>
        <v>78.571428571428569</v>
      </c>
      <c r="T56" s="73"/>
    </row>
    <row r="57" spans="1:33" x14ac:dyDescent="0.25">
      <c r="A57" s="55" t="str">
        <f>'Initial Search'!D298</f>
        <v>Semantics for Accurate Conflict Detection in SMoVer: Specification, Detection and Presentation by Example</v>
      </c>
      <c r="B57" s="22">
        <f>ROW('Initial Search'!298:298)</f>
        <v>298</v>
      </c>
      <c r="C57" s="22">
        <f>ROW('Feature Study'!150:150)</f>
        <v>150</v>
      </c>
      <c r="D57" s="23" t="str">
        <f>'Initial Search'!M298</f>
        <v>Accepted</v>
      </c>
      <c r="E57" s="23" t="str">
        <f>'Initial Search'!N298</f>
        <v>Approved</v>
      </c>
      <c r="F57" s="390"/>
      <c r="G57" s="287" t="str">
        <f>'Initial Search'!O298</f>
        <v>SMoVer</v>
      </c>
      <c r="H57" s="55" t="s">
        <v>1623</v>
      </c>
      <c r="I57" s="55" t="s">
        <v>1623</v>
      </c>
      <c r="J57" s="55" t="s">
        <v>1623</v>
      </c>
      <c r="K57" s="55" t="s">
        <v>1621</v>
      </c>
      <c r="L57" s="55" t="s">
        <v>1624</v>
      </c>
      <c r="M57" s="55" t="s">
        <v>1623</v>
      </c>
      <c r="N57" s="55" t="s">
        <v>1623</v>
      </c>
      <c r="O57" s="55" t="s">
        <v>1621</v>
      </c>
      <c r="P57" s="55" t="s">
        <v>1623</v>
      </c>
      <c r="Q57" s="55" t="s">
        <v>1621</v>
      </c>
      <c r="R57" s="55">
        <f t="shared" si="6"/>
        <v>5.5</v>
      </c>
      <c r="S57" s="55">
        <f t="shared" si="1"/>
        <v>78.571428571428569</v>
      </c>
      <c r="T57" s="73"/>
    </row>
    <row r="58" spans="1:33" x14ac:dyDescent="0.25">
      <c r="A58" s="55" t="str">
        <f>'Initial Search'!D131</f>
        <v>A New Approach for Meaningful XML Schema Merging</v>
      </c>
      <c r="B58" s="22">
        <f>ROW('Initial Search'!131:131)</f>
        <v>131</v>
      </c>
      <c r="C58" s="22">
        <f>ROW('Feature Study'!101:101)</f>
        <v>101</v>
      </c>
      <c r="D58" s="23" t="str">
        <f>'Initial Search'!M131</f>
        <v>Accepted</v>
      </c>
      <c r="E58" s="23" t="str">
        <f>'Initial Search'!N131</f>
        <v>Approved</v>
      </c>
      <c r="F58" s="23" t="s">
        <v>2200</v>
      </c>
      <c r="G58" s="23" t="str">
        <f>'Initial Search'!O131</f>
        <v>XSD-aware (XSM)</v>
      </c>
      <c r="H58" s="55" t="s">
        <v>1623</v>
      </c>
      <c r="I58" s="55" t="s">
        <v>1624</v>
      </c>
      <c r="J58" s="55" t="s">
        <v>1623</v>
      </c>
      <c r="K58" s="55" t="s">
        <v>1623</v>
      </c>
      <c r="L58" s="55" t="s">
        <v>1624</v>
      </c>
      <c r="M58" s="55" t="s">
        <v>1623</v>
      </c>
      <c r="N58" s="55" t="s">
        <v>1623</v>
      </c>
      <c r="O58" s="55" t="s">
        <v>1621</v>
      </c>
      <c r="P58" s="55" t="s">
        <v>1623</v>
      </c>
      <c r="Q58" s="55" t="s">
        <v>1621</v>
      </c>
      <c r="R58" s="55">
        <f t="shared" si="6"/>
        <v>6</v>
      </c>
      <c r="S58" s="55">
        <f t="shared" si="1"/>
        <v>85.714285714285708</v>
      </c>
      <c r="T58" s="73"/>
    </row>
    <row r="59" spans="1:33" x14ac:dyDescent="0.25">
      <c r="A59" s="55" t="str">
        <f>'Initial Search'!D154</f>
        <v>Conflict resolution for on-the-fly change propagation in business processes</v>
      </c>
      <c r="B59" s="22">
        <f>ROW('Initial Search'!154:154)</f>
        <v>154</v>
      </c>
      <c r="C59" s="22">
        <f>ROW('Feature Study'!106:106)</f>
        <v>106</v>
      </c>
      <c r="D59" s="23" t="str">
        <f>'Initial Search'!M154</f>
        <v>Accepted</v>
      </c>
      <c r="E59" s="23" t="str">
        <f>'Initial Search'!N154</f>
        <v>Approved</v>
      </c>
      <c r="F59" s="389" t="s">
        <v>2215</v>
      </c>
      <c r="G59" s="23" t="str">
        <f>'Initial Search'!O154</f>
        <v>Mafazi et al.</v>
      </c>
      <c r="H59" s="55" t="s">
        <v>1623</v>
      </c>
      <c r="I59" s="55" t="s">
        <v>1623</v>
      </c>
      <c r="J59" s="55" t="s">
        <v>1623</v>
      </c>
      <c r="K59" s="55" t="s">
        <v>1621</v>
      </c>
      <c r="L59" s="55" t="s">
        <v>1621</v>
      </c>
      <c r="M59" s="55" t="s">
        <v>1623</v>
      </c>
      <c r="N59" s="55" t="s">
        <v>1623</v>
      </c>
      <c r="O59" s="55" t="s">
        <v>1621</v>
      </c>
      <c r="P59" s="55" t="s">
        <v>1624</v>
      </c>
      <c r="Q59" s="55" t="s">
        <v>1621</v>
      </c>
      <c r="R59" s="55">
        <f t="shared" si="6"/>
        <v>5</v>
      </c>
      <c r="S59" s="55">
        <f t="shared" si="1"/>
        <v>71.428571428571431</v>
      </c>
      <c r="T59" s="73"/>
    </row>
    <row r="60" spans="1:33" x14ac:dyDescent="0.25">
      <c r="A60" s="55" t="str">
        <f>'Initial Search'!D303</f>
        <v>Change Propagation and Conflict Resolution for the Co-Evolution of Business Processes</v>
      </c>
      <c r="B60" s="22">
        <f>ROW('Initial Search'!303:303)</f>
        <v>303</v>
      </c>
      <c r="C60" s="22">
        <f>ROW('Feature Study'!153:153)</f>
        <v>153</v>
      </c>
      <c r="D60" s="23" t="str">
        <f>'Initial Search'!M303</f>
        <v>Accepted</v>
      </c>
      <c r="E60" s="23" t="str">
        <f>'Initial Search'!N303</f>
        <v>Approved</v>
      </c>
      <c r="F60" s="390"/>
      <c r="G60" s="287" t="str">
        <f>'Initial Search'!O303</f>
        <v>Mafazi et al.</v>
      </c>
      <c r="H60" s="55" t="s">
        <v>1623</v>
      </c>
      <c r="I60" s="55" t="s">
        <v>1623</v>
      </c>
      <c r="J60" s="55" t="s">
        <v>1623</v>
      </c>
      <c r="K60" s="55" t="s">
        <v>1624</v>
      </c>
      <c r="L60" s="55" t="s">
        <v>1624</v>
      </c>
      <c r="M60" s="55" t="s">
        <v>1623</v>
      </c>
      <c r="N60" s="55" t="s">
        <v>1624</v>
      </c>
      <c r="O60" s="55" t="s">
        <v>1621</v>
      </c>
      <c r="P60" s="55" t="s">
        <v>1623</v>
      </c>
      <c r="Q60" s="55" t="s">
        <v>1621</v>
      </c>
      <c r="R60" s="55">
        <f t="shared" si="6"/>
        <v>5.5</v>
      </c>
      <c r="S60" s="55">
        <f t="shared" si="1"/>
        <v>78.571428571428569</v>
      </c>
      <c r="T60" s="73"/>
    </row>
    <row r="61" spans="1:33" x14ac:dyDescent="0.25">
      <c r="A61" s="55" t="str">
        <f>'Initial Search'!D183</f>
        <v>Formal Model Merging Applied to Class Diagram Integration</v>
      </c>
      <c r="B61" s="22">
        <f>ROW('Initial Search'!183:183)</f>
        <v>183</v>
      </c>
      <c r="C61" s="22">
        <f>ROW('Feature Study'!109:109)</f>
        <v>109</v>
      </c>
      <c r="D61" s="23" t="str">
        <f>'Initial Search'!M183</f>
        <v>Accepted</v>
      </c>
      <c r="E61" s="23" t="str">
        <f>'Initial Search'!N183</f>
        <v>Approved</v>
      </c>
      <c r="F61" s="23" t="s">
        <v>2222</v>
      </c>
      <c r="G61" s="23" t="str">
        <f>'Initial Search'!O183</f>
        <v>MOMENT</v>
      </c>
      <c r="H61" s="55" t="s">
        <v>1623</v>
      </c>
      <c r="I61" s="55" t="s">
        <v>1624</v>
      </c>
      <c r="J61" s="55" t="s">
        <v>1623</v>
      </c>
      <c r="K61" s="55" t="s">
        <v>1621</v>
      </c>
      <c r="L61" s="55" t="s">
        <v>1624</v>
      </c>
      <c r="M61" s="55" t="s">
        <v>1623</v>
      </c>
      <c r="N61" s="55" t="s">
        <v>1624</v>
      </c>
      <c r="O61" s="55" t="s">
        <v>1621</v>
      </c>
      <c r="P61" s="55" t="s">
        <v>1624</v>
      </c>
      <c r="Q61" s="55" t="s">
        <v>1621</v>
      </c>
      <c r="R61" s="55">
        <f t="shared" si="6"/>
        <v>4.5</v>
      </c>
      <c r="S61" s="55">
        <f t="shared" si="1"/>
        <v>64.285714285714292</v>
      </c>
      <c r="T61" s="73"/>
    </row>
    <row r="62" spans="1:33" x14ac:dyDescent="0.25">
      <c r="A62" s="55" t="str">
        <f>'Initial Search'!D184</f>
        <v>Near real-time collaborative modeling for view-based Web information systems engineering</v>
      </c>
      <c r="B62" s="22">
        <f>ROW('Initial Search'!184:184)</f>
        <v>184</v>
      </c>
      <c r="C62" s="22">
        <f>ROW('Feature Study'!110:110)</f>
        <v>110</v>
      </c>
      <c r="D62" s="23" t="str">
        <f>'Initial Search'!M184</f>
        <v>Accepted</v>
      </c>
      <c r="E62" s="23" t="str">
        <f>'Initial Search'!N184</f>
        <v>Approved</v>
      </c>
      <c r="F62" s="389" t="s">
        <v>2229</v>
      </c>
      <c r="G62" s="23" t="str">
        <f>'Initial Search'!O184</f>
        <v>SyncMeta</v>
      </c>
      <c r="H62" s="55" t="s">
        <v>1623</v>
      </c>
      <c r="I62" s="55" t="s">
        <v>1624</v>
      </c>
      <c r="J62" s="55" t="s">
        <v>1623</v>
      </c>
      <c r="K62" s="55" t="s">
        <v>1623</v>
      </c>
      <c r="L62" s="55" t="s">
        <v>1624</v>
      </c>
      <c r="M62" s="55" t="s">
        <v>1623</v>
      </c>
      <c r="N62" s="55" t="s">
        <v>1623</v>
      </c>
      <c r="O62" s="55" t="s">
        <v>1623</v>
      </c>
      <c r="P62" s="55" t="s">
        <v>1623</v>
      </c>
      <c r="Q62" s="55" t="s">
        <v>1623</v>
      </c>
      <c r="R62" s="55">
        <f t="shared" si="6"/>
        <v>6</v>
      </c>
      <c r="S62" s="55">
        <f t="shared" si="1"/>
        <v>85.714285714285708</v>
      </c>
      <c r="T62" s="73"/>
    </row>
    <row r="63" spans="1:33" x14ac:dyDescent="0.25">
      <c r="A63" s="55" t="str">
        <f>'Initial Search'!D283</f>
        <v>Near Real-Time Collaborative Conceptual Modeling on the Web</v>
      </c>
      <c r="B63" s="22">
        <f>ROW('Initial Search'!283:283)</f>
        <v>283</v>
      </c>
      <c r="C63" s="22">
        <f>ROW('Feature Study'!116:116)</f>
        <v>116</v>
      </c>
      <c r="D63" s="23" t="str">
        <f>'Initial Search'!M283</f>
        <v>Accepted</v>
      </c>
      <c r="E63" s="23" t="str">
        <f>'Initial Search'!N283</f>
        <v>Approved</v>
      </c>
      <c r="F63" s="391"/>
      <c r="G63" s="23" t="str">
        <f>'Initial Search'!O283</f>
        <v>SyncMeta</v>
      </c>
      <c r="H63" s="55" t="s">
        <v>1623</v>
      </c>
      <c r="I63" s="55" t="s">
        <v>1621</v>
      </c>
      <c r="J63" s="55" t="s">
        <v>1623</v>
      </c>
      <c r="K63" s="55" t="s">
        <v>1624</v>
      </c>
      <c r="L63" s="55" t="s">
        <v>1624</v>
      </c>
      <c r="M63" s="55" t="s">
        <v>1623</v>
      </c>
      <c r="N63" s="55" t="s">
        <v>1623</v>
      </c>
      <c r="O63" s="55" t="s">
        <v>1621</v>
      </c>
      <c r="P63" s="55" t="s">
        <v>1623</v>
      </c>
      <c r="Q63" s="55" t="s">
        <v>1624</v>
      </c>
      <c r="R63" s="55">
        <f t="shared" si="6"/>
        <v>5</v>
      </c>
      <c r="S63" s="55">
        <f t="shared" si="1"/>
        <v>71.428571428571431</v>
      </c>
      <c r="T63" s="73"/>
    </row>
    <row r="64" spans="1:33" x14ac:dyDescent="0.25">
      <c r="A64" s="55" t="str">
        <f>'Initial Search'!D286</f>
        <v>View-based near real-time collaborative modeling for information systems engineering</v>
      </c>
      <c r="B64" s="22">
        <f>ROW('Initial Search'!286:286)</f>
        <v>286</v>
      </c>
      <c r="C64" s="22">
        <f>ROW('Feature Study'!117:117)</f>
        <v>117</v>
      </c>
      <c r="D64" s="23" t="str">
        <f>'Initial Search'!M286</f>
        <v>Accepted</v>
      </c>
      <c r="E64" s="23" t="str">
        <f>'Initial Search'!N286</f>
        <v>Approved</v>
      </c>
      <c r="F64" s="390"/>
      <c r="G64" s="23" t="str">
        <f>'Initial Search'!O286</f>
        <v>SyncMeta</v>
      </c>
      <c r="H64" s="55" t="s">
        <v>1623</v>
      </c>
      <c r="I64" s="55" t="s">
        <v>1621</v>
      </c>
      <c r="J64" s="55" t="s">
        <v>1623</v>
      </c>
      <c r="K64" s="55" t="s">
        <v>1624</v>
      </c>
      <c r="L64" s="55" t="s">
        <v>1624</v>
      </c>
      <c r="M64" s="55" t="s">
        <v>1623</v>
      </c>
      <c r="N64" s="55" t="s">
        <v>1623</v>
      </c>
      <c r="O64" s="55" t="s">
        <v>1621</v>
      </c>
      <c r="P64" s="55" t="s">
        <v>1623</v>
      </c>
      <c r="Q64" s="55" t="s">
        <v>1624</v>
      </c>
      <c r="R64" s="55">
        <f t="shared" si="6"/>
        <v>5</v>
      </c>
      <c r="S64" s="55">
        <f t="shared" si="1"/>
        <v>71.428571428571431</v>
      </c>
      <c r="T64" s="73"/>
    </row>
    <row r="65" spans="1:20" x14ac:dyDescent="0.25">
      <c r="A65" s="55" t="str">
        <f>'Initial Search'!D199</f>
        <v>Odyssey-SCM: An integrated software configuration management infrastructure for UML models</v>
      </c>
      <c r="B65" s="22">
        <f>ROW('Initial Search'!199:199)</f>
        <v>199</v>
      </c>
      <c r="C65" s="22">
        <f>ROW('Feature Study'!118:118)</f>
        <v>118</v>
      </c>
      <c r="D65" s="23" t="str">
        <f>'Initial Search'!M199</f>
        <v>Accepted</v>
      </c>
      <c r="E65" s="23" t="str">
        <f>'Initial Search'!N199</f>
        <v>Approved</v>
      </c>
      <c r="F65" s="23" t="s">
        <v>2240</v>
      </c>
      <c r="G65" s="23" t="str">
        <f>'Initial Search'!O199</f>
        <v>Odyssey</v>
      </c>
      <c r="H65" s="55" t="s">
        <v>1624</v>
      </c>
      <c r="I65" s="55" t="s">
        <v>1623</v>
      </c>
      <c r="J65" s="55" t="s">
        <v>1623</v>
      </c>
      <c r="K65" s="55" t="s">
        <v>1623</v>
      </c>
      <c r="L65" s="55" t="s">
        <v>1624</v>
      </c>
      <c r="M65" s="55" t="s">
        <v>1623</v>
      </c>
      <c r="N65" s="55" t="s">
        <v>1623</v>
      </c>
      <c r="O65" s="55" t="s">
        <v>1621</v>
      </c>
      <c r="P65" s="55" t="s">
        <v>1624</v>
      </c>
      <c r="Q65" s="55" t="s">
        <v>1623</v>
      </c>
      <c r="R65" s="55">
        <f t="shared" si="6"/>
        <v>6</v>
      </c>
      <c r="S65" s="55">
        <f t="shared" si="1"/>
        <v>85.714285714285708</v>
      </c>
      <c r="T65" s="73"/>
    </row>
    <row r="66" spans="1:20" x14ac:dyDescent="0.25">
      <c r="A66" s="55" t="str">
        <f>'Initial Search'!D232</f>
        <v>A Graph-Pattern Based Approach for Meta-Model Specific Conflict Detection in a General-Purpose Model Versioning System</v>
      </c>
      <c r="B66" s="22">
        <f>ROW('Initial Search'!232:232)</f>
        <v>232</v>
      </c>
      <c r="C66" s="22">
        <f>ROW('Feature Study'!124:124)</f>
        <v>124</v>
      </c>
      <c r="D66" s="23" t="str">
        <f>'Initial Search'!M232</f>
        <v>Accepted</v>
      </c>
      <c r="E66" s="23" t="str">
        <f>'Initial Search'!N232</f>
        <v>Approved</v>
      </c>
      <c r="F66" s="23" t="s">
        <v>2245</v>
      </c>
      <c r="G66" s="23" t="str">
        <f>'Initial Search'!O232</f>
        <v>Diff-Merge</v>
      </c>
      <c r="H66" s="55" t="s">
        <v>1623</v>
      </c>
      <c r="I66" s="55" t="s">
        <v>1621</v>
      </c>
      <c r="J66" s="55" t="s">
        <v>1623</v>
      </c>
      <c r="K66" s="55" t="s">
        <v>1624</v>
      </c>
      <c r="L66" s="55" t="s">
        <v>1623</v>
      </c>
      <c r="M66" s="55" t="s">
        <v>1624</v>
      </c>
      <c r="N66" s="55" t="s">
        <v>1621</v>
      </c>
      <c r="O66" s="55" t="s">
        <v>1621</v>
      </c>
      <c r="P66" s="55" t="s">
        <v>1624</v>
      </c>
      <c r="Q66" s="55" t="s">
        <v>1621</v>
      </c>
      <c r="R66" s="55">
        <f t="shared" ref="R66:R114" si="7">COUNTIF(H66:N66,"Yes") + 0.5 * COUNTIF(H66:N66,"partially")</f>
        <v>4</v>
      </c>
      <c r="S66" s="55">
        <f t="shared" si="1"/>
        <v>57.142857142857139</v>
      </c>
      <c r="T66" s="73"/>
    </row>
    <row r="67" spans="1:20" x14ac:dyDescent="0.25">
      <c r="A67" s="55" t="str">
        <f>'Initial Search'!D243</f>
        <v>Supporting Collaborative Work by Preserving Model Meaning When Merging Graphical Models</v>
      </c>
      <c r="B67" s="22">
        <f>ROW('Initial Search'!243:243)</f>
        <v>243</v>
      </c>
      <c r="C67" s="22">
        <f>ROW('Feature Study'!126:126)</f>
        <v>126</v>
      </c>
      <c r="D67" s="23" t="str">
        <f>'Initial Search'!M243</f>
        <v>Accepted</v>
      </c>
      <c r="E67" s="23" t="str">
        <f>'Initial Search'!N243</f>
        <v>Approved</v>
      </c>
      <c r="F67" s="23" t="s">
        <v>2246</v>
      </c>
      <c r="G67" s="23" t="str">
        <f>'Initial Search'!O243</f>
        <v>Phalp et al.</v>
      </c>
      <c r="H67" s="55" t="s">
        <v>1623</v>
      </c>
      <c r="I67" s="55" t="s">
        <v>1623</v>
      </c>
      <c r="J67" s="55" t="s">
        <v>1623</v>
      </c>
      <c r="K67" s="55" t="s">
        <v>1624</v>
      </c>
      <c r="L67" s="55" t="s">
        <v>1624</v>
      </c>
      <c r="M67" s="55" t="s">
        <v>1621</v>
      </c>
      <c r="N67" s="55" t="s">
        <v>1621</v>
      </c>
      <c r="O67" s="55" t="s">
        <v>1621</v>
      </c>
      <c r="P67" s="55" t="s">
        <v>1624</v>
      </c>
      <c r="Q67" s="55" t="s">
        <v>1621</v>
      </c>
      <c r="R67" s="55">
        <f t="shared" si="7"/>
        <v>4</v>
      </c>
      <c r="S67" s="55">
        <f t="shared" si="1"/>
        <v>57.142857142857139</v>
      </c>
      <c r="T67" s="73"/>
    </row>
    <row r="68" spans="1:20" x14ac:dyDescent="0.25">
      <c r="A68" s="55" t="str">
        <f>'Initial Search'!D251</f>
        <v>Model Consistency for Distributed Collaborative Modeling</v>
      </c>
      <c r="B68" s="22">
        <f>ROW('Initial Search'!251:251)</f>
        <v>251</v>
      </c>
      <c r="C68" s="22">
        <f>ROW('Feature Study'!128:128)</f>
        <v>128</v>
      </c>
      <c r="D68" s="23" t="str">
        <f>'Initial Search'!M251</f>
        <v>Accepted</v>
      </c>
      <c r="E68" s="23" t="str">
        <f>'Initial Search'!N251</f>
        <v>Approved</v>
      </c>
      <c r="F68" s="23" t="s">
        <v>2255</v>
      </c>
      <c r="G68" s="23" t="str">
        <f>'Initial Search'!O251</f>
        <v>Model Consistency</v>
      </c>
      <c r="H68" s="55" t="s">
        <v>1623</v>
      </c>
      <c r="I68" s="55" t="s">
        <v>1623</v>
      </c>
      <c r="J68" s="55" t="s">
        <v>1623</v>
      </c>
      <c r="K68" s="55" t="s">
        <v>1621</v>
      </c>
      <c r="L68" s="55" t="s">
        <v>1624</v>
      </c>
      <c r="M68" s="55" t="s">
        <v>1624</v>
      </c>
      <c r="N68" s="55" t="s">
        <v>1623</v>
      </c>
      <c r="O68" s="55" t="s">
        <v>1621</v>
      </c>
      <c r="P68" s="55" t="s">
        <v>1623</v>
      </c>
      <c r="Q68" s="55" t="s">
        <v>1623</v>
      </c>
      <c r="R68" s="55">
        <f t="shared" si="7"/>
        <v>5</v>
      </c>
      <c r="S68" s="55">
        <f t="shared" si="1"/>
        <v>71.428571428571431</v>
      </c>
      <c r="T68" s="73"/>
    </row>
    <row r="69" spans="1:20" x14ac:dyDescent="0.25">
      <c r="A69" s="55" t="str">
        <f>'Initial Search'!D202</f>
        <v>A formalisation of the copy-modify-merge approach to version control in MDE</v>
      </c>
      <c r="B69" s="22">
        <f>ROW('Initial Search'!202:202)</f>
        <v>202</v>
      </c>
      <c r="C69" s="22">
        <f>ROW('Feature Study'!129:129)</f>
        <v>129</v>
      </c>
      <c r="D69" s="23" t="str">
        <f>'Initial Search'!M202</f>
        <v>Accepted</v>
      </c>
      <c r="E69" s="23" t="str">
        <f>'Initial Search'!N202</f>
        <v>Approved</v>
      </c>
      <c r="F69" s="389" t="s">
        <v>2268</v>
      </c>
      <c r="G69" s="23" t="str">
        <f>'Initial Search'!O202</f>
        <v>DPF</v>
      </c>
      <c r="H69" s="55" t="s">
        <v>1623</v>
      </c>
      <c r="I69" s="55" t="s">
        <v>1623</v>
      </c>
      <c r="J69" s="55" t="s">
        <v>1623</v>
      </c>
      <c r="K69" s="55" t="s">
        <v>1621</v>
      </c>
      <c r="L69" s="55" t="s">
        <v>1621</v>
      </c>
      <c r="M69" s="55" t="s">
        <v>1623</v>
      </c>
      <c r="N69" s="55" t="s">
        <v>1623</v>
      </c>
      <c r="O69" s="55" t="s">
        <v>1621</v>
      </c>
      <c r="P69" s="55" t="s">
        <v>1623</v>
      </c>
      <c r="Q69" s="55" t="s">
        <v>1621</v>
      </c>
      <c r="R69" s="55">
        <f t="shared" si="7"/>
        <v>5</v>
      </c>
      <c r="S69" s="55">
        <f t="shared" si="1"/>
        <v>71.428571428571431</v>
      </c>
      <c r="T69" s="73"/>
    </row>
    <row r="70" spans="1:20" x14ac:dyDescent="0.25">
      <c r="A70" s="55" t="str">
        <f>'Initial Search'!D252</f>
        <v>A Category-Theoretical Approach to the Formalisation of Version Control in MDE</v>
      </c>
      <c r="B70" s="22">
        <f>ROW('Initial Search'!252:252)</f>
        <v>252</v>
      </c>
      <c r="C70" s="22">
        <f>ROW('Feature Study'!130:130)</f>
        <v>130</v>
      </c>
      <c r="D70" s="23" t="str">
        <f>'Initial Search'!M252</f>
        <v>Accepted</v>
      </c>
      <c r="E70" s="23" t="str">
        <f>'Initial Search'!N252</f>
        <v>Approved</v>
      </c>
      <c r="F70" s="391"/>
      <c r="G70" s="23" t="str">
        <f>'Initial Search'!O252</f>
        <v>DPF</v>
      </c>
      <c r="H70" s="55" t="s">
        <v>1623</v>
      </c>
      <c r="I70" s="55" t="s">
        <v>1624</v>
      </c>
      <c r="J70" s="55" t="s">
        <v>1623</v>
      </c>
      <c r="K70" s="55" t="s">
        <v>1621</v>
      </c>
      <c r="L70" s="55" t="s">
        <v>1621</v>
      </c>
      <c r="M70" s="55" t="s">
        <v>1624</v>
      </c>
      <c r="N70" s="55" t="s">
        <v>1623</v>
      </c>
      <c r="O70" s="55" t="s">
        <v>1621</v>
      </c>
      <c r="P70" s="55" t="s">
        <v>1623</v>
      </c>
      <c r="Q70" s="55" t="s">
        <v>1624</v>
      </c>
      <c r="R70" s="55">
        <f t="shared" si="7"/>
        <v>4</v>
      </c>
      <c r="S70" s="55">
        <f t="shared" si="1"/>
        <v>57.142857142857139</v>
      </c>
      <c r="T70" s="73"/>
    </row>
    <row r="71" spans="1:20" x14ac:dyDescent="0.25">
      <c r="A71" s="55" t="str">
        <f>'Initial Search'!D296</f>
        <v>Handling constraints in model versioning</v>
      </c>
      <c r="B71" s="22">
        <f>ROW('Initial Search'!296:296)</f>
        <v>296</v>
      </c>
      <c r="C71" s="22">
        <f>ROW('Feature Study'!147:147)</f>
        <v>147</v>
      </c>
      <c r="D71" s="23" t="str">
        <f>'Initial Search'!M296</f>
        <v>Accepted</v>
      </c>
      <c r="E71" s="23" t="str">
        <f>'Initial Search'!N296</f>
        <v>Approved</v>
      </c>
      <c r="F71" s="390"/>
      <c r="G71" s="287" t="str">
        <f>'Initial Search'!O296</f>
        <v>DPF</v>
      </c>
      <c r="H71" s="55" t="s">
        <v>1623</v>
      </c>
      <c r="I71" s="55" t="s">
        <v>1623</v>
      </c>
      <c r="J71" s="55" t="s">
        <v>1623</v>
      </c>
      <c r="K71" s="55" t="s">
        <v>1621</v>
      </c>
      <c r="L71" s="55" t="s">
        <v>1621</v>
      </c>
      <c r="M71" s="55" t="s">
        <v>1623</v>
      </c>
      <c r="N71" s="55" t="s">
        <v>1624</v>
      </c>
      <c r="O71" s="55" t="s">
        <v>1621</v>
      </c>
      <c r="P71" s="55" t="s">
        <v>1624</v>
      </c>
      <c r="Q71" s="55" t="s">
        <v>1621</v>
      </c>
      <c r="R71" s="55">
        <f t="shared" si="7"/>
        <v>4.5</v>
      </c>
      <c r="S71" s="55">
        <f t="shared" si="1"/>
        <v>64.285714285714292</v>
      </c>
      <c r="T71" s="73"/>
    </row>
    <row r="72" spans="1:20" x14ac:dyDescent="0.25">
      <c r="A72" s="55" t="str">
        <f>'Initial Search'!D277</f>
        <v>Research of Consistency Maintenance Mechanism in Real-Time Collaborative Multi-View Business Modeling</v>
      </c>
      <c r="B72" s="22">
        <f>ROW('Initial Search'!277:277)</f>
        <v>277</v>
      </c>
      <c r="C72" s="22">
        <f>ROW('Feature Study'!139:139)</f>
        <v>139</v>
      </c>
      <c r="D72" s="23" t="str">
        <f>'Initial Search'!M277</f>
        <v>Accepted</v>
      </c>
      <c r="E72" s="23" t="str">
        <f>'Initial Search'!N277</f>
        <v>Approved</v>
      </c>
      <c r="F72" s="23" t="s">
        <v>2269</v>
      </c>
      <c r="G72" s="23" t="str">
        <f>'Initial Search'!O277</f>
        <v>CoMBM</v>
      </c>
      <c r="H72" s="55" t="s">
        <v>1623</v>
      </c>
      <c r="I72" s="55" t="s">
        <v>1623</v>
      </c>
      <c r="J72" s="55" t="s">
        <v>1624</v>
      </c>
      <c r="K72" s="55" t="s">
        <v>1624</v>
      </c>
      <c r="L72" s="55" t="s">
        <v>1624</v>
      </c>
      <c r="M72" s="55" t="s">
        <v>1621</v>
      </c>
      <c r="N72" s="55" t="s">
        <v>1624</v>
      </c>
      <c r="O72" s="55" t="s">
        <v>1621</v>
      </c>
      <c r="P72" s="55" t="s">
        <v>1624</v>
      </c>
      <c r="Q72" s="55" t="s">
        <v>1621</v>
      </c>
      <c r="R72" s="55">
        <f t="shared" si="7"/>
        <v>4</v>
      </c>
      <c r="S72" s="55">
        <f t="shared" si="1"/>
        <v>57.142857142857139</v>
      </c>
      <c r="T72" s="73"/>
    </row>
    <row r="73" spans="1:20" x14ac:dyDescent="0.25">
      <c r="A73" s="55" t="str">
        <f>'Initial Search'!D280</f>
        <v>Pyro: Generating Domain-Specific Collaborative Online Modeling Environments</v>
      </c>
      <c r="B73" s="22">
        <f>ROW('Initial Search'!280:280)</f>
        <v>280</v>
      </c>
      <c r="C73" s="22">
        <f>ROW('Feature Study'!140:140)</f>
        <v>140</v>
      </c>
      <c r="D73" s="23" t="str">
        <f>'Initial Search'!M280</f>
        <v>Accepted</v>
      </c>
      <c r="E73" s="23" t="str">
        <f>'Initial Search'!N280</f>
        <v>Approved</v>
      </c>
      <c r="F73" s="23" t="s">
        <v>2288</v>
      </c>
      <c r="G73" s="23" t="str">
        <f>'Initial Search'!O280</f>
        <v>Pyro</v>
      </c>
      <c r="H73" s="55" t="s">
        <v>1623</v>
      </c>
      <c r="I73" s="55" t="s">
        <v>1621</v>
      </c>
      <c r="J73" s="55" t="s">
        <v>1623</v>
      </c>
      <c r="K73" s="55" t="s">
        <v>1621</v>
      </c>
      <c r="L73" s="55" t="s">
        <v>1623</v>
      </c>
      <c r="M73" s="55" t="s">
        <v>1624</v>
      </c>
      <c r="N73" s="55" t="s">
        <v>1624</v>
      </c>
      <c r="O73" s="55" t="s">
        <v>1621</v>
      </c>
      <c r="P73" s="55" t="s">
        <v>1624</v>
      </c>
      <c r="Q73" s="55" t="s">
        <v>1621</v>
      </c>
      <c r="R73" s="55">
        <f t="shared" si="7"/>
        <v>4</v>
      </c>
      <c r="S73" s="55">
        <f t="shared" si="1"/>
        <v>57.142857142857139</v>
      </c>
    </row>
    <row r="74" spans="1:20" x14ac:dyDescent="0.25">
      <c r="A74" s="55" t="str">
        <f>'Initial Search'!D284</f>
        <v>Collaborative Modelling with Version Control</v>
      </c>
      <c r="B74" s="22">
        <f>ROW('Initial Search'!284:284)</f>
        <v>284</v>
      </c>
      <c r="C74" s="22">
        <f>ROW('Feature Study'!141:141)</f>
        <v>141</v>
      </c>
      <c r="D74" s="23" t="str">
        <f>'Initial Search'!M284</f>
        <v>Accepted</v>
      </c>
      <c r="E74" s="23" t="str">
        <f>'Initial Search'!N284</f>
        <v>Approved</v>
      </c>
      <c r="F74" s="23" t="s">
        <v>2435</v>
      </c>
      <c r="G74" s="23" t="str">
        <f>'Initial Search'!O284</f>
        <v>MetaEdit+</v>
      </c>
      <c r="H74" s="55" t="s">
        <v>1623</v>
      </c>
      <c r="I74" s="55" t="s">
        <v>1621</v>
      </c>
      <c r="J74" s="55" t="s">
        <v>1623</v>
      </c>
      <c r="K74" s="55" t="s">
        <v>1621</v>
      </c>
      <c r="L74" s="55" t="s">
        <v>1623</v>
      </c>
      <c r="M74" s="55" t="s">
        <v>1624</v>
      </c>
      <c r="N74" s="55" t="s">
        <v>1624</v>
      </c>
      <c r="O74" s="55" t="s">
        <v>1621</v>
      </c>
      <c r="P74" s="55" t="s">
        <v>1624</v>
      </c>
      <c r="Q74" s="55" t="s">
        <v>1621</v>
      </c>
      <c r="R74" s="55">
        <f t="shared" si="7"/>
        <v>4</v>
      </c>
      <c r="S74" s="55">
        <f t="shared" si="1"/>
        <v>57.142857142857139</v>
      </c>
    </row>
    <row r="75" spans="1:20" x14ac:dyDescent="0.25">
      <c r="A75" s="55" t="str">
        <f>'Initial Search'!D164</f>
        <v>A Formalism for Specifying Model Merging Conflicts</v>
      </c>
      <c r="B75" s="22">
        <f>ROW('Initial Search'!164:164)</f>
        <v>164</v>
      </c>
      <c r="C75" s="22">
        <f>ROW('Feature Study'!142:142)</f>
        <v>142</v>
      </c>
      <c r="D75" s="23" t="str">
        <f>'Initial Search'!M164</f>
        <v>Accepted</v>
      </c>
      <c r="E75" s="23" t="str">
        <f>'Initial Search'!N164</f>
        <v>Approved</v>
      </c>
      <c r="F75" s="23" t="s">
        <v>2463</v>
      </c>
      <c r="G75" s="23" t="str">
        <f>'Initial Search'!O164</f>
        <v>CPL</v>
      </c>
      <c r="H75" s="55" t="s">
        <v>1623</v>
      </c>
      <c r="I75" s="55" t="s">
        <v>1623</v>
      </c>
      <c r="J75" s="55" t="s">
        <v>1623</v>
      </c>
      <c r="K75" s="55" t="s">
        <v>1623</v>
      </c>
      <c r="L75" s="55" t="s">
        <v>1624</v>
      </c>
      <c r="M75" s="55" t="s">
        <v>1623</v>
      </c>
      <c r="N75" s="55" t="s">
        <v>1623</v>
      </c>
      <c r="O75" s="55" t="s">
        <v>1621</v>
      </c>
      <c r="P75" s="55" t="s">
        <v>1623</v>
      </c>
      <c r="Q75" s="55" t="s">
        <v>1624</v>
      </c>
      <c r="R75" s="55">
        <f t="shared" si="7"/>
        <v>6.5</v>
      </c>
      <c r="S75" s="55">
        <f t="shared" si="1"/>
        <v>92.857142857142861</v>
      </c>
    </row>
    <row r="76" spans="1:20" x14ac:dyDescent="0.25">
      <c r="A76" s="55" t="str">
        <f>'Initial Search'!D98</f>
        <v>Consistency Control for Model Versions in Evolving Model-Driven Software Product Lines</v>
      </c>
      <c r="B76" s="22">
        <f>ROW('Initial Search'!98:98)</f>
        <v>98</v>
      </c>
      <c r="C76" s="22">
        <f>ROW('Feature Study'!90:90)</f>
        <v>90</v>
      </c>
      <c r="D76" s="23" t="str">
        <f>'Initial Search'!M98</f>
        <v>Accepted</v>
      </c>
      <c r="E76" s="23" t="str">
        <f>'Initial Search'!N98</f>
        <v>Approved</v>
      </c>
      <c r="F76" s="23" t="s">
        <v>2481</v>
      </c>
      <c r="G76" s="23" t="str">
        <f>'Initial Search'!O98</f>
        <v>SuperMod</v>
      </c>
      <c r="H76" s="55" t="s">
        <v>1623</v>
      </c>
      <c r="I76" s="55" t="s">
        <v>1624</v>
      </c>
      <c r="J76" s="55" t="s">
        <v>1623</v>
      </c>
      <c r="K76" s="55" t="s">
        <v>1624</v>
      </c>
      <c r="L76" s="55" t="s">
        <v>1623</v>
      </c>
      <c r="M76" s="55" t="s">
        <v>1623</v>
      </c>
      <c r="N76" s="55" t="s">
        <v>1621</v>
      </c>
      <c r="O76" s="55" t="s">
        <v>1621</v>
      </c>
      <c r="P76" s="55" t="s">
        <v>1624</v>
      </c>
      <c r="Q76" s="55" t="s">
        <v>1621</v>
      </c>
      <c r="R76" s="55">
        <f t="shared" si="7"/>
        <v>5</v>
      </c>
      <c r="S76" s="55">
        <f>R76/7*100</f>
        <v>71.428571428571431</v>
      </c>
      <c r="T76" s="73"/>
    </row>
    <row r="77" spans="1:20" x14ac:dyDescent="0.25">
      <c r="A77" s="55" t="str">
        <f>'Initial Search'!D204</f>
        <v>Detecting structural refactoring conflicts using critical pair analysis</v>
      </c>
      <c r="B77" s="22">
        <f>ROW('Initial Search'!204:204)</f>
        <v>204</v>
      </c>
      <c r="C77" s="22">
        <f>ROW('Feature Study'!74:74)</f>
        <v>74</v>
      </c>
      <c r="D77" s="23" t="str">
        <f>'Initial Search'!M204</f>
        <v>Accepted</v>
      </c>
      <c r="E77" s="23" t="str">
        <f>'Initial Search'!N204</f>
        <v>Approved</v>
      </c>
      <c r="F77" s="23" t="s">
        <v>2499</v>
      </c>
      <c r="G77" s="23" t="str">
        <f>'Initial Search'!O204</f>
        <v>Mens et al. (AGG)</v>
      </c>
      <c r="H77" s="55" t="s">
        <v>1623</v>
      </c>
      <c r="I77" s="55" t="s">
        <v>1623</v>
      </c>
      <c r="J77" s="55" t="s">
        <v>1623</v>
      </c>
      <c r="K77" s="55" t="s">
        <v>1621</v>
      </c>
      <c r="L77" s="55" t="s">
        <v>1624</v>
      </c>
      <c r="M77" s="55" t="s">
        <v>1624</v>
      </c>
      <c r="N77" s="55" t="s">
        <v>1624</v>
      </c>
      <c r="O77" s="55" t="s">
        <v>1621</v>
      </c>
      <c r="P77" s="55" t="s">
        <v>1623</v>
      </c>
      <c r="Q77" s="55" t="s">
        <v>1623</v>
      </c>
      <c r="R77" s="55">
        <f t="shared" si="7"/>
        <v>4.5</v>
      </c>
      <c r="S77" s="55">
        <f>R77/7*100</f>
        <v>64.285714285714292</v>
      </c>
      <c r="T77" s="73"/>
    </row>
    <row r="78" spans="1:20" x14ac:dyDescent="0.25">
      <c r="A78" s="55" t="str">
        <f>'Initial Search'!D291</f>
        <v>Composite-level conflict detection in uml model versioning</v>
      </c>
      <c r="B78" s="22">
        <f>ROW('Initial Search'!291:291)</f>
        <v>291</v>
      </c>
      <c r="C78" s="22">
        <f>ROW('Feature Study'!143:143)</f>
        <v>143</v>
      </c>
      <c r="D78" s="23" t="str">
        <f>'Initial Search'!M291</f>
        <v>Accepted</v>
      </c>
      <c r="E78" s="23" t="str">
        <f>'Initial Search'!N291</f>
        <v>Approved</v>
      </c>
      <c r="F78" s="23" t="s">
        <v>2500</v>
      </c>
      <c r="G78" s="287" t="str">
        <f>'Initial Search'!O291</f>
        <v>Zhang et al.</v>
      </c>
      <c r="H78" s="55" t="s">
        <v>1623</v>
      </c>
      <c r="I78" s="55" t="s">
        <v>1623</v>
      </c>
      <c r="J78" s="55" t="s">
        <v>1623</v>
      </c>
      <c r="K78" s="55" t="s">
        <v>1624</v>
      </c>
      <c r="L78" s="55" t="s">
        <v>1624</v>
      </c>
      <c r="M78" s="55" t="s">
        <v>1624</v>
      </c>
      <c r="N78" s="55" t="s">
        <v>1624</v>
      </c>
      <c r="O78" s="55" t="s">
        <v>1621</v>
      </c>
      <c r="P78" s="55" t="s">
        <v>1623</v>
      </c>
      <c r="Q78" s="55" t="s">
        <v>1621</v>
      </c>
      <c r="R78" s="55">
        <f t="shared" si="7"/>
        <v>5</v>
      </c>
      <c r="S78" s="55">
        <f t="shared" si="1"/>
        <v>71.428571428571431</v>
      </c>
    </row>
    <row r="79" spans="1:20" x14ac:dyDescent="0.25">
      <c r="A79" s="55" t="str">
        <f>'Initial Search'!D299</f>
        <v>Semantic Conflicts Detection in Model-driven Engineering</v>
      </c>
      <c r="B79" s="22">
        <f>ROW('Initial Search'!299:299)</f>
        <v>299</v>
      </c>
      <c r="C79" s="22">
        <f>ROW('Feature Study'!149:149)</f>
        <v>149</v>
      </c>
      <c r="D79" s="23" t="str">
        <f>'Initial Search'!M299</f>
        <v>Accepted</v>
      </c>
      <c r="E79" s="23" t="str">
        <f>'Initial Search'!N299</f>
        <v>Approved</v>
      </c>
      <c r="F79" s="23" t="s">
        <v>2521</v>
      </c>
      <c r="G79" s="287" t="str">
        <f>'Initial Search'!O299</f>
        <v>Costa et al.</v>
      </c>
      <c r="H79" s="55" t="s">
        <v>1623</v>
      </c>
      <c r="I79" s="55" t="s">
        <v>1623</v>
      </c>
      <c r="J79" s="55" t="s">
        <v>1624</v>
      </c>
      <c r="K79" s="55" t="s">
        <v>1621</v>
      </c>
      <c r="L79" s="55" t="s">
        <v>1624</v>
      </c>
      <c r="M79" s="55" t="s">
        <v>1623</v>
      </c>
      <c r="N79" s="55" t="s">
        <v>1623</v>
      </c>
      <c r="O79" s="55" t="s">
        <v>1621</v>
      </c>
      <c r="P79" s="55" t="s">
        <v>1623</v>
      </c>
      <c r="Q79" s="55" t="s">
        <v>1621</v>
      </c>
      <c r="R79" s="55">
        <f t="shared" si="7"/>
        <v>5</v>
      </c>
      <c r="S79" s="55">
        <f t="shared" si="1"/>
        <v>71.428571428571431</v>
      </c>
    </row>
    <row r="80" spans="1:20" x14ac:dyDescent="0.25">
      <c r="A80" s="55" t="str">
        <f>'Initial Search'!D300</f>
        <v>Merging software architectures with conflicts detections</v>
      </c>
      <c r="B80" s="22">
        <f>ROW('Initial Search'!300:300)</f>
        <v>300</v>
      </c>
      <c r="C80" s="22">
        <f>ROW('Feature Study'!150:150)</f>
        <v>150</v>
      </c>
      <c r="D80" s="23" t="str">
        <f>'Initial Search'!M300</f>
        <v>Accepted</v>
      </c>
      <c r="E80" s="23" t="str">
        <f>'Initial Search'!N300</f>
        <v>Disapproved</v>
      </c>
      <c r="F80" s="23"/>
      <c r="G80" s="287" t="str">
        <f>'Initial Search'!O300</f>
        <v>SAD</v>
      </c>
      <c r="H80" s="55" t="s">
        <v>1624</v>
      </c>
      <c r="I80" s="55" t="s">
        <v>1623</v>
      </c>
      <c r="J80" s="55" t="s">
        <v>1624</v>
      </c>
      <c r="K80" s="55" t="s">
        <v>1621</v>
      </c>
      <c r="L80" s="55" t="s">
        <v>1621</v>
      </c>
      <c r="M80" s="55" t="s">
        <v>1624</v>
      </c>
      <c r="N80" s="55" t="s">
        <v>1621</v>
      </c>
      <c r="O80" s="55" t="s">
        <v>1621</v>
      </c>
      <c r="P80" s="55" t="s">
        <v>1621</v>
      </c>
      <c r="Q80" s="55" t="s">
        <v>1621</v>
      </c>
      <c r="R80" s="55">
        <f t="shared" si="7"/>
        <v>2.5</v>
      </c>
      <c r="S80" s="81">
        <f t="shared" si="1"/>
        <v>35.714285714285715</v>
      </c>
    </row>
    <row r="81" spans="1:33" x14ac:dyDescent="0.25">
      <c r="A81" s="55" t="str">
        <f>'Initial Search'!D301</f>
        <v>Model-Driven Software Engineering in the Resource Description Framework: a way to version control</v>
      </c>
      <c r="B81" s="22">
        <f>ROW('Initial Search'!301:301)</f>
        <v>301</v>
      </c>
      <c r="C81" s="22">
        <f>ROW('Feature Study'!151:151)</f>
        <v>151</v>
      </c>
      <c r="D81" s="23" t="str">
        <f>'Initial Search'!M301</f>
        <v>Accepted</v>
      </c>
      <c r="E81" s="23" t="str">
        <f>'Initial Search'!N301</f>
        <v>Approved</v>
      </c>
      <c r="F81" s="23" t="s">
        <v>2740</v>
      </c>
      <c r="G81" s="287" t="str">
        <f>'Initial Search'!O301</f>
        <v>DPF as RDF</v>
      </c>
      <c r="H81" s="55" t="s">
        <v>1623</v>
      </c>
      <c r="I81" s="55" t="s">
        <v>1624</v>
      </c>
      <c r="J81" s="55" t="s">
        <v>1623</v>
      </c>
      <c r="K81" s="55" t="s">
        <v>1621</v>
      </c>
      <c r="L81" s="55" t="s">
        <v>1621</v>
      </c>
      <c r="M81" s="55" t="s">
        <v>1623</v>
      </c>
      <c r="N81" s="55" t="s">
        <v>1623</v>
      </c>
      <c r="O81" s="55" t="s">
        <v>1621</v>
      </c>
      <c r="P81" s="55" t="s">
        <v>1623</v>
      </c>
      <c r="Q81" s="55" t="s">
        <v>1624</v>
      </c>
      <c r="R81" s="55">
        <f t="shared" si="7"/>
        <v>4.5</v>
      </c>
      <c r="S81" s="55">
        <f t="shared" si="1"/>
        <v>64.285714285714292</v>
      </c>
    </row>
    <row r="82" spans="1:33" x14ac:dyDescent="0.25">
      <c r="A82" s="55" t="str">
        <f>'Initial Search'!D302</f>
        <v>Improvement of Adaptable Model Versioning (AMOR) framework for software model versioning using critical pair analysis</v>
      </c>
      <c r="B82" s="22">
        <f>ROW('Initial Search'!302:302)</f>
        <v>302</v>
      </c>
      <c r="C82" s="22">
        <f>ROW('Feature Study'!152:152)</f>
        <v>152</v>
      </c>
      <c r="D82" s="23" t="str">
        <f>'Initial Search'!M302</f>
        <v>Accepted</v>
      </c>
      <c r="E82" s="23" t="str">
        <f>'Initial Search'!N302</f>
        <v>Approved</v>
      </c>
      <c r="F82" s="23" t="s">
        <v>2800</v>
      </c>
      <c r="G82" s="287" t="str">
        <f>'Initial Search'!O302</f>
        <v>AMOR+</v>
      </c>
      <c r="H82" s="55" t="s">
        <v>1623</v>
      </c>
      <c r="I82" s="55" t="s">
        <v>1621</v>
      </c>
      <c r="J82" s="55" t="s">
        <v>1624</v>
      </c>
      <c r="K82" s="55" t="s">
        <v>1624</v>
      </c>
      <c r="L82" s="55" t="s">
        <v>1624</v>
      </c>
      <c r="M82" s="55" t="s">
        <v>1624</v>
      </c>
      <c r="N82" s="55" t="s">
        <v>1623</v>
      </c>
      <c r="O82" s="55" t="s">
        <v>1624</v>
      </c>
      <c r="P82" s="55" t="s">
        <v>1624</v>
      </c>
      <c r="Q82" s="55" t="s">
        <v>1621</v>
      </c>
      <c r="R82" s="55">
        <f t="shared" si="7"/>
        <v>4</v>
      </c>
      <c r="S82" s="55">
        <f t="shared" si="1"/>
        <v>57.142857142857139</v>
      </c>
    </row>
    <row r="83" spans="1:33" x14ac:dyDescent="0.25">
      <c r="A83" s="55" t="str">
        <f>'Initial Search'!D271</f>
        <v>On the benefits of file-level modularity for EMF models</v>
      </c>
      <c r="B83" s="22">
        <f>ROW('Initial Search'!271:271)</f>
        <v>271</v>
      </c>
      <c r="C83" s="22">
        <f>ROW('Feature Study'!154:154)</f>
        <v>154</v>
      </c>
      <c r="D83" s="23" t="str">
        <f>'Initial Search'!M271</f>
        <v>Accepted</v>
      </c>
      <c r="E83" s="23" t="str">
        <f>'Initial Search'!N271</f>
        <v>Approved</v>
      </c>
      <c r="F83" s="23" t="s">
        <v>2801</v>
      </c>
      <c r="G83" s="247" t="str">
        <f>'Initial Search'!O271</f>
        <v>Jahed et al.</v>
      </c>
      <c r="H83" s="55" t="s">
        <v>1623</v>
      </c>
      <c r="I83" s="55" t="s">
        <v>1623</v>
      </c>
      <c r="J83" s="55" t="s">
        <v>1623</v>
      </c>
      <c r="K83" s="55" t="s">
        <v>1623</v>
      </c>
      <c r="L83" s="55" t="s">
        <v>1624</v>
      </c>
      <c r="M83" s="55" t="s">
        <v>1623</v>
      </c>
      <c r="N83" s="55" t="s">
        <v>1621</v>
      </c>
      <c r="O83" s="55" t="s">
        <v>1621</v>
      </c>
      <c r="P83" s="55" t="s">
        <v>1623</v>
      </c>
      <c r="Q83" s="55" t="s">
        <v>1621</v>
      </c>
      <c r="R83" s="55">
        <f t="shared" si="7"/>
        <v>5.5</v>
      </c>
      <c r="S83" s="55">
        <f t="shared" ref="S83:S114" si="8">R83/7*100</f>
        <v>78.571428571428569</v>
      </c>
      <c r="T83" s="73"/>
    </row>
    <row r="84" spans="1:33" x14ac:dyDescent="0.25">
      <c r="A84" s="55" t="str">
        <f>'Initial Search'!D312</f>
        <v>Conflict Resolution in Process Models Merging</v>
      </c>
      <c r="B84" s="22">
        <f>ROW('Initial Search'!312:312)</f>
        <v>312</v>
      </c>
      <c r="C84" s="22">
        <f>ROW('Feature Study'!155:155)</f>
        <v>155</v>
      </c>
      <c r="D84" s="23" t="str">
        <f>'Initial Search'!M312</f>
        <v>Accepted</v>
      </c>
      <c r="E84" s="23" t="str">
        <f>'Initial Search'!N312</f>
        <v>Approved</v>
      </c>
      <c r="F84" s="23" t="s">
        <v>2802</v>
      </c>
      <c r="G84" s="247" t="str">
        <f>'Initial Search'!O312</f>
        <v>Hachemi &amp; Nacer</v>
      </c>
      <c r="H84" s="55" t="s">
        <v>1623</v>
      </c>
      <c r="I84" s="55" t="s">
        <v>1623</v>
      </c>
      <c r="J84" s="55" t="s">
        <v>1623</v>
      </c>
      <c r="K84" s="55" t="s">
        <v>1624</v>
      </c>
      <c r="L84" s="55" t="s">
        <v>1621</v>
      </c>
      <c r="M84" s="55" t="s">
        <v>1623</v>
      </c>
      <c r="N84" s="55" t="s">
        <v>1624</v>
      </c>
      <c r="O84" s="55" t="s">
        <v>1621</v>
      </c>
      <c r="P84" s="55" t="s">
        <v>1624</v>
      </c>
      <c r="Q84" s="55" t="s">
        <v>1621</v>
      </c>
      <c r="R84" s="55">
        <f t="shared" si="7"/>
        <v>5</v>
      </c>
      <c r="S84" s="55">
        <f t="shared" si="8"/>
        <v>71.428571428571431</v>
      </c>
      <c r="T84" s="73"/>
    </row>
    <row r="85" spans="1:33" x14ac:dyDescent="0.25">
      <c r="A85" s="55" t="str">
        <f>'Initial Search'!D313</f>
        <v>Preference-based Conflict Resolution for Collaborative Configuration of Product Lines</v>
      </c>
      <c r="B85" s="22">
        <f>ROW('Initial Search'!313:313)</f>
        <v>313</v>
      </c>
      <c r="C85" s="22">
        <f>ROW('Feature Study'!156:156)</f>
        <v>156</v>
      </c>
      <c r="D85" s="23" t="str">
        <f>'Initial Search'!M313</f>
        <v>Accepted</v>
      </c>
      <c r="E85" s="23" t="str">
        <f>'Initial Search'!N313</f>
        <v>Approved</v>
      </c>
      <c r="F85" s="318" t="s">
        <v>3237</v>
      </c>
      <c r="G85" s="287" t="str">
        <f>'Initial Search'!O313</f>
        <v>Colla-Config</v>
      </c>
      <c r="H85" s="55" t="s">
        <v>1623</v>
      </c>
      <c r="I85" s="55" t="s">
        <v>1623</v>
      </c>
      <c r="J85" s="55" t="s">
        <v>1623</v>
      </c>
      <c r="K85" s="55" t="s">
        <v>1621</v>
      </c>
      <c r="L85" s="55" t="s">
        <v>1624</v>
      </c>
      <c r="M85" s="55" t="s">
        <v>1623</v>
      </c>
      <c r="N85" s="55" t="s">
        <v>1624</v>
      </c>
      <c r="O85" s="55" t="s">
        <v>1621</v>
      </c>
      <c r="P85" s="55" t="s">
        <v>1624</v>
      </c>
      <c r="Q85" s="55" t="s">
        <v>1621</v>
      </c>
      <c r="R85" s="55">
        <f t="shared" si="7"/>
        <v>5</v>
      </c>
      <c r="S85" s="55">
        <f t="shared" si="8"/>
        <v>71.428571428571431</v>
      </c>
      <c r="T85" s="73"/>
    </row>
    <row r="86" spans="1:33" x14ac:dyDescent="0.25">
      <c r="A86" s="55" t="str">
        <f>'Initial Search'!D83</f>
        <v>UML2Merge: a UML extension for model merging</v>
      </c>
      <c r="B86" s="22">
        <f>ROW('Initial Search'!83:83)</f>
        <v>83</v>
      </c>
      <c r="C86" s="22">
        <f>ROW('Feature Study'!77:77)</f>
        <v>77</v>
      </c>
      <c r="D86" s="23" t="str">
        <f>'Initial Search'!M83</f>
        <v>Accepted</v>
      </c>
      <c r="E86" s="23" t="str">
        <f>'Initial Search'!N83</f>
        <v>Approved</v>
      </c>
      <c r="F86" s="318" t="s">
        <v>3239</v>
      </c>
      <c r="G86" s="23" t="str">
        <f>'Initial Search'!O83</f>
        <v>UML2Merge</v>
      </c>
      <c r="H86" s="55" t="s">
        <v>1623</v>
      </c>
      <c r="I86" s="55" t="s">
        <v>1624</v>
      </c>
      <c r="J86" s="55" t="s">
        <v>1623</v>
      </c>
      <c r="K86" s="55" t="s">
        <v>1624</v>
      </c>
      <c r="L86" s="55" t="s">
        <v>1623</v>
      </c>
      <c r="M86" s="55" t="s">
        <v>1623</v>
      </c>
      <c r="N86" s="55" t="s">
        <v>1623</v>
      </c>
      <c r="O86" s="55" t="s">
        <v>1621</v>
      </c>
      <c r="P86" s="55" t="s">
        <v>1624</v>
      </c>
      <c r="Q86" s="55" t="s">
        <v>1624</v>
      </c>
      <c r="R86" s="55">
        <f t="shared" si="7"/>
        <v>6</v>
      </c>
      <c r="S86" s="55">
        <f t="shared" si="8"/>
        <v>85.714285714285708</v>
      </c>
      <c r="T86" s="73"/>
      <c r="AG86" s="269"/>
    </row>
    <row r="87" spans="1:33" x14ac:dyDescent="0.25">
      <c r="A87" s="55" t="str">
        <f>'Initial Search'!D260</f>
        <v>Towards Online Collaborative Multi-view Modelling</v>
      </c>
      <c r="B87" s="22">
        <f>ROW('Initial Search'!260:260)</f>
        <v>260</v>
      </c>
      <c r="C87" s="22">
        <f>ROW('Feature Study'!133:133)</f>
        <v>133</v>
      </c>
      <c r="D87" s="23" t="str">
        <f>'Initial Search'!M260</f>
        <v>Accepted</v>
      </c>
      <c r="E87" s="23" t="str">
        <f>'Initial Search'!N260</f>
        <v>Approved</v>
      </c>
      <c r="F87" s="318" t="s">
        <v>3256</v>
      </c>
      <c r="G87" s="23" t="str">
        <f>'Initial Search'!O260</f>
        <v>TouchCORE</v>
      </c>
      <c r="H87" s="55" t="s">
        <v>1623</v>
      </c>
      <c r="I87" s="55" t="s">
        <v>1624</v>
      </c>
      <c r="J87" s="55" t="s">
        <v>1623</v>
      </c>
      <c r="K87" s="55" t="s">
        <v>1624</v>
      </c>
      <c r="L87" s="55" t="s">
        <v>1623</v>
      </c>
      <c r="M87" s="55" t="s">
        <v>1623</v>
      </c>
      <c r="N87" s="55" t="s">
        <v>1624</v>
      </c>
      <c r="O87" s="55" t="s">
        <v>1621</v>
      </c>
      <c r="P87" s="55" t="s">
        <v>1624</v>
      </c>
      <c r="Q87" s="55" t="s">
        <v>1621</v>
      </c>
      <c r="R87" s="55">
        <f t="shared" si="7"/>
        <v>5.5</v>
      </c>
      <c r="S87" s="55">
        <f t="shared" si="8"/>
        <v>78.571428571428569</v>
      </c>
      <c r="T87" s="73"/>
      <c r="AG87" s="269"/>
    </row>
    <row r="88" spans="1:33" x14ac:dyDescent="0.25">
      <c r="A88" s="55" t="str">
        <f>'Initial Search'!D126</f>
        <v>Detection of conflicts and inconsistencies between architecture solutions</v>
      </c>
      <c r="B88" s="22">
        <f>ROW('Initial Search'!126:126)</f>
        <v>126</v>
      </c>
      <c r="C88" s="22">
        <f>ROW('Feature Study'!159:159)</f>
        <v>159</v>
      </c>
      <c r="D88" s="23" t="str">
        <f>'Initial Search'!M126</f>
        <v>Accepted</v>
      </c>
      <c r="E88" s="23" t="str">
        <f>'Initial Search'!N126</f>
        <v>Approved</v>
      </c>
      <c r="F88" s="318" t="s">
        <v>3265</v>
      </c>
      <c r="G88" s="23" t="str">
        <f>'Initial Search'!O126</f>
        <v>Kallweit et al.</v>
      </c>
      <c r="H88" s="55" t="s">
        <v>1623</v>
      </c>
      <c r="I88" s="55" t="s">
        <v>1623</v>
      </c>
      <c r="J88" s="55" t="s">
        <v>1623</v>
      </c>
      <c r="K88" s="55" t="s">
        <v>1621</v>
      </c>
      <c r="L88" s="55" t="s">
        <v>1623</v>
      </c>
      <c r="M88" s="55" t="s">
        <v>1621</v>
      </c>
      <c r="N88" s="55" t="s">
        <v>1624</v>
      </c>
      <c r="O88" s="55" t="s">
        <v>1621</v>
      </c>
      <c r="P88" s="55" t="s">
        <v>1624</v>
      </c>
      <c r="Q88" s="55" t="s">
        <v>1621</v>
      </c>
      <c r="R88" s="55">
        <f t="shared" si="7"/>
        <v>4.5</v>
      </c>
      <c r="S88" s="55">
        <f t="shared" si="8"/>
        <v>64.285714285714292</v>
      </c>
      <c r="T88" s="73"/>
      <c r="AG88" s="270"/>
    </row>
    <row r="89" spans="1:33" x14ac:dyDescent="0.25">
      <c r="A89" s="55" t="str">
        <f>'Initial Search'!D134</f>
        <v>Enhancing version control with domain-specific semantics</v>
      </c>
      <c r="B89" s="22">
        <f>ROW('Initial Search'!134:134)</f>
        <v>134</v>
      </c>
      <c r="C89" s="22">
        <f>ROW('Feature Study'!102:102)</f>
        <v>102</v>
      </c>
      <c r="D89" s="23" t="str">
        <f>'Initial Search'!M134</f>
        <v>Accepted</v>
      </c>
      <c r="E89" s="23" t="str">
        <f>'Initial Search'!N134</f>
        <v>Approved</v>
      </c>
      <c r="F89" s="318" t="s">
        <v>3271</v>
      </c>
      <c r="G89" s="23" t="str">
        <f>'Initial Search'!O134</f>
        <v>Foucault et al.</v>
      </c>
      <c r="H89" s="55" t="s">
        <v>1623</v>
      </c>
      <c r="I89" s="55" t="s">
        <v>1624</v>
      </c>
      <c r="J89" s="55" t="s">
        <v>1623</v>
      </c>
      <c r="K89" s="55" t="s">
        <v>1621</v>
      </c>
      <c r="L89" s="55" t="s">
        <v>1623</v>
      </c>
      <c r="M89" s="55" t="s">
        <v>1624</v>
      </c>
      <c r="N89" s="55" t="s">
        <v>1624</v>
      </c>
      <c r="O89" s="55" t="s">
        <v>1621</v>
      </c>
      <c r="P89" s="55" t="s">
        <v>1623</v>
      </c>
      <c r="Q89" s="55" t="s">
        <v>1621</v>
      </c>
      <c r="R89" s="55">
        <f t="shared" si="7"/>
        <v>4.5</v>
      </c>
      <c r="S89" s="55">
        <f t="shared" si="8"/>
        <v>64.285714285714292</v>
      </c>
      <c r="T89" s="73"/>
      <c r="AG89" s="270"/>
    </row>
    <row r="90" spans="1:33" x14ac:dyDescent="0.25">
      <c r="A90" s="55" t="str">
        <f>'Initial Search'!D87</f>
        <v>Multifaceted Consistency Checking of Collaborative Engineering Artifacts</v>
      </c>
      <c r="B90" s="22">
        <f>ROW('Initial Search'!87:87)</f>
        <v>87</v>
      </c>
      <c r="C90" s="22">
        <f>ROW('Feature Study'!83:83)</f>
        <v>83</v>
      </c>
      <c r="D90" s="23" t="str">
        <f>'Initial Search'!M87</f>
        <v>Accepted</v>
      </c>
      <c r="E90" s="23" t="str">
        <f>'Initial Search'!N87</f>
        <v>Approved</v>
      </c>
      <c r="F90" s="385" t="s">
        <v>3282</v>
      </c>
      <c r="G90" s="23" t="str">
        <f>'Initial Search'!O87</f>
        <v>Tröls et al.</v>
      </c>
      <c r="H90" s="55" t="s">
        <v>1623</v>
      </c>
      <c r="I90" s="55" t="s">
        <v>1621</v>
      </c>
      <c r="J90" s="55" t="s">
        <v>1623</v>
      </c>
      <c r="K90" s="55" t="s">
        <v>1623</v>
      </c>
      <c r="L90" s="55" t="s">
        <v>1624</v>
      </c>
      <c r="M90" s="55" t="s">
        <v>1623</v>
      </c>
      <c r="N90" s="55" t="s">
        <v>1624</v>
      </c>
      <c r="O90" s="55" t="s">
        <v>1621</v>
      </c>
      <c r="P90" s="55" t="s">
        <v>1621</v>
      </c>
      <c r="Q90" s="55" t="s">
        <v>1621</v>
      </c>
      <c r="R90" s="55">
        <f t="shared" si="7"/>
        <v>5</v>
      </c>
      <c r="S90" s="55">
        <f t="shared" si="8"/>
        <v>71.428571428571431</v>
      </c>
      <c r="T90" s="73"/>
      <c r="AG90" s="270"/>
    </row>
    <row r="91" spans="1:33" x14ac:dyDescent="0.25">
      <c r="A91" s="55" t="str">
        <f>'Initial Search'!D135</f>
        <v>Live and global consistency checking in a collaborative engineering environment</v>
      </c>
      <c r="B91" s="22">
        <f>ROW('Initial Search'!135:135)</f>
        <v>135</v>
      </c>
      <c r="C91" s="22">
        <f>ROW('Feature Study'!160:160)</f>
        <v>160</v>
      </c>
      <c r="D91" s="23" t="str">
        <f>'Initial Search'!M135</f>
        <v>Accepted</v>
      </c>
      <c r="E91" s="23" t="str">
        <f>'Initial Search'!N135</f>
        <v>Approved</v>
      </c>
      <c r="F91" s="392"/>
      <c r="G91" s="23" t="str">
        <f>'Initial Search'!O135</f>
        <v>Tröls et al.</v>
      </c>
      <c r="H91" s="55" t="s">
        <v>1623</v>
      </c>
      <c r="I91" s="55" t="s">
        <v>1623</v>
      </c>
      <c r="J91" s="55" t="s">
        <v>1623</v>
      </c>
      <c r="K91" s="55" t="s">
        <v>1623</v>
      </c>
      <c r="L91" s="55" t="s">
        <v>1623</v>
      </c>
      <c r="M91" s="55" t="s">
        <v>1623</v>
      </c>
      <c r="N91" s="55" t="s">
        <v>1624</v>
      </c>
      <c r="O91" s="55" t="s">
        <v>1621</v>
      </c>
      <c r="P91" s="55" t="s">
        <v>1624</v>
      </c>
      <c r="Q91" s="55" t="s">
        <v>1621</v>
      </c>
      <c r="R91" s="55">
        <f t="shared" si="7"/>
        <v>6.5</v>
      </c>
      <c r="S91" s="55">
        <f t="shared" si="8"/>
        <v>92.857142857142861</v>
      </c>
      <c r="T91" s="73"/>
      <c r="AG91" s="278"/>
    </row>
    <row r="92" spans="1:33" x14ac:dyDescent="0.25">
      <c r="A92" s="55" t="str">
        <f>'Initial Search'!D338</f>
        <v>Collaboratively enhanced consistency checking in a cloud-based engineering environment</v>
      </c>
      <c r="B92" s="22">
        <f>ROW('Initial Search'!338:338)</f>
        <v>338</v>
      </c>
      <c r="C92" s="22">
        <f>ROW('Feature Study'!173:173)</f>
        <v>173</v>
      </c>
      <c r="D92" s="23" t="str">
        <f>'Initial Search'!M338</f>
        <v>Accepted</v>
      </c>
      <c r="E92" s="23" t="str">
        <f>'Initial Search'!N338</f>
        <v>Approved</v>
      </c>
      <c r="F92" s="392"/>
      <c r="G92" s="287" t="str">
        <f>'Initial Search'!O338</f>
        <v>Tröls et al.</v>
      </c>
      <c r="H92" s="55" t="s">
        <v>1623</v>
      </c>
      <c r="I92" s="55" t="s">
        <v>1621</v>
      </c>
      <c r="J92" s="55" t="s">
        <v>1623</v>
      </c>
      <c r="K92" s="55" t="s">
        <v>1624</v>
      </c>
      <c r="L92" s="55" t="s">
        <v>1623</v>
      </c>
      <c r="M92" s="55" t="s">
        <v>1621</v>
      </c>
      <c r="N92" s="55" t="s">
        <v>1623</v>
      </c>
      <c r="O92" s="55" t="s">
        <v>1621</v>
      </c>
      <c r="P92" s="55" t="s">
        <v>1624</v>
      </c>
      <c r="Q92" s="55" t="s">
        <v>1621</v>
      </c>
      <c r="R92" s="55">
        <f t="shared" si="7"/>
        <v>4.5</v>
      </c>
      <c r="S92" s="55">
        <f t="shared" si="8"/>
        <v>64.285714285714292</v>
      </c>
      <c r="T92" s="73"/>
      <c r="AG92" s="278"/>
    </row>
    <row r="93" spans="1:33" x14ac:dyDescent="0.25">
      <c r="A93" s="55" t="str">
        <f>'Initial Search'!D353</f>
        <v>Timestamp-based Consistency Checking of Collaboratively Developed Engineering Artifacts</v>
      </c>
      <c r="B93" s="22">
        <f>ROW('Initial Search'!353:353)</f>
        <v>353</v>
      </c>
      <c r="C93" s="22">
        <f>ROW('Feature Study'!174:174)</f>
        <v>174</v>
      </c>
      <c r="D93" s="23" t="str">
        <f>'Initial Search'!M353</f>
        <v>Accepted</v>
      </c>
      <c r="E93" s="23" t="str">
        <f>'Initial Search'!N353</f>
        <v>Approved</v>
      </c>
      <c r="F93" s="392"/>
      <c r="G93" s="23" t="str">
        <f>'Initial Search'!O353</f>
        <v>Tröls et al.</v>
      </c>
      <c r="H93" s="55" t="s">
        <v>1623</v>
      </c>
      <c r="I93" s="55" t="s">
        <v>1623</v>
      </c>
      <c r="J93" s="55" t="s">
        <v>1623</v>
      </c>
      <c r="K93" s="55" t="s">
        <v>1623</v>
      </c>
      <c r="L93" s="55" t="s">
        <v>1623</v>
      </c>
      <c r="M93" s="55" t="s">
        <v>1623</v>
      </c>
      <c r="N93" s="55" t="s">
        <v>1621</v>
      </c>
      <c r="O93" s="55" t="s">
        <v>1621</v>
      </c>
      <c r="P93" s="55" t="s">
        <v>1623</v>
      </c>
      <c r="Q93" s="55" t="s">
        <v>1621</v>
      </c>
      <c r="R93" s="55">
        <f t="shared" si="7"/>
        <v>6</v>
      </c>
      <c r="S93" s="55">
        <f t="shared" si="8"/>
        <v>85.714285714285708</v>
      </c>
      <c r="T93" s="73"/>
      <c r="AG93" s="278"/>
    </row>
    <row r="94" spans="1:33" x14ac:dyDescent="0.25">
      <c r="A94" s="55" t="str">
        <f>'Initial Search'!D355</f>
        <v>Hierarchical Distribution of Consistency-relevant Changes in a Collaborative Engineering Environment</v>
      </c>
      <c r="B94" s="22">
        <f>ROW('Initial Search'!355:355)</f>
        <v>355</v>
      </c>
      <c r="C94" s="22">
        <f>ROW('Feature Study'!175:175)</f>
        <v>175</v>
      </c>
      <c r="D94" s="23" t="str">
        <f>'Initial Search'!M355</f>
        <v>Accepted</v>
      </c>
      <c r="E94" s="23" t="str">
        <f>'Initial Search'!N355</f>
        <v>Approved</v>
      </c>
      <c r="F94" s="392"/>
      <c r="G94" s="23" t="str">
        <f>'Initial Search'!O355</f>
        <v>Tröls et al.</v>
      </c>
      <c r="H94" s="55" t="s">
        <v>1623</v>
      </c>
      <c r="I94" s="55" t="s">
        <v>1623</v>
      </c>
      <c r="J94" s="55" t="s">
        <v>1623</v>
      </c>
      <c r="K94" s="55" t="s">
        <v>1623</v>
      </c>
      <c r="L94" s="55" t="s">
        <v>1623</v>
      </c>
      <c r="M94" s="55" t="s">
        <v>1623</v>
      </c>
      <c r="N94" s="55" t="s">
        <v>1624</v>
      </c>
      <c r="O94" s="55" t="s">
        <v>1621</v>
      </c>
      <c r="P94" s="55" t="s">
        <v>1623</v>
      </c>
      <c r="Q94" s="55" t="s">
        <v>1621</v>
      </c>
      <c r="R94" s="55">
        <f t="shared" si="7"/>
        <v>6.5</v>
      </c>
      <c r="S94" s="55">
        <f t="shared" si="8"/>
        <v>92.857142857142861</v>
      </c>
      <c r="T94" s="73"/>
      <c r="AG94" s="270"/>
    </row>
    <row r="95" spans="1:33" x14ac:dyDescent="0.25">
      <c r="A95" s="55" t="str">
        <f>'Initial Search'!D370</f>
        <v>Instant distribution of consistency-relevant change information in a hierarchical multi-developer engineering environment</v>
      </c>
      <c r="B95" s="22">
        <f>ROW('Initial Search'!370:370)</f>
        <v>370</v>
      </c>
      <c r="C95" s="22">
        <f>ROW('Feature Study'!183:183)</f>
        <v>183</v>
      </c>
      <c r="D95" s="23" t="str">
        <f>'Initial Search'!M370</f>
        <v>Accepted</v>
      </c>
      <c r="E95" s="23" t="str">
        <f>'Initial Search'!N370</f>
        <v>Approved</v>
      </c>
      <c r="F95" s="386"/>
      <c r="G95" s="287" t="str">
        <f>'Initial Search'!O370</f>
        <v>Tröls et al.</v>
      </c>
      <c r="H95" s="55" t="s">
        <v>1623</v>
      </c>
      <c r="I95" s="55" t="s">
        <v>1623</v>
      </c>
      <c r="J95" s="55" t="s">
        <v>1623</v>
      </c>
      <c r="K95" s="55" t="s">
        <v>1621</v>
      </c>
      <c r="L95" s="55" t="s">
        <v>1624</v>
      </c>
      <c r="M95" s="55" t="s">
        <v>1623</v>
      </c>
      <c r="N95" s="55" t="s">
        <v>1624</v>
      </c>
      <c r="O95" s="55" t="s">
        <v>1621</v>
      </c>
      <c r="P95" s="55" t="s">
        <v>1624</v>
      </c>
      <c r="Q95" s="55" t="s">
        <v>1621</v>
      </c>
      <c r="R95" s="55">
        <f t="shared" si="7"/>
        <v>5</v>
      </c>
      <c r="S95" s="55">
        <f t="shared" si="8"/>
        <v>71.428571428571431</v>
      </c>
      <c r="T95" s="73"/>
      <c r="AG95" s="285"/>
    </row>
    <row r="96" spans="1:33" x14ac:dyDescent="0.25">
      <c r="A96" s="55" t="str">
        <f>'Initial Search'!D151</f>
        <v>Merging models based on given correspondences</v>
      </c>
      <c r="B96" s="22">
        <f>ROW('Initial Search'!151:151)</f>
        <v>151</v>
      </c>
      <c r="C96" s="22">
        <f>ROW('Feature Study'!105:105)</f>
        <v>105</v>
      </c>
      <c r="D96" s="23" t="str">
        <f>'Initial Search'!M151</f>
        <v>Accepted</v>
      </c>
      <c r="E96" s="23" t="str">
        <f>'Initial Search'!N151</f>
        <v>Approved</v>
      </c>
      <c r="F96" s="319" t="s">
        <v>3283</v>
      </c>
      <c r="G96" s="23" t="str">
        <f>'Initial Search'!O151</f>
        <v>Vanilla</v>
      </c>
      <c r="H96" s="55" t="s">
        <v>1623</v>
      </c>
      <c r="I96" s="55" t="s">
        <v>1624</v>
      </c>
      <c r="J96" s="55" t="s">
        <v>1623</v>
      </c>
      <c r="K96" s="55" t="s">
        <v>1621</v>
      </c>
      <c r="L96" s="55" t="s">
        <v>1624</v>
      </c>
      <c r="M96" s="55" t="s">
        <v>1623</v>
      </c>
      <c r="N96" s="55" t="s">
        <v>1624</v>
      </c>
      <c r="O96" s="55" t="s">
        <v>1621</v>
      </c>
      <c r="P96" s="55" t="s">
        <v>1621</v>
      </c>
      <c r="Q96" s="55" t="s">
        <v>1621</v>
      </c>
      <c r="R96" s="55">
        <f t="shared" si="7"/>
        <v>4.5</v>
      </c>
      <c r="S96" s="55">
        <f t="shared" si="8"/>
        <v>64.285714285714292</v>
      </c>
      <c r="T96" s="73"/>
      <c r="AG96" s="270"/>
    </row>
    <row r="97" spans="1:33" x14ac:dyDescent="0.25">
      <c r="A97" s="55" t="str">
        <f>'Initial Search'!D248</f>
        <v>Towards Multiple Model Synchronization with Comprehensive Systems</v>
      </c>
      <c r="B97" s="22">
        <f>ROW('Initial Search'!248:248)</f>
        <v>248</v>
      </c>
      <c r="C97" s="22">
        <f>ROW('Feature Study'!161:161)</f>
        <v>161</v>
      </c>
      <c r="D97" s="23" t="str">
        <f>'Initial Search'!M248</f>
        <v>Accepted</v>
      </c>
      <c r="E97" s="23" t="str">
        <f>'Initial Search'!N248</f>
        <v>Approved</v>
      </c>
      <c r="F97" s="385" t="s">
        <v>3296</v>
      </c>
      <c r="G97" s="23" t="str">
        <f>'Initial Search'!O248</f>
        <v>Stünkel et al.</v>
      </c>
      <c r="H97" s="55" t="s">
        <v>1623</v>
      </c>
      <c r="I97" s="55" t="s">
        <v>1623</v>
      </c>
      <c r="J97" s="55" t="s">
        <v>1623</v>
      </c>
      <c r="K97" s="55" t="s">
        <v>1621</v>
      </c>
      <c r="L97" s="55" t="s">
        <v>1621</v>
      </c>
      <c r="M97" s="55" t="s">
        <v>1624</v>
      </c>
      <c r="N97" s="55" t="s">
        <v>1624</v>
      </c>
      <c r="O97" s="55" t="s">
        <v>1621</v>
      </c>
      <c r="P97" s="55" t="s">
        <v>1621</v>
      </c>
      <c r="Q97" s="55" t="s">
        <v>1621</v>
      </c>
      <c r="R97" s="55">
        <f t="shared" si="7"/>
        <v>4</v>
      </c>
      <c r="S97" s="55">
        <f t="shared" si="8"/>
        <v>57.142857142857139</v>
      </c>
      <c r="T97" s="73"/>
      <c r="AG97" s="271"/>
    </row>
    <row r="98" spans="1:33" x14ac:dyDescent="0.25">
      <c r="A98" s="55" t="str">
        <f>'Initial Search'!D340</f>
        <v>Comprehensive Systems: A formal foundation for Multi-Model Consistency Management</v>
      </c>
      <c r="B98" s="22">
        <f>ROW('Initial Search'!340:340)</f>
        <v>340</v>
      </c>
      <c r="C98" s="22">
        <f>ROW('Feature Study'!172:172)</f>
        <v>172</v>
      </c>
      <c r="D98" s="23" t="str">
        <f>'Initial Search'!M340</f>
        <v>Accepted</v>
      </c>
      <c r="E98" s="23" t="str">
        <f>'Initial Search'!N340</f>
        <v>Approved</v>
      </c>
      <c r="F98" s="386"/>
      <c r="G98" s="287" t="str">
        <f>'Initial Search'!O340</f>
        <v>Stünkel et al.</v>
      </c>
      <c r="H98" s="55" t="s">
        <v>1623</v>
      </c>
      <c r="I98" s="55" t="s">
        <v>1621</v>
      </c>
      <c r="J98" s="55" t="s">
        <v>1623</v>
      </c>
      <c r="K98" s="55" t="s">
        <v>1624</v>
      </c>
      <c r="L98" s="55" t="s">
        <v>1621</v>
      </c>
      <c r="M98" s="55" t="s">
        <v>1623</v>
      </c>
      <c r="N98" s="55" t="s">
        <v>1623</v>
      </c>
      <c r="O98" s="55" t="s">
        <v>1621</v>
      </c>
      <c r="P98" s="55" t="s">
        <v>1624</v>
      </c>
      <c r="Q98" s="55" t="s">
        <v>1624</v>
      </c>
      <c r="R98" s="55">
        <f t="shared" si="7"/>
        <v>4.5</v>
      </c>
      <c r="S98" s="55">
        <f t="shared" si="8"/>
        <v>64.285714285714292</v>
      </c>
      <c r="T98" s="73"/>
      <c r="AG98" s="277"/>
    </row>
    <row r="99" spans="1:33" x14ac:dyDescent="0.25">
      <c r="A99" s="55" t="str">
        <f>'Initial Search'!D268</f>
        <v>Discovering Software Architectures with Search-Based Merge of UML Model Variants</v>
      </c>
      <c r="B99" s="22">
        <f>ROW('Initial Search'!268:268)</f>
        <v>268</v>
      </c>
      <c r="C99" s="22">
        <f>ROW('Feature Study'!137:137)</f>
        <v>137</v>
      </c>
      <c r="D99" s="23" t="str">
        <f>'Initial Search'!M268</f>
        <v>Accepted</v>
      </c>
      <c r="E99" s="23" t="str">
        <f>'Initial Search'!N268</f>
        <v>Approved</v>
      </c>
      <c r="F99" s="319" t="s">
        <v>3307</v>
      </c>
      <c r="G99" s="23" t="str">
        <f>'Initial Search'!O268</f>
        <v>Assunção et al.</v>
      </c>
      <c r="H99" s="55" t="s">
        <v>1623</v>
      </c>
      <c r="I99" s="55" t="s">
        <v>1623</v>
      </c>
      <c r="J99" s="55" t="s">
        <v>1623</v>
      </c>
      <c r="K99" s="55" t="s">
        <v>1624</v>
      </c>
      <c r="L99" s="55" t="s">
        <v>1624</v>
      </c>
      <c r="M99" s="55" t="s">
        <v>1623</v>
      </c>
      <c r="N99" s="55" t="s">
        <v>1624</v>
      </c>
      <c r="O99" s="55" t="s">
        <v>1621</v>
      </c>
      <c r="P99" s="55" t="s">
        <v>1621</v>
      </c>
      <c r="Q99" s="55" t="s">
        <v>1621</v>
      </c>
      <c r="R99" s="55">
        <f t="shared" si="7"/>
        <v>5.5</v>
      </c>
      <c r="S99" s="55">
        <f t="shared" si="8"/>
        <v>78.571428571428569</v>
      </c>
      <c r="T99" s="73"/>
      <c r="AG99" s="270"/>
    </row>
    <row r="100" spans="1:33" x14ac:dyDescent="0.25">
      <c r="A100" s="55" t="str">
        <f>'Initial Search'!D331</f>
        <v>Composing Models for Detecting Inconsistencies: A Requirements Engineering Perspective</v>
      </c>
      <c r="B100" s="22">
        <f>ROW('Initial Search'!331:331)</f>
        <v>331</v>
      </c>
      <c r="C100" s="22">
        <f>ROW('Feature Study'!162:162)</f>
        <v>162</v>
      </c>
      <c r="D100" s="23" t="str">
        <f>'Initial Search'!M331</f>
        <v>Accepted</v>
      </c>
      <c r="E100" s="23" t="str">
        <f>'Initial Search'!N331</f>
        <v>Approved</v>
      </c>
      <c r="F100" s="319" t="s">
        <v>3315</v>
      </c>
      <c r="G100" s="23" t="str">
        <f>'Initial Search'!O331</f>
        <v>Perrouin et al.</v>
      </c>
      <c r="H100" s="55" t="s">
        <v>1623</v>
      </c>
      <c r="I100" s="55" t="s">
        <v>1623</v>
      </c>
      <c r="J100" s="55" t="s">
        <v>1623</v>
      </c>
      <c r="K100" s="55" t="s">
        <v>1621</v>
      </c>
      <c r="L100" s="55" t="s">
        <v>1624</v>
      </c>
      <c r="M100" s="55" t="s">
        <v>1623</v>
      </c>
      <c r="N100" s="55" t="s">
        <v>1624</v>
      </c>
      <c r="O100" s="55" t="s">
        <v>1621</v>
      </c>
      <c r="P100" s="55" t="s">
        <v>1621</v>
      </c>
      <c r="Q100" s="55" t="s">
        <v>1621</v>
      </c>
      <c r="R100" s="55">
        <f t="shared" si="7"/>
        <v>5</v>
      </c>
      <c r="S100" s="55">
        <f t="shared" si="8"/>
        <v>71.428571428571431</v>
      </c>
      <c r="T100" s="73"/>
      <c r="AG100" s="273"/>
    </row>
    <row r="101" spans="1:33" x14ac:dyDescent="0.25">
      <c r="A101" s="55" t="str">
        <f>'Initial Search'!D322</f>
        <v>Formal Support for Merging and Negotiation</v>
      </c>
      <c r="B101" s="22">
        <f>ROW('Initial Search'!322:322)</f>
        <v>322</v>
      </c>
      <c r="C101" s="22">
        <f>ROW('Feature Study'!165:165)</f>
        <v>165</v>
      </c>
      <c r="D101" s="23" t="str">
        <f>'Initial Search'!M322</f>
        <v>Accepted</v>
      </c>
      <c r="E101" s="23" t="str">
        <f>'Initial Search'!N322</f>
        <v>Approved</v>
      </c>
      <c r="F101" s="319" t="s">
        <v>3325</v>
      </c>
      <c r="G101" s="23" t="str">
        <f>'Initial Search'!O322</f>
        <v>Negotiation framework</v>
      </c>
      <c r="H101" s="55" t="s">
        <v>1623</v>
      </c>
      <c r="I101" s="55" t="s">
        <v>1621</v>
      </c>
      <c r="J101" s="55" t="s">
        <v>1624</v>
      </c>
      <c r="K101" s="55" t="s">
        <v>1621</v>
      </c>
      <c r="L101" s="55" t="s">
        <v>1624</v>
      </c>
      <c r="M101" s="55" t="s">
        <v>1623</v>
      </c>
      <c r="N101" s="55" t="s">
        <v>1623</v>
      </c>
      <c r="O101" s="55" t="s">
        <v>1621</v>
      </c>
      <c r="P101" s="55" t="s">
        <v>1623</v>
      </c>
      <c r="Q101" s="55" t="s">
        <v>1621</v>
      </c>
      <c r="R101" s="55">
        <f t="shared" si="7"/>
        <v>4</v>
      </c>
      <c r="S101" s="55">
        <f t="shared" si="8"/>
        <v>57.142857142857139</v>
      </c>
      <c r="T101" s="73"/>
      <c r="AG101" s="273"/>
    </row>
    <row r="102" spans="1:33" x14ac:dyDescent="0.25">
      <c r="A102" s="55" t="str">
        <f>'Initial Search'!D320</f>
        <v>Efficient detection of inconsistencies in a multi-developer engineering environment</v>
      </c>
      <c r="B102" s="22">
        <f>ROW('Initial Search'!320:320)</f>
        <v>320</v>
      </c>
      <c r="C102" s="22">
        <f>ROW('Feature Study'!163:163)</f>
        <v>163</v>
      </c>
      <c r="D102" s="23" t="str">
        <f>'Initial Search'!M320</f>
        <v>Accepted</v>
      </c>
      <c r="E102" s="23" t="str">
        <f>'Initial Search'!N320</f>
        <v>Approved</v>
      </c>
      <c r="F102" s="319" t="s">
        <v>3335</v>
      </c>
      <c r="G102" s="23" t="str">
        <f>'Initial Search'!O320</f>
        <v>Demuth et al.</v>
      </c>
      <c r="H102" s="55" t="s">
        <v>1623</v>
      </c>
      <c r="I102" s="55" t="s">
        <v>1624</v>
      </c>
      <c r="J102" s="55" t="s">
        <v>1623</v>
      </c>
      <c r="K102" s="55" t="s">
        <v>1623</v>
      </c>
      <c r="L102" s="55" t="s">
        <v>1624</v>
      </c>
      <c r="M102" s="55" t="s">
        <v>1623</v>
      </c>
      <c r="N102" s="55" t="s">
        <v>1624</v>
      </c>
      <c r="O102" s="55" t="s">
        <v>1621</v>
      </c>
      <c r="P102" s="55" t="s">
        <v>1621</v>
      </c>
      <c r="Q102" s="55" t="s">
        <v>1621</v>
      </c>
      <c r="R102" s="55">
        <f t="shared" si="7"/>
        <v>5.5</v>
      </c>
      <c r="S102" s="55">
        <f t="shared" si="8"/>
        <v>78.571428571428569</v>
      </c>
      <c r="T102" s="73"/>
      <c r="AG102" s="274"/>
    </row>
    <row r="103" spans="1:33" x14ac:dyDescent="0.25">
      <c r="A103" s="55" t="str">
        <f>'Initial Search'!D321</f>
        <v>An agent-based framework for distributed collaborative model evolution</v>
      </c>
      <c r="B103" s="22">
        <f>ROW('Initial Search'!321:321)</f>
        <v>321</v>
      </c>
      <c r="C103" s="22">
        <f>ROW('Feature Study'!164:164)</f>
        <v>164</v>
      </c>
      <c r="D103" s="23" t="str">
        <f>'Initial Search'!M321</f>
        <v>Accepted</v>
      </c>
      <c r="E103" s="23" t="str">
        <f>'Initial Search'!N321</f>
        <v>Approved</v>
      </c>
      <c r="F103" s="319" t="s">
        <v>3344</v>
      </c>
      <c r="G103" s="23" t="str">
        <f>'Initial Search'!O321</f>
        <v>BDI Architecture</v>
      </c>
      <c r="H103" s="55" t="s">
        <v>1623</v>
      </c>
      <c r="I103" s="55" t="s">
        <v>1623</v>
      </c>
      <c r="J103" s="55" t="s">
        <v>1623</v>
      </c>
      <c r="K103" s="55" t="s">
        <v>1621</v>
      </c>
      <c r="L103" s="55" t="s">
        <v>1621</v>
      </c>
      <c r="M103" s="55" t="s">
        <v>1623</v>
      </c>
      <c r="N103" s="55" t="s">
        <v>1623</v>
      </c>
      <c r="O103" s="55" t="s">
        <v>1621</v>
      </c>
      <c r="P103" s="55" t="s">
        <v>1624</v>
      </c>
      <c r="Q103" s="55" t="s">
        <v>1621</v>
      </c>
      <c r="R103" s="55">
        <f t="shared" si="7"/>
        <v>5</v>
      </c>
      <c r="S103" s="55">
        <f t="shared" si="8"/>
        <v>71.428571428571431</v>
      </c>
      <c r="T103" s="73"/>
      <c r="AG103" s="274"/>
    </row>
    <row r="104" spans="1:33" x14ac:dyDescent="0.25">
      <c r="A104" s="55" t="str">
        <f>'Initial Search'!D326</f>
        <v>An Algebraic Framework for Merging Incomplete and Inconsistent Views</v>
      </c>
      <c r="B104" s="22">
        <f>ROW('Initial Search'!326:326)</f>
        <v>326</v>
      </c>
      <c r="C104" s="22">
        <f>ROW('Feature Study'!166:166)</f>
        <v>166</v>
      </c>
      <c r="D104" s="23" t="str">
        <f>'Initial Search'!M326</f>
        <v>Accepted</v>
      </c>
      <c r="E104" s="23" t="str">
        <f>'Initial Search'!N326</f>
        <v>Approved</v>
      </c>
      <c r="F104" s="385" t="s">
        <v>3350</v>
      </c>
      <c r="G104" s="23" t="str">
        <f>'Initial Search'!O326</f>
        <v>iVuBlender</v>
      </c>
      <c r="H104" s="55" t="s">
        <v>1623</v>
      </c>
      <c r="I104" s="55" t="s">
        <v>1621</v>
      </c>
      <c r="J104" s="55" t="s">
        <v>1623</v>
      </c>
      <c r="K104" s="55" t="s">
        <v>1624</v>
      </c>
      <c r="L104" s="55" t="s">
        <v>1624</v>
      </c>
      <c r="M104" s="55" t="s">
        <v>1624</v>
      </c>
      <c r="N104" s="55" t="s">
        <v>1624</v>
      </c>
      <c r="O104" s="55" t="s">
        <v>1621</v>
      </c>
      <c r="P104" s="55" t="s">
        <v>1621</v>
      </c>
      <c r="Q104" s="55" t="s">
        <v>1621</v>
      </c>
      <c r="R104" s="55">
        <f t="shared" si="7"/>
        <v>4</v>
      </c>
      <c r="S104" s="55">
        <f t="shared" si="8"/>
        <v>57.142857142857139</v>
      </c>
      <c r="T104" s="73"/>
      <c r="AG104" s="274"/>
    </row>
    <row r="105" spans="1:33" x14ac:dyDescent="0.25">
      <c r="A105" s="55" t="str">
        <f>'Initial Search'!D329</f>
        <v>View merging in the presence of incompleteness and inconsistency</v>
      </c>
      <c r="B105" s="22">
        <f>ROW('Initial Search'!329:329)</f>
        <v>329</v>
      </c>
      <c r="C105" s="22">
        <f>ROW('Feature Study'!167:167)</f>
        <v>167</v>
      </c>
      <c r="D105" s="23" t="str">
        <f>'Initial Search'!M329</f>
        <v>Accepted</v>
      </c>
      <c r="E105" s="23" t="str">
        <f>'Initial Search'!N329</f>
        <v>Approved</v>
      </c>
      <c r="F105" s="386"/>
      <c r="G105" s="23" t="str">
        <f>'Initial Search'!O329</f>
        <v>iVuBlender</v>
      </c>
      <c r="H105" s="55" t="s">
        <v>1623</v>
      </c>
      <c r="I105" s="55" t="s">
        <v>1623</v>
      </c>
      <c r="J105" s="55" t="s">
        <v>1623</v>
      </c>
      <c r="K105" s="55" t="s">
        <v>1624</v>
      </c>
      <c r="L105" s="55" t="s">
        <v>1623</v>
      </c>
      <c r="M105" s="55" t="s">
        <v>1623</v>
      </c>
      <c r="N105" s="55" t="s">
        <v>1624</v>
      </c>
      <c r="O105" s="55" t="s">
        <v>1621</v>
      </c>
      <c r="P105" s="55" t="s">
        <v>1621</v>
      </c>
      <c r="Q105" s="55" t="s">
        <v>1621</v>
      </c>
      <c r="R105" s="55">
        <f t="shared" si="7"/>
        <v>6</v>
      </c>
      <c r="S105" s="55">
        <f t="shared" si="8"/>
        <v>85.714285714285708</v>
      </c>
      <c r="T105" s="73"/>
      <c r="AG105" s="274"/>
    </row>
    <row r="106" spans="1:33" x14ac:dyDescent="0.25">
      <c r="A106" s="55" t="str">
        <f>'Initial Search'!D335</f>
        <v>A Collaborative Versioning Framework for Model-Based Version Control Systems</v>
      </c>
      <c r="B106" s="22">
        <f>ROW('Initial Search'!335:335)</f>
        <v>335</v>
      </c>
      <c r="C106" s="22">
        <f>ROW('Feature Study'!168:168)</f>
        <v>168</v>
      </c>
      <c r="D106" s="23" t="str">
        <f>'Initial Search'!M335</f>
        <v>Accepted</v>
      </c>
      <c r="E106" s="23" t="str">
        <f>'Initial Search'!N335</f>
        <v>Approved</v>
      </c>
      <c r="F106" s="319" t="s">
        <v>3362</v>
      </c>
      <c r="G106" s="23" t="str">
        <f>'Initial Search'!O335</f>
        <v>ModVCS</v>
      </c>
      <c r="H106" s="55" t="s">
        <v>1623</v>
      </c>
      <c r="I106" s="55" t="s">
        <v>1621</v>
      </c>
      <c r="J106" s="55" t="s">
        <v>1623</v>
      </c>
      <c r="K106" s="55" t="s">
        <v>1624</v>
      </c>
      <c r="L106" s="55" t="s">
        <v>1624</v>
      </c>
      <c r="M106" s="55" t="s">
        <v>1624</v>
      </c>
      <c r="N106" s="55" t="s">
        <v>1624</v>
      </c>
      <c r="O106" s="55" t="s">
        <v>1621</v>
      </c>
      <c r="P106" s="55" t="s">
        <v>1624</v>
      </c>
      <c r="Q106" s="55" t="s">
        <v>1624</v>
      </c>
      <c r="R106" s="55">
        <f t="shared" si="7"/>
        <v>4</v>
      </c>
      <c r="S106" s="55">
        <f t="shared" si="8"/>
        <v>57.142857142857139</v>
      </c>
      <c r="T106" s="73"/>
      <c r="AG106" s="274"/>
    </row>
    <row r="107" spans="1:33" x14ac:dyDescent="0.25">
      <c r="A107" s="55" t="str">
        <f>'Initial Search'!D295</f>
        <v>Global consistency checking of distributed models with TReMer+</v>
      </c>
      <c r="B107" s="22">
        <f>ROW('Initial Search'!295:295)</f>
        <v>295</v>
      </c>
      <c r="C107" s="22">
        <f>ROW('Feature Study'!169:169)</f>
        <v>169</v>
      </c>
      <c r="D107" s="23" t="str">
        <f>'Initial Search'!M295</f>
        <v>Accepted</v>
      </c>
      <c r="E107" s="23" t="str">
        <f>'Initial Search'!N295</f>
        <v>Approved</v>
      </c>
      <c r="F107" s="385" t="s">
        <v>3371</v>
      </c>
      <c r="G107" s="287" t="str">
        <f>'Initial Search'!O295</f>
        <v>TReMer+</v>
      </c>
      <c r="H107" s="55" t="s">
        <v>1623</v>
      </c>
      <c r="I107" s="55" t="s">
        <v>1623</v>
      </c>
      <c r="J107" s="55" t="s">
        <v>1624</v>
      </c>
      <c r="K107" s="55" t="s">
        <v>1624</v>
      </c>
      <c r="L107" s="55" t="s">
        <v>1624</v>
      </c>
      <c r="M107" s="55" t="s">
        <v>1624</v>
      </c>
      <c r="N107" s="55" t="s">
        <v>1624</v>
      </c>
      <c r="O107" s="55" t="s">
        <v>1621</v>
      </c>
      <c r="P107" s="55" t="s">
        <v>1624</v>
      </c>
      <c r="Q107" s="55" t="s">
        <v>1624</v>
      </c>
      <c r="R107" s="55">
        <f t="shared" si="7"/>
        <v>4.5</v>
      </c>
      <c r="S107" s="55">
        <f t="shared" si="8"/>
        <v>64.285714285714292</v>
      </c>
      <c r="T107" s="73"/>
      <c r="AG107" s="269"/>
    </row>
    <row r="108" spans="1:33" x14ac:dyDescent="0.25">
      <c r="A108" s="55" t="str">
        <f>'Initial Search'!D339</f>
        <v>Consistency Checking of Conceptual Models via Model Merging</v>
      </c>
      <c r="B108" s="22">
        <f>ROW('Initial Search'!339:339)</f>
        <v>339</v>
      </c>
      <c r="C108" s="22">
        <f>ROW('Feature Study'!171:171)</f>
        <v>171</v>
      </c>
      <c r="D108" s="23" t="str">
        <f>'Initial Search'!M339</f>
        <v>Accepted</v>
      </c>
      <c r="E108" s="23" t="str">
        <f>'Initial Search'!N339</f>
        <v>Approved</v>
      </c>
      <c r="F108" s="386"/>
      <c r="G108" s="287" t="str">
        <f>'Initial Search'!O339</f>
        <v>TReMer+</v>
      </c>
      <c r="H108" s="55" t="s">
        <v>1623</v>
      </c>
      <c r="I108" s="55" t="s">
        <v>1624</v>
      </c>
      <c r="J108" s="55" t="s">
        <v>1623</v>
      </c>
      <c r="K108" s="55" t="s">
        <v>1624</v>
      </c>
      <c r="L108" s="55" t="s">
        <v>1624</v>
      </c>
      <c r="M108" s="55" t="s">
        <v>1623</v>
      </c>
      <c r="N108" s="55" t="s">
        <v>1624</v>
      </c>
      <c r="O108" s="55" t="s">
        <v>1621</v>
      </c>
      <c r="P108" s="55" t="s">
        <v>1621</v>
      </c>
      <c r="Q108" s="55" t="s">
        <v>1621</v>
      </c>
      <c r="R108" s="55">
        <f t="shared" si="7"/>
        <v>5</v>
      </c>
      <c r="S108" s="55">
        <f t="shared" si="8"/>
        <v>71.428571428571431</v>
      </c>
      <c r="T108" s="73"/>
      <c r="AG108" s="280"/>
    </row>
    <row r="109" spans="1:33" x14ac:dyDescent="0.25">
      <c r="A109" s="55" t="str">
        <f>'Initial Search'!D337</f>
        <v>Efficient Consistency Checking of Interrelated Models</v>
      </c>
      <c r="B109" s="22">
        <f>ROW('Initial Search'!337:337)</f>
        <v>337</v>
      </c>
      <c r="C109" s="22">
        <f>ROW('Feature Study'!170:170)</f>
        <v>170</v>
      </c>
      <c r="D109" s="23" t="str">
        <f>'Initial Search'!M337</f>
        <v>Accepted</v>
      </c>
      <c r="E109" s="23" t="str">
        <f>'Initial Search'!N337</f>
        <v>Approved</v>
      </c>
      <c r="F109" s="385" t="s">
        <v>3499</v>
      </c>
      <c r="G109" s="287" t="str">
        <f>'Initial Search'!O337</f>
        <v>LMM</v>
      </c>
      <c r="H109" s="55" t="s">
        <v>1623</v>
      </c>
      <c r="I109" s="55" t="s">
        <v>1623</v>
      </c>
      <c r="J109" s="55" t="s">
        <v>1623</v>
      </c>
      <c r="K109" s="55" t="s">
        <v>1621</v>
      </c>
      <c r="L109" s="55" t="s">
        <v>1621</v>
      </c>
      <c r="M109" s="55" t="s">
        <v>1623</v>
      </c>
      <c r="N109" s="55" t="s">
        <v>1623</v>
      </c>
      <c r="O109" s="55" t="s">
        <v>1621</v>
      </c>
      <c r="P109" s="55" t="s">
        <v>1621</v>
      </c>
      <c r="Q109" s="55" t="s">
        <v>1624</v>
      </c>
      <c r="R109" s="55">
        <f t="shared" si="7"/>
        <v>5</v>
      </c>
      <c r="S109" s="55">
        <f t="shared" si="8"/>
        <v>71.428571428571431</v>
      </c>
      <c r="T109" s="73"/>
      <c r="AG109" s="277"/>
    </row>
    <row r="110" spans="1:33" x14ac:dyDescent="0.25">
      <c r="A110" s="55" t="str">
        <f>'Initial Search'!D349</f>
        <v>Advanced Local Checking of Global Consistency in Heterogeneous Multimodeling</v>
      </c>
      <c r="B110" s="22">
        <f>ROW('Initial Search'!349:349)</f>
        <v>349</v>
      </c>
      <c r="C110" s="22">
        <f>ROW('Feature Study'!179:179)</f>
        <v>179</v>
      </c>
      <c r="D110" s="23" t="str">
        <f>'Initial Search'!M349</f>
        <v>Accepted</v>
      </c>
      <c r="E110" s="23" t="str">
        <f>'Initial Search'!N349</f>
        <v>Approved</v>
      </c>
      <c r="F110" s="386"/>
      <c r="G110" s="287" t="str">
        <f>'Initial Search'!O349</f>
        <v>LMM</v>
      </c>
      <c r="H110" s="55" t="s">
        <v>1623</v>
      </c>
      <c r="I110" s="55" t="s">
        <v>1624</v>
      </c>
      <c r="J110" s="55" t="s">
        <v>1623</v>
      </c>
      <c r="K110" s="55" t="s">
        <v>1621</v>
      </c>
      <c r="L110" s="55" t="s">
        <v>1621</v>
      </c>
      <c r="M110" s="55" t="s">
        <v>1623</v>
      </c>
      <c r="N110" s="55" t="s">
        <v>1623</v>
      </c>
      <c r="O110" s="55" t="s">
        <v>1621</v>
      </c>
      <c r="P110" s="55" t="s">
        <v>1624</v>
      </c>
      <c r="Q110" s="55" t="s">
        <v>1624</v>
      </c>
      <c r="R110" s="55">
        <f t="shared" si="7"/>
        <v>4.5</v>
      </c>
      <c r="S110" s="55">
        <f t="shared" si="8"/>
        <v>64.285714285714292</v>
      </c>
      <c r="T110" s="73"/>
      <c r="AG110" s="282"/>
    </row>
    <row r="111" spans="1:33" x14ac:dyDescent="0.25">
      <c r="A111" s="55" t="str">
        <f>'Initial Search'!D341</f>
        <v>Reasoning about Consistency in Model Merging</v>
      </c>
      <c r="B111" s="22">
        <f>ROW('Initial Search'!341:341)</f>
        <v>341</v>
      </c>
      <c r="C111" s="22">
        <f>ROW('Feature Study'!176:176)</f>
        <v>176</v>
      </c>
      <c r="D111" s="23" t="str">
        <f>'Initial Search'!M341</f>
        <v>Accepted</v>
      </c>
      <c r="E111" s="23" t="str">
        <f>'Initial Search'!N341</f>
        <v>Disapproved</v>
      </c>
      <c r="F111" s="319"/>
      <c r="G111" s="287" t="str">
        <f>'Initial Search'!O341</f>
        <v>Sabetzadeh et al.</v>
      </c>
      <c r="H111" s="55" t="s">
        <v>1623</v>
      </c>
      <c r="I111" s="55" t="s">
        <v>1624</v>
      </c>
      <c r="J111" s="55" t="s">
        <v>1624</v>
      </c>
      <c r="K111" s="55" t="s">
        <v>1621</v>
      </c>
      <c r="L111" s="55" t="s">
        <v>1621</v>
      </c>
      <c r="M111" s="55" t="s">
        <v>1621</v>
      </c>
      <c r="N111" s="55" t="s">
        <v>1624</v>
      </c>
      <c r="O111" s="55" t="s">
        <v>1621</v>
      </c>
      <c r="P111" s="55" t="s">
        <v>1624</v>
      </c>
      <c r="Q111" s="55" t="s">
        <v>1621</v>
      </c>
      <c r="R111" s="55">
        <f t="shared" si="7"/>
        <v>2.5</v>
      </c>
      <c r="S111" s="81">
        <f t="shared" si="8"/>
        <v>35.714285714285715</v>
      </c>
      <c r="T111" s="73"/>
      <c r="AG111" s="277"/>
    </row>
    <row r="112" spans="1:33" x14ac:dyDescent="0.25">
      <c r="A112" s="55" t="str">
        <f>'Initial Search'!D344</f>
        <v>Analysis of inconsistency in graph-based viewpoints: a category-theoretical approach</v>
      </c>
      <c r="B112" s="22">
        <f>ROW('Initial Search'!344:344)</f>
        <v>344</v>
      </c>
      <c r="C112" s="22">
        <f>ROW('Feature Study'!177:177)</f>
        <v>177</v>
      </c>
      <c r="D112" s="23" t="str">
        <f>'Initial Search'!M344</f>
        <v>Accepted</v>
      </c>
      <c r="E112" s="23" t="str">
        <f>'Initial Search'!N344</f>
        <v>Approved</v>
      </c>
      <c r="F112" s="319" t="s">
        <v>3543</v>
      </c>
      <c r="G112" s="287" t="str">
        <f>'Initial Search'!O344</f>
        <v>Fuzzy-Viewpoint</v>
      </c>
      <c r="H112" s="55" t="s">
        <v>1623</v>
      </c>
      <c r="I112" s="55" t="s">
        <v>1624</v>
      </c>
      <c r="J112" s="55" t="s">
        <v>1623</v>
      </c>
      <c r="K112" s="55" t="s">
        <v>1624</v>
      </c>
      <c r="L112" s="55" t="s">
        <v>1621</v>
      </c>
      <c r="M112" s="55" t="s">
        <v>1621</v>
      </c>
      <c r="N112" s="55" t="s">
        <v>1623</v>
      </c>
      <c r="O112" s="55" t="s">
        <v>1621</v>
      </c>
      <c r="P112" s="55" t="s">
        <v>1623</v>
      </c>
      <c r="Q112" s="55" t="s">
        <v>1624</v>
      </c>
      <c r="R112" s="55">
        <f t="shared" si="7"/>
        <v>4</v>
      </c>
      <c r="S112" s="55">
        <f t="shared" si="8"/>
        <v>57.142857142857139</v>
      </c>
      <c r="T112" s="73"/>
      <c r="AG112" s="277"/>
    </row>
    <row r="113" spans="1:33" x14ac:dyDescent="0.25">
      <c r="A113" s="55" t="str">
        <f>'Initial Search'!D346</f>
        <v>A framework for multi-valued reasoning over inconsistent viewpoints</v>
      </c>
      <c r="B113" s="22">
        <f>ROW('Initial Search'!346:346)</f>
        <v>346</v>
      </c>
      <c r="C113" s="22">
        <f>ROW('Feature Study'!178:178)</f>
        <v>178</v>
      </c>
      <c r="D113" s="23" t="str">
        <f>'Initial Search'!M346</f>
        <v>Accepted</v>
      </c>
      <c r="E113" s="23" t="str">
        <f>'Initial Search'!N346</f>
        <v>Approved</v>
      </c>
      <c r="F113" s="319" t="s">
        <v>3568</v>
      </c>
      <c r="G113" s="287" t="str">
        <f>'Initial Search'!O346</f>
        <v>Xbel</v>
      </c>
      <c r="H113" s="55" t="s">
        <v>1623</v>
      </c>
      <c r="I113" s="55" t="s">
        <v>1624</v>
      </c>
      <c r="J113" s="55" t="s">
        <v>1623</v>
      </c>
      <c r="K113" s="55" t="s">
        <v>1624</v>
      </c>
      <c r="L113" s="55" t="s">
        <v>1624</v>
      </c>
      <c r="M113" s="55" t="s">
        <v>1624</v>
      </c>
      <c r="N113" s="55" t="s">
        <v>1624</v>
      </c>
      <c r="O113" s="55" t="s">
        <v>1621</v>
      </c>
      <c r="P113" s="55" t="s">
        <v>1624</v>
      </c>
      <c r="Q113" s="55" t="s">
        <v>1621</v>
      </c>
      <c r="R113" s="55">
        <f t="shared" si="7"/>
        <v>4.5</v>
      </c>
      <c r="S113" s="55">
        <f t="shared" si="8"/>
        <v>64.285714285714292</v>
      </c>
      <c r="T113" s="73"/>
      <c r="AG113" s="280"/>
    </row>
    <row r="114" spans="1:33" x14ac:dyDescent="0.25">
      <c r="A114" s="55" t="str">
        <f>'Initial Search'!D368</f>
        <v>A Precedence-Driven Approach for Concurrent Model Synchronization Scenarios using Triple Graph Grammars</v>
      </c>
      <c r="B114" s="22">
        <f>ROW('Initial Search'!368:368)</f>
        <v>368</v>
      </c>
      <c r="C114" s="22">
        <f>ROW('Feature Study'!182:182)</f>
        <v>182</v>
      </c>
      <c r="D114" s="23" t="str">
        <f>'Initial Search'!M368</f>
        <v>Accepted</v>
      </c>
      <c r="E114" s="23" t="str">
        <f>'Initial Search'!N368</f>
        <v>Approved</v>
      </c>
      <c r="F114" s="319" t="s">
        <v>3612</v>
      </c>
      <c r="G114" s="287" t="str">
        <f>'Initial Search'!O368</f>
        <v>eMoflon</v>
      </c>
      <c r="H114" s="55" t="s">
        <v>1623</v>
      </c>
      <c r="I114" s="55" t="s">
        <v>1623</v>
      </c>
      <c r="J114" s="55" t="s">
        <v>1623</v>
      </c>
      <c r="K114" s="55" t="s">
        <v>1624</v>
      </c>
      <c r="L114" s="55" t="s">
        <v>1624</v>
      </c>
      <c r="M114" s="55" t="s">
        <v>1623</v>
      </c>
      <c r="N114" s="55" t="s">
        <v>1624</v>
      </c>
      <c r="O114" s="55" t="s">
        <v>1621</v>
      </c>
      <c r="P114" s="55" t="s">
        <v>1623</v>
      </c>
      <c r="Q114" s="55" t="s">
        <v>1621</v>
      </c>
      <c r="R114" s="55">
        <f t="shared" si="7"/>
        <v>5.5</v>
      </c>
      <c r="S114" s="55">
        <f t="shared" si="8"/>
        <v>78.571428571428569</v>
      </c>
      <c r="T114" s="73"/>
      <c r="AG114" s="282"/>
    </row>
    <row r="115" spans="1:33" x14ac:dyDescent="0.25">
      <c r="A115" s="55"/>
      <c r="B115" s="22"/>
      <c r="C115" s="22"/>
      <c r="D115" s="23"/>
      <c r="E115" s="23"/>
      <c r="F115" s="23"/>
      <c r="G115" s="23"/>
      <c r="H115" s="55"/>
      <c r="I115" s="55"/>
      <c r="J115" s="55"/>
      <c r="K115" s="55"/>
      <c r="L115" s="55"/>
      <c r="M115" s="55"/>
      <c r="N115" s="55"/>
      <c r="O115" s="55"/>
      <c r="P115" s="55"/>
      <c r="Q115" s="55"/>
      <c r="R115" s="55"/>
      <c r="S115" s="55"/>
      <c r="T115" s="73"/>
      <c r="AG115" s="269"/>
    </row>
    <row r="116" spans="1:33" x14ac:dyDescent="0.25">
      <c r="A116" s="56"/>
      <c r="B116" s="24"/>
      <c r="C116" s="24"/>
      <c r="D116" s="24"/>
      <c r="E116" s="24"/>
      <c r="F116" s="24"/>
      <c r="G116" s="24"/>
      <c r="H116" s="24">
        <f>COUNTIF(H3:H114,"Yes") + 0.5 * COUNTIF(H6:H114,"partially")+1</f>
        <v>108</v>
      </c>
      <c r="I116" s="24">
        <f t="shared" ref="I116:N116" si="9">COUNTIF(I3:I114,"Yes") + 0.5 * COUNTIF(I3:I114,"partially")</f>
        <v>78</v>
      </c>
      <c r="J116" s="24">
        <f t="shared" si="9"/>
        <v>104.5</v>
      </c>
      <c r="K116" s="24">
        <f t="shared" si="9"/>
        <v>45</v>
      </c>
      <c r="L116" s="24">
        <f t="shared" si="9"/>
        <v>56</v>
      </c>
      <c r="M116" s="24">
        <f t="shared" si="9"/>
        <v>83.5</v>
      </c>
      <c r="N116" s="24">
        <f t="shared" si="9"/>
        <v>76</v>
      </c>
      <c r="O116" s="24"/>
      <c r="P116" s="24"/>
      <c r="Q116" s="24"/>
      <c r="R116" s="57">
        <f>SUM(R3:R114)</f>
        <v>550</v>
      </c>
      <c r="S116" s="58"/>
      <c r="T116" s="73"/>
    </row>
    <row r="117" spans="1:33" x14ac:dyDescent="0.25">
      <c r="A117" s="59"/>
      <c r="B117" s="25"/>
      <c r="C117" s="25"/>
      <c r="D117" s="25"/>
      <c r="E117" s="25"/>
      <c r="F117" s="25"/>
      <c r="G117" s="25"/>
      <c r="H117" s="120">
        <f>H116/R116</f>
        <v>0.19636363636363635</v>
      </c>
      <c r="I117" s="120">
        <f>I116/R116</f>
        <v>0.14181818181818182</v>
      </c>
      <c r="J117" s="120">
        <f>J116/R116</f>
        <v>0.19</v>
      </c>
      <c r="K117" s="120">
        <f>K116/R116</f>
        <v>8.1818181818181818E-2</v>
      </c>
      <c r="L117" s="120">
        <f>L116/R116</f>
        <v>0.10181818181818182</v>
      </c>
      <c r="M117" s="120">
        <f>M116/R116</f>
        <v>0.15181818181818182</v>
      </c>
      <c r="N117" s="120">
        <f>N116/R116</f>
        <v>0.13818181818181818</v>
      </c>
      <c r="O117" s="60"/>
      <c r="P117" s="60"/>
      <c r="Q117" s="120"/>
      <c r="R117" s="61">
        <f>R116/R116*100</f>
        <v>100</v>
      </c>
      <c r="S117" s="62"/>
      <c r="T117" s="73"/>
    </row>
    <row r="118" spans="1:33" x14ac:dyDescent="0.25">
      <c r="S118">
        <f>MIN(S3:S114)</f>
        <v>35.714285714285715</v>
      </c>
      <c r="T118" s="73"/>
    </row>
    <row r="119" spans="1:33" x14ac:dyDescent="0.25">
      <c r="S119">
        <f>MAX(S4:S114)</f>
        <v>100</v>
      </c>
      <c r="T119" s="73"/>
    </row>
    <row r="120" spans="1:33" x14ac:dyDescent="0.25">
      <c r="T120" s="73"/>
    </row>
    <row r="121" spans="1:33" x14ac:dyDescent="0.25">
      <c r="T121" s="73"/>
    </row>
    <row r="122" spans="1:33" x14ac:dyDescent="0.25">
      <c r="T122" s="73"/>
    </row>
    <row r="123" spans="1:33" x14ac:dyDescent="0.25">
      <c r="T123" s="73"/>
    </row>
    <row r="124" spans="1:33" x14ac:dyDescent="0.25">
      <c r="T124" s="73"/>
    </row>
    <row r="125" spans="1:33" x14ac:dyDescent="0.25">
      <c r="T125" s="73"/>
    </row>
    <row r="126" spans="1:33" x14ac:dyDescent="0.25">
      <c r="T126" s="73"/>
    </row>
    <row r="127" spans="1:33" x14ac:dyDescent="0.25">
      <c r="T127" s="73"/>
    </row>
    <row r="128" spans="1:33" x14ac:dyDescent="0.25">
      <c r="T128" s="73"/>
    </row>
    <row r="129" spans="20:29" x14ac:dyDescent="0.25">
      <c r="T129" s="73"/>
    </row>
    <row r="130" spans="20:29" x14ac:dyDescent="0.25">
      <c r="T130" s="73"/>
      <c r="V130" s="7"/>
      <c r="W130" s="7"/>
      <c r="X130" s="7"/>
      <c r="Y130" s="7"/>
      <c r="Z130" s="7"/>
      <c r="AA130" s="7"/>
      <c r="AB130" s="7"/>
      <c r="AC130" s="7"/>
    </row>
    <row r="131" spans="20:29" x14ac:dyDescent="0.25">
      <c r="T131" s="73"/>
      <c r="V131" s="7"/>
      <c r="W131" s="7"/>
      <c r="X131" s="7"/>
      <c r="Y131" s="7"/>
      <c r="Z131" s="7"/>
      <c r="AA131" s="7"/>
      <c r="AB131" s="7"/>
      <c r="AC131" s="7"/>
    </row>
    <row r="132" spans="20:29" x14ac:dyDescent="0.25">
      <c r="T132" s="74"/>
      <c r="U132" s="7"/>
      <c r="V132" s="7"/>
      <c r="W132" s="7"/>
      <c r="X132" s="7"/>
      <c r="Y132" s="7"/>
      <c r="Z132" s="7"/>
      <c r="AA132" s="7"/>
      <c r="AB132" s="7"/>
      <c r="AC132" s="7"/>
    </row>
    <row r="133" spans="20:29" x14ac:dyDescent="0.25">
      <c r="T133" s="75"/>
      <c r="U133" s="7"/>
    </row>
    <row r="134" spans="20:29" x14ac:dyDescent="0.25">
      <c r="T134" s="7"/>
      <c r="U134" s="7"/>
    </row>
  </sheetData>
  <autoFilter ref="A1:S117" xr:uid="{00000000-0009-0000-0000-000003000000}"/>
  <mergeCells count="34">
    <mergeCell ref="V3:X3"/>
    <mergeCell ref="Y3:AB3"/>
    <mergeCell ref="F59:F60"/>
    <mergeCell ref="F62:F64"/>
    <mergeCell ref="F69:F71"/>
    <mergeCell ref="F26:F27"/>
    <mergeCell ref="F31:F32"/>
    <mergeCell ref="F36:F37"/>
    <mergeCell ref="F39:F43"/>
    <mergeCell ref="F45:F47"/>
    <mergeCell ref="F48:F51"/>
    <mergeCell ref="F55:F57"/>
    <mergeCell ref="A1:A2"/>
    <mergeCell ref="B1:B2"/>
    <mergeCell ref="C1:C2"/>
    <mergeCell ref="D1:D2"/>
    <mergeCell ref="E1:E2"/>
    <mergeCell ref="S1:S2"/>
    <mergeCell ref="F3:F5"/>
    <mergeCell ref="F7:F9"/>
    <mergeCell ref="F10:F12"/>
    <mergeCell ref="F13:F14"/>
    <mergeCell ref="F109:F110"/>
    <mergeCell ref="F1:F2"/>
    <mergeCell ref="F22:F23"/>
    <mergeCell ref="G1:G2"/>
    <mergeCell ref="R1:R2"/>
    <mergeCell ref="F16:F17"/>
    <mergeCell ref="F18:F20"/>
    <mergeCell ref="F107:F108"/>
    <mergeCell ref="F97:F98"/>
    <mergeCell ref="F104:F105"/>
    <mergeCell ref="F53:F54"/>
    <mergeCell ref="F90:F95"/>
  </mergeCells>
  <phoneticPr fontId="17" type="noConversion"/>
  <hyperlinks>
    <hyperlink ref="B7" location="'Initial Search'!A6" display="'Initial Search'!A6" xr:uid="{F5BA4402-67AC-4E77-AB0A-79F94C91F469}"/>
    <hyperlink ref="B6" location="'Initial Search'!A4" display="'Initial Search'!A4" xr:uid="{2FEF6543-BBA2-4142-B2A3-E494607A6458}"/>
    <hyperlink ref="B4" location="'Initial Search'!A3" display="'Initial Search'!A3" xr:uid="{FE964429-8823-496D-B1B3-B6BB25075F15}"/>
    <hyperlink ref="B3" location="'Initial Search'!A90" display="'Initial Search'!A90" xr:uid="{1454AA95-F570-4EBE-A8F9-16B51B5E36C8}"/>
    <hyperlink ref="B8" location="'Initial Search'!A113" display="'Initial Search'!A113" xr:uid="{8180A6D7-9954-40CF-89B6-6C8BDCD61824}"/>
    <hyperlink ref="B9" location="'Initial Search'!A148" display="'Initial Search'!A148" xr:uid="{743722FE-E07F-46B2-89D8-E65D63A90DDD}"/>
    <hyperlink ref="B10" location="'Initial Search'!A8" display="'Initial Search'!A8" xr:uid="{882E6B0B-A1B4-4A36-86F8-1823B7121453}"/>
    <hyperlink ref="B5" location="'Initial Search'!A171" display="'Initial Search'!A171" xr:uid="{96166A89-B2F4-44FD-B993-15BB510E78E5}"/>
    <hyperlink ref="B11:B13" location="'Initial Search'!A8" display="'Initial Search'!A8" xr:uid="{69E111A5-021C-4223-BD82-8EC19F4C9CFF}"/>
    <hyperlink ref="B11" location="'Initial Search'!A14" display="'Initial Search'!A14" xr:uid="{B7635CA1-A64C-491E-8C8C-228A7A1E3BA7}"/>
    <hyperlink ref="B12" location="'Initial Search'!A86" display="'Initial Search'!A86" xr:uid="{DA6F06AB-B715-4529-8075-B5405A67EFDB}"/>
    <hyperlink ref="B13" location="'Initial Search'!A10" display="'Initial Search'!A10" xr:uid="{75063C26-E74B-4B61-83D2-1FE1236EFF4A}"/>
    <hyperlink ref="B14:B15" location="'Initial Search'!A8" display="'Initial Search'!A8" xr:uid="{B4D3CBE3-FB9F-4A2E-91CC-C877464D6C5E}"/>
    <hyperlink ref="B14" location="'Initial Search'!A172" display="'Initial Search'!A172" xr:uid="{796E746D-1724-4E83-98B8-8B2DECA08357}"/>
    <hyperlink ref="B15" location="'Initial Search'!A11" display="'Initial Search'!A11" xr:uid="{69EFEBA8-BE05-4EB2-A5BB-1634C6A8FD9B}"/>
    <hyperlink ref="B16:B17" location="'Initial Search'!A91" display="'Initial Search'!A91" xr:uid="{2D53FA39-FE44-4C61-A5AD-AC11912B1F26}"/>
    <hyperlink ref="B16" location="'Initial Search'!A104" display="'Initial Search'!A104" xr:uid="{8B23D204-87D8-44BB-BE31-E0C977ED4AA7}"/>
    <hyperlink ref="B17" location="'Initial Search'!A235" display="'Initial Search'!A235" xr:uid="{17ED4056-0E1C-4AC3-B5AB-51B690C8ED33}"/>
    <hyperlink ref="B18:B20" location="'Initial Search'!A15" display="'Initial Search'!A15" xr:uid="{0F1C2CB6-A11C-4385-A61A-7294515ACEFA}"/>
    <hyperlink ref="B18" location="'Initial Search'!A224" display="'Initial Search'!A224" xr:uid="{F2F8BA37-B418-443A-BE02-7ED58AB33585}"/>
    <hyperlink ref="B19" location="'Initial Search'!A239" display="'Initial Search'!A239" xr:uid="{CCC90035-C6E4-495B-AB5C-11287980F0F6}"/>
    <hyperlink ref="B20" location="'Initial Search'!A256" display="'Initial Search'!A256" xr:uid="{1D14AE1F-E94E-47E3-8802-653E7E04C196}"/>
    <hyperlink ref="B21" location="'Initial Search'!A17" display="'Initial Search'!A17" xr:uid="{4640554B-162F-4DE4-815A-2452B018A4A6}"/>
    <hyperlink ref="B22:B23" location="'Initial Search'!A17" display="'Initial Search'!A17" xr:uid="{263F55B0-E48A-4BAC-A388-DD1DB009EEC1}"/>
    <hyperlink ref="B22" location="'Initial Search'!A30" display="'Initial Search'!A30" xr:uid="{B23707C4-DCDD-421D-8FFC-1C2898AEC17A}"/>
    <hyperlink ref="B23" location="'Initial Search'!A107" display="'Initial Search'!A107" xr:uid="{77C13E1D-A7AE-42D3-A3F7-018AEA4B197D}"/>
    <hyperlink ref="B24" location="'Initial Search'!A18" display="'Initial Search'!A18" xr:uid="{82CDA7ED-A668-4C4E-8CDF-CD0BDF3C596F}"/>
    <hyperlink ref="B25" location="'Initial Search'!A19" display="'Initial Search'!A19" xr:uid="{CCB8B6EB-1029-4369-AE4A-F654DA979147}"/>
    <hyperlink ref="B26:B29" location="'Initial Search'!A18" display="'Initial Search'!A18" xr:uid="{FF43B8E4-0389-4521-A8CD-BC30BE70CB06}"/>
    <hyperlink ref="B30" location="'Initial Search'!A220" display="'Initial Search'!A220" xr:uid="{3D55E331-A2D5-40E9-92AE-5FB362BC4B86}"/>
    <hyperlink ref="B26" location="'Initial Search'!A130" display="'Initial Search'!A130" xr:uid="{E534C7BA-E39D-48F1-96C5-F3760C0ECEB3}"/>
    <hyperlink ref="B27" location="'Initial Search'!A261" display="'Initial Search'!A261" xr:uid="{D1455BEA-2306-43CB-8CE3-8309BD270988}"/>
    <hyperlink ref="B28" location="'Initial Search'!A20" display="'Initial Search'!A20" xr:uid="{22D8B927-E892-445C-99F3-758FCB566D99}"/>
    <hyperlink ref="B29" location="'Initial Search'!A205" display="'Initial Search'!A205" xr:uid="{A3B66139-E938-4C17-A1F9-FDBCBDFC218E}"/>
    <hyperlink ref="B32" location="'Initial Search'!A40" display="'Initial Search'!A40" xr:uid="{3814A3FE-7186-4E54-92EE-E65DB744ACB9}"/>
    <hyperlink ref="B33" location="'Initial Search'!A63" display="'Initial Search'!A63" xr:uid="{84FEEAC2-9BE1-4F2E-BDCF-B60DC67820A8}"/>
    <hyperlink ref="B34" location="'Initial Search'!A177" display="'Initial Search'!A177" xr:uid="{7CE8E90C-B823-4ACC-9FB8-7E5049597B27}"/>
    <hyperlink ref="B35" location="'Initial Search'!A75" display="'Initial Search'!A75" xr:uid="{967C4683-CFA5-4DA7-B15E-6C4E2821214D}"/>
    <hyperlink ref="B36" location="'Initial Search'!A102" display="'Initial Search'!A102" xr:uid="{3C030481-3EC0-497A-9F84-911E7B19700A}"/>
    <hyperlink ref="B38" location="'Initial Search'!A106" display="'Initial Search'!A106" xr:uid="{E8C53C97-E189-4D31-B5A6-173F64122788}"/>
    <hyperlink ref="B41" location="'Initial Search'!A218" display="'Initial Search'!A218" xr:uid="{062230B5-4BC8-4A58-973B-2B738D6393B8}"/>
    <hyperlink ref="B40" location="'Initial Search'!A160" display="'Initial Search'!A160" xr:uid="{377B4683-403B-4312-B17B-D090F8C7D928}"/>
    <hyperlink ref="B39" location="'Initial Search'!A150" display="'Initial Search'!A150" xr:uid="{78432EC3-FC84-44D1-98B0-BE15C2224DFA}"/>
    <hyperlink ref="B37" location="'Initial Search'!A170" display="'Initial Search'!A170" xr:uid="{648E7BC9-9B77-4A6B-B5B7-EC9D47217839}"/>
    <hyperlink ref="B74" location="'Initial Search'!A284" display="'Initial Search'!A284" xr:uid="{4E647B3E-8477-46D8-87A3-F94622706BFF}"/>
    <hyperlink ref="B42" location="'Initial Search'!A256" display="'Initial Search'!A256" xr:uid="{8C61E3FD-0ADC-4539-B235-4FE752FAC9C7}"/>
    <hyperlink ref="B44" location="'Initial Search'!A218" display="'Initial Search'!A218" xr:uid="{A1835E94-2B98-4DD1-A819-1DD155D5D8CC}"/>
    <hyperlink ref="B45" location="'Initial Search'!A225" display="'Initial Search'!A225" xr:uid="{D03E3D6A-22DD-4B41-9B3C-0D1C801DA378}"/>
    <hyperlink ref="B47" location="'Initial Search'!A246" display="'Initial Search'!A246" xr:uid="{DD2237A5-B6DB-49BE-B452-16A656AC4666}"/>
    <hyperlink ref="B48" location="'Initial Search'!A115" display="'Initial Search'!A115" xr:uid="{7F1BDCA1-1A3C-4AC1-B00A-BBCBB6F1AF88}"/>
    <hyperlink ref="B49" location="'Initial Search'!A182" display="'Initial Search'!A182" xr:uid="{EF222C08-1792-45C5-B93C-C81D0D5C955C}"/>
    <hyperlink ref="B50" location="'Initial Search'!A221" display="'Initial Search'!A221" xr:uid="{E094C1D3-96FD-495E-B25B-35E24F6C1397}"/>
    <hyperlink ref="B51" location="'Initial Search'!A108" display="'Initial Search'!A108" xr:uid="{F8F90773-2F83-48FC-BDFC-913151140E76}"/>
    <hyperlink ref="B52" location="'Initial Search'!A229" display="'Initial Search'!A229" xr:uid="{92F186EE-CF47-41EE-91BA-146DACB8F56D}"/>
    <hyperlink ref="B54" location="'Initial Search'!A111" display="'Initial Search'!A111" xr:uid="{4C894CE0-8C89-4E65-A258-D989B90266DE}"/>
    <hyperlink ref="B55" location="'Initial Search'!A238" display="'Initial Search'!A238" xr:uid="{D6FA0B89-67FF-41F3-A55D-184A7419D858}"/>
    <hyperlink ref="B58" location="'Initial Search'!A131" display="'Initial Search'!A131" xr:uid="{EAEE7AC2-0497-49C7-8C40-5B43A065A430}"/>
    <hyperlink ref="B59" location="'Initial Search'!A154" display="'Initial Search'!A154" xr:uid="{4E5A0EBF-2357-4DCD-BEC8-AE9179526795}"/>
    <hyperlink ref="B61" location="'Initial Search'!A183" display="'Initial Search'!A183" xr:uid="{30683811-CE82-4473-98A9-16199C48EC16}"/>
    <hyperlink ref="B62" location="'Initial Search'!A184" display="'Initial Search'!A184" xr:uid="{66FE2455-DC90-47D3-ACAD-162DFD3521E1}"/>
    <hyperlink ref="B65" location="'Initial Search'!A199" display="'Initial Search'!A199" xr:uid="{A43AD347-37C2-4737-8C9B-7D417AFF3224}"/>
    <hyperlink ref="B66" location="'Initial Search'!A232" display="'Initial Search'!A232" xr:uid="{E5F30A09-A46F-4968-AC14-3CB3F6E21238}"/>
    <hyperlink ref="B67" location="'Initial Search'!A243" display="'Initial Search'!A243" xr:uid="{7F523D65-9CE5-4749-9B2C-3188A49CE0E0}"/>
    <hyperlink ref="B68" location="'Initial Search'!A251" display="'Initial Search'!A251" xr:uid="{F5FF7BCD-7DA0-47BA-B1D3-A40534F4A5EA}"/>
    <hyperlink ref="B70" location="'Initial Search'!A252" display="'Initial Search'!A252" xr:uid="{722C2313-CB12-41B4-81DB-8F3346C66299}"/>
    <hyperlink ref="B72" location="'Initial Search'!A277" display="'Initial Search'!A277" xr:uid="{D9D35B45-CE8D-4794-ADEB-E3DA061CF59A}"/>
    <hyperlink ref="B73" location="'Initial Search'!A280" display="'Initial Search'!A280" xr:uid="{07E046B4-AB77-4AB7-A3D3-10A37546CF2A}"/>
    <hyperlink ref="B46" location="'Initial Search'!A241" display="'Initial Search'!A241" xr:uid="{FB02471F-D743-407A-A304-2B035914EA99}"/>
    <hyperlink ref="B63" location="'Initial Search'!A283" display="'Initial Search'!A283" xr:uid="{EACA1E5D-6CDC-40AC-B4C4-7BCEC8EB17CF}"/>
    <hyperlink ref="B75" location="'Initial Search'!A164" display="'Initial Search'!A164" xr:uid="{5BF605A1-A11D-47C3-A557-081ACF1619DA}"/>
    <hyperlink ref="B56" location="'Initial Search'!A290" display="'Initial Search'!A290" xr:uid="{8D83FF35-575D-4E83-A4AD-4711C28770DC}"/>
    <hyperlink ref="B78" location="'Initial Search'!A291" display="'Initial Search'!A291" xr:uid="{2C1012BC-9A69-461D-92BB-AB7CF2453B04}"/>
    <hyperlink ref="B64" location="'Initial Search'!A286" display="'Initial Search'!A286" xr:uid="{B2CAC3ED-A451-485D-99BE-976155EFB925}"/>
    <hyperlink ref="B69" location="'Initial Search'!A202" display="'Initial Search'!A202" xr:uid="{8F51405C-149A-4FB3-87EE-6BB2ED52AA2C}"/>
    <hyperlink ref="B76" location="'Initial Search'!A98" display="'Initial Search'!A98" xr:uid="{6BF39AE6-699C-40F1-9BF1-AB6F94516562}"/>
    <hyperlink ref="B77" location="'Initial Search'!A204" display="'Initial Search'!A204" xr:uid="{965B934A-EAF2-4974-B17C-2E51F094421B}"/>
    <hyperlink ref="C77" location="'Feature Study'!A74" display="'Feature Study'!A74" xr:uid="{FE391E16-A800-403F-9E26-F764C194CC1D}"/>
    <hyperlink ref="C3" location="'Feature Study'!A6" display="'Feature Study'!A6" xr:uid="{70155544-E9E9-4F52-A6FE-946C6FBDEEB6}"/>
    <hyperlink ref="C4:C11" location="'Feature Study'!A6" display="'Feature Study'!A6" xr:uid="{74005362-F4FD-49A7-8E84-8AB106DCEC31}"/>
    <hyperlink ref="C6" location="'Feature Study'!A10" display="'Feature Study'!A10" xr:uid="{BE203A02-DF44-432E-9DE7-CAEBD905CC3F}"/>
    <hyperlink ref="C4" location="'Feature Study'!A7" display="'Feature Study'!A7" xr:uid="{88C82E1D-CBB6-4717-AEDB-00B88B165D82}"/>
    <hyperlink ref="C5" location="'Feature Study'!A8" display="'Feature Study'!A8" xr:uid="{686DCFC5-E69B-4BA5-AB8C-31C28B7C0440}"/>
    <hyperlink ref="C7" location="'Feature Study'!A11" display="'Feature Study'!A11" xr:uid="{1D8DF0DC-A584-4E98-AFBA-2B7266A2CFEA}"/>
    <hyperlink ref="C8" location="'Feature Study'!A13" display="'Feature Study'!A13" xr:uid="{7B41C887-D1F4-4F71-8E0E-813BFBCC5C79}"/>
    <hyperlink ref="C9" location="'Feature Study'!A14" display="'Feature Study'!A14" xr:uid="{D5C75396-DCDE-4472-B651-62007C9D7DF4}"/>
    <hyperlink ref="C10" location="'Feature Study'!A17" display="'Feature Study'!A17" xr:uid="{1D7CAE95-A595-4E75-9E73-3AAC3CFDC28E}"/>
    <hyperlink ref="C11" location="'Feature Study'!A18" display="'Feature Study'!A18" xr:uid="{9822240E-2D6A-4B8A-B5E2-E4ED8CBD8634}"/>
    <hyperlink ref="C12" location="'Feature Study'!A19" display="'Feature Study'!A19" xr:uid="{7D3CDB11-5D3A-44F7-8398-83B77A83EA3B}"/>
    <hyperlink ref="C56" location="'Feature Study'!A96" display="'Feature Study'!A96" xr:uid="{08FBAFB5-3988-4D98-A3BD-3EAF1D1EE938}"/>
    <hyperlink ref="C55" location="'Feature Study'!A95" display="'Feature Study'!A95" xr:uid="{4965E00C-32AE-4140-88C0-58147560C5D9}"/>
    <hyperlink ref="B80" location="'Initial Search'!A300" display="'Initial Search'!A300" xr:uid="{B3CA0AC5-AEE5-4EB7-9B34-2143D066E0BC}"/>
    <hyperlink ref="C78" location="'Feature Study'!A143" display="'Feature Study'!A143" xr:uid="{E7407C34-78B3-4EA6-8CB7-1D338EE7D0C3}"/>
    <hyperlink ref="B43" location="'Initial Search'!A293" display="'Initial Search'!A293" xr:uid="{4D17C7DC-9614-4631-8C85-4D5A3B1EB4EA}"/>
    <hyperlink ref="C43" location="'Feature Study'!A146" display="'Feature Study'!A146" xr:uid="{26AE3F27-3B23-414F-AD74-4B465D0A438D}"/>
    <hyperlink ref="C39" location="'Feature Study'!A66" display="'Feature Study'!A66" xr:uid="{BE231302-E9F1-4CE6-8832-2D616CD8E0EC}"/>
    <hyperlink ref="C40:C42" location="'Feature Study'!A66" display="'Feature Study'!A66" xr:uid="{003C512D-A784-4950-BAE8-B58C060BCD23}"/>
    <hyperlink ref="C40" location="'Feature Study'!A67" display="'Feature Study'!A67" xr:uid="{486405FA-38D3-4A48-A09C-D1D905C1F8D7}"/>
    <hyperlink ref="C41" location="'Feature Study'!A68" display="'Feature Study'!A68" xr:uid="{A1CE8E4E-A222-4336-BCAF-1FBB3B7148A1}"/>
    <hyperlink ref="C42" location="'Feature Study'!A70" display="'Feature Study'!A70" xr:uid="{50ECC9C0-D1B0-4444-AF21-CAADB9E847BE}"/>
    <hyperlink ref="B57" location="'Initial Search'!A298" display="'Initial Search'!A298" xr:uid="{E2A75268-2ED6-425A-833F-CF2DE75AB23E}"/>
    <hyperlink ref="C57" location="'Feature Study'!A150" display="'Feature Study'!A150" xr:uid="{EBECF84B-6F7F-4769-B163-F35E99410130}"/>
    <hyperlink ref="B71" location="'Initial Search'!A296" display="'Initial Search'!A296" xr:uid="{6F7C9F1D-FEB8-4BC9-8ED0-088A5A789D8D}"/>
    <hyperlink ref="C69" location="'Feature Study'!A129" display="'Feature Study'!A129" xr:uid="{55DB2F7D-54DE-42C8-894A-180A7764BD93}"/>
    <hyperlink ref="C70" location="'Feature Study'!A130" display="'Feature Study'!A130" xr:uid="{6767F61F-567B-44C4-91F8-3E8D5F590FE4}"/>
    <hyperlink ref="C71" location="'Feature Study'!A147" display="'Feature Study'!A147" xr:uid="{22C27462-D90E-4846-BE65-321D1465CC4A}"/>
    <hyperlink ref="B79" location="'Initial Search'!A299" display="'Initial Search'!A299" xr:uid="{6EF3E365-F68D-498B-8D56-E394209ACB43}"/>
    <hyperlink ref="C79" location="'Feature Study'!A149" display="'Feature Study'!A149" xr:uid="{8B2D66EA-9065-4EF4-B220-CD4A3AC149B9}"/>
    <hyperlink ref="B81" location="'Initial Search'!A301" display="'Initial Search'!A301" xr:uid="{79A84E11-B711-4E6B-BA8E-9A1F443CA75E}"/>
    <hyperlink ref="C80:C81" location="'Feature Study'!A149" display="'Feature Study'!A149" xr:uid="{0FD2B144-98A9-4825-8238-E4AF236D41DA}"/>
    <hyperlink ref="C80" location="'Feature Study'!A150" display="'Feature Study'!A150" xr:uid="{C6CE980B-1BBC-4B68-8337-DBD41728A9EA}"/>
    <hyperlink ref="C81" location="'Feature Study'!A151" display="'Feature Study'!A151" xr:uid="{EE64C3B5-47B7-48E8-8A94-7F2067ED38F8}"/>
    <hyperlink ref="B82" location="'Initial Search'!A302" display="'Initial Search'!A302" xr:uid="{63E852CF-5019-4089-94CE-09C6DCF7D740}"/>
    <hyperlink ref="C82" location="'Feature Study'!A152" display="'Feature Study'!A152" xr:uid="{F47C5775-3108-4B21-91AE-9B4A8EFF2435}"/>
    <hyperlink ref="C13" location="'Feature Study'!A21" display="'Feature Study'!A21" xr:uid="{38657FE5-5F9B-4BD2-8960-48AE4CE714BC}"/>
    <hyperlink ref="C14" location="'Feature Study'!A22" display="'Feature Study'!A22" xr:uid="{C4E0966A-D75B-4AF2-90DD-768CCC6B8770}"/>
    <hyperlink ref="C15:C17" location="'Feature Study'!A22" display="'Feature Study'!A22" xr:uid="{ED3AFF44-0E44-491F-8BB8-1E971D54D6FE}"/>
    <hyperlink ref="C15" location="'Feature Study'!A23" display="'Feature Study'!A23" xr:uid="{3578841A-303A-4B72-BE21-B1AFFD29EFBF}"/>
    <hyperlink ref="C16" location="'Feature Study'!A26" display="'Feature Study'!A26" xr:uid="{F0F907A5-8859-4B56-BBE4-EAC3555F896F}"/>
    <hyperlink ref="C17" location="'Feature Study'!A29" display="'Feature Study'!A29" xr:uid="{2A8BB4C6-5768-437C-B936-758CBB27D7B0}"/>
    <hyperlink ref="C18:C20" location="'Feature Study'!A22" display="'Feature Study'!A22" xr:uid="{A2C90DFC-B51B-459A-AA5C-A9EAC33168DE}"/>
    <hyperlink ref="C18" location="'Feature Study'!A32" display="'Feature Study'!A32" xr:uid="{2F4E26C0-FF0A-44DE-AD53-F1AC4531D484}"/>
    <hyperlink ref="C19" location="'Feature Study'!A33" display="'Feature Study'!A33" xr:uid="{4C6A9564-440A-4A61-833C-F588A3083995}"/>
    <hyperlink ref="C20" location="'Feature Study'!A35" display="'Feature Study'!A35" xr:uid="{D5D5150E-29A2-41AA-84AC-6FCC2B1B0659}"/>
    <hyperlink ref="C21" location="'Feature Study'!A36" display="'Feature Study'!A36" xr:uid="{EA89976D-C3CD-475E-9532-0895D100A5B9}"/>
    <hyperlink ref="C22:C23" location="'Feature Study'!A36" display="'Feature Study'!A36" xr:uid="{C62B94D4-E6D6-4FC7-A65A-4D7D66958292}"/>
    <hyperlink ref="C23" location="'Feature Study'!A39" display="'Feature Study'!A39" xr:uid="{93AE7B07-5136-46E3-8DB9-B8D703C1CCF2}"/>
    <hyperlink ref="C22" location="'Feature Study'!A37" display="'Feature Study'!A37" xr:uid="{E6A80CC5-0B85-47F5-AD22-E7F5DFF27245}"/>
    <hyperlink ref="C24:C26" location="'Feature Study'!A36" display="'Feature Study'!A36" xr:uid="{EDD45588-85A4-473D-8357-FD88D2F5215E}"/>
    <hyperlink ref="C24" location="'Feature Study'!A40" display="'Feature Study'!A40" xr:uid="{CE3A9F82-06D3-4CF1-AEC3-3D5A6EF6E033}"/>
    <hyperlink ref="C25" location="'Feature Study'!A42" display="'Feature Study'!A42" xr:uid="{D2DF7C0C-2B2F-49C5-913B-1A7DE0215AED}"/>
    <hyperlink ref="C26" location="'Feature Study'!A44" display="'Feature Study'!A44" xr:uid="{5132893E-C066-4785-A401-EA2999341498}"/>
    <hyperlink ref="C27:C30" location="'Feature Study'!A36" display="'Feature Study'!A36" xr:uid="{1CA185B5-56E1-4458-9FDB-704023689AAD}"/>
    <hyperlink ref="C27" location="'Feature Study'!A45" display="'Feature Study'!A45" xr:uid="{0B3C30D4-9FF3-4EA5-BB35-B8FBBC825753}"/>
    <hyperlink ref="C28" location="'Feature Study'!A46" display="'Feature Study'!A46" xr:uid="{6996E12C-2FD2-4B9F-846C-1AFB3E8F86AE}"/>
    <hyperlink ref="C29" location="'Feature Study'!A47" display="'Feature Study'!A47" xr:uid="{7AB0DC83-1B62-4436-8D09-8708112F5504}"/>
    <hyperlink ref="C30" location="'Feature Study'!A50" display="'Feature Study'!A50" xr:uid="{89F2F0BB-0072-4183-8559-960FDEAF3E1A}"/>
    <hyperlink ref="C31:C33" location="'Feature Study'!A36" display="'Feature Study'!A36" xr:uid="{DDFB027B-CBDC-4C8C-BC12-84B20B5504CF}"/>
    <hyperlink ref="C31" location="'Feature Study'!A54" display="'Feature Study'!A54" xr:uid="{4778F373-802F-4763-A001-185B09587601}"/>
    <hyperlink ref="C32" location="'Feature Study'!A55" display="'Feature Study'!A55" xr:uid="{9325FF3D-6D92-4743-A069-60A737A3D8F7}"/>
    <hyperlink ref="C33" location="'Feature Study'!A57" display="'Feature Study'!A57" xr:uid="{F509B097-6CBC-4504-8098-7960DE37F139}"/>
    <hyperlink ref="C34:C36" location="'Feature Study'!A36" display="'Feature Study'!A36" xr:uid="{5CD377DA-75D7-4879-B1E3-D970400A56F6}"/>
    <hyperlink ref="C35" location="'Feature Study'!A60" display="'Feature Study'!A60" xr:uid="{F76B684D-C9E2-4C16-8CA9-B0BF8315C8D7}"/>
    <hyperlink ref="C34" location="'Feature Study'!A58" display="'Feature Study'!A58" xr:uid="{4D5917DA-967A-4F58-A1AB-28BE4C4D809F}"/>
    <hyperlink ref="C36" location="'Feature Study'!A63" display="'Feature Study'!A63" xr:uid="{0DD91E2E-26DA-45E3-842A-83C179ADC735}"/>
    <hyperlink ref="C37:C38" location="'Feature Study'!A36" display="'Feature Study'!A36" xr:uid="{4E936B25-28D4-4FD8-8A03-E3A765A08ABF}"/>
    <hyperlink ref="C37" location="'Feature Study'!A64" display="'Feature Study'!A64" xr:uid="{4499239B-E64C-4777-AD48-62ECCAD8B945}"/>
    <hyperlink ref="C38" location="'Feature Study'!A65" display="'Feature Study'!A65" xr:uid="{AB43C913-4590-4D3E-BAA1-E86BAAE3E947}"/>
    <hyperlink ref="C44" location="'Feature Study'!A71" display="'Feature Study'!A71" xr:uid="{CF12DE05-B3EE-48BD-A0F2-8B08CE98C7A5}"/>
    <hyperlink ref="C45:C47" location="'Feature Study'!A71" display="'Feature Study'!A71" xr:uid="{3283A6E0-06DF-4766-B089-3F2B2B8801B4}"/>
    <hyperlink ref="C47" location="'Feature Study'!A80" display="'Feature Study'!A80" xr:uid="{4E903537-842A-46BC-902D-B2575FDD2C8E}"/>
    <hyperlink ref="C48:C50" location="'Feature Study'!A71" display="'Feature Study'!A71" xr:uid="{26706C9D-BD5B-40CD-8C8B-7B31302AFCF2}"/>
    <hyperlink ref="C51" location="'Feature Study'!A89" display="'Feature Study'!A89" xr:uid="{833651E8-4EF8-453B-B82A-27EB0ED2EFFF}"/>
    <hyperlink ref="C48" location="'Feature Study'!A81" display="'Feature Study'!A81" xr:uid="{9CDDF145-AD12-476E-AC21-6C9A84343A1D}"/>
    <hyperlink ref="C49" location="'Feature Study'!A82" display="'Feature Study'!A82" xr:uid="{096ECD6A-4E58-4094-865D-CA402921A389}"/>
    <hyperlink ref="C50" location="'Feature Study'!A87" display="'Feature Study'!A87" xr:uid="{4CECE045-6358-4E00-87EA-067CA399A4B0}"/>
    <hyperlink ref="C76" location="'Feature Study'!A90" display="'Feature Study'!A90" xr:uid="{0B8C5696-34FB-41F5-8179-F8DA1ECEB81E}"/>
    <hyperlink ref="C52:C54" location="'Feature Study'!A89" display="'Feature Study'!A89" xr:uid="{3461CAD2-FE51-46B5-8F96-A52B374A4363}"/>
    <hyperlink ref="C52" location="'Feature Study'!A91" display="'Feature Study'!A91" xr:uid="{D05EB686-A923-4C32-A537-8C22FBF485F4}"/>
    <hyperlink ref="C54" location="'Feature Study'!A181" display="'Feature Study'!A181" xr:uid="{75D7E456-7DAB-4C6B-BE2F-93024E1E13B5}"/>
    <hyperlink ref="C58" location="'Feature Study'!A101" display="'Feature Study'!A101" xr:uid="{1AF0CFF8-E525-43AE-9807-E9AAE590F474}"/>
    <hyperlink ref="C59" location="'Feature Study'!A106" display="'Feature Study'!A106" xr:uid="{D7342515-D377-4249-97B9-A724B44396F0}"/>
    <hyperlink ref="C61" location="'Feature Study'!A109" display="'Feature Study'!A109" xr:uid="{2C54190F-6CB2-494F-A6E8-C17786467C90}"/>
    <hyperlink ref="C62" location="'Feature Study'!A110" display="'Feature Study'!A110" xr:uid="{049A822A-9C44-4A46-9889-49BD9262B2D0}"/>
    <hyperlink ref="C63" location="'Feature Study'!A116" display="'Feature Study'!A116" xr:uid="{30D4E54D-FAEF-41E9-B582-4B43F638BFE4}"/>
    <hyperlink ref="C64:C66" location="'Feature Study'!A102" display="'Feature Study'!A102" xr:uid="{0D41F40B-C14B-4731-8D33-3186554D5826}"/>
    <hyperlink ref="C64" location="'Feature Study'!A117" display="'Feature Study'!A117" xr:uid="{3D0FDC38-35CB-4A28-89F2-96A1D8358AFD}"/>
    <hyperlink ref="C65" location="'Feature Study'!A118" display="'Feature Study'!A118" xr:uid="{90CEE45C-C9D3-4AD1-A3A7-2DA579E8CCA6}"/>
    <hyperlink ref="C67:C68" location="'Feature Study'!A102" display="'Feature Study'!A102" xr:uid="{912B585E-FFDD-4F40-8D28-054B65922AE9}"/>
    <hyperlink ref="C66" location="'Feature Study'!A124" display="'Feature Study'!A124" xr:uid="{1B47E3B0-2E9B-497C-B469-9D78F8E2076C}"/>
    <hyperlink ref="C67" location="'Feature Study'!A126" display="'Feature Study'!A126" xr:uid="{06888485-849D-4FE1-8660-9CCD247D14A9}"/>
    <hyperlink ref="C68" location="'Feature Study'!A128" display="'Feature Study'!A128" xr:uid="{00320BB3-9E07-4F1F-8003-3254E3716A71}"/>
    <hyperlink ref="C72" location="'Feature Study'!A139" display="'Feature Study'!A139" xr:uid="{E5AC947A-239F-4BF1-BC8E-8BC4B278BD4C}"/>
    <hyperlink ref="C73:C75" location="'Feature Study'!A147" display="'Feature Study'!A147" xr:uid="{9E0BC740-33CA-4B65-8D77-D9E79F918391}"/>
    <hyperlink ref="C73" location="'Feature Study'!A140" display="'Feature Study'!A140" xr:uid="{44059701-7E7C-42C5-B5A0-A39DC750A624}"/>
    <hyperlink ref="C74" location="'Feature Study'!A141" display="'Feature Study'!A141" xr:uid="{8992698E-118D-4D17-977E-D27F165073F9}"/>
    <hyperlink ref="C75" location="'Feature Study'!A142" display="'Feature Study'!A142" xr:uid="{69298002-822D-45DF-A270-C31EEFB1B981}"/>
    <hyperlink ref="C45" location="'Feature Study'!A72" display="'Feature Study'!A72" xr:uid="{E93CFEA2-EBA8-4BEB-B4D4-F0B2C85772FD}"/>
    <hyperlink ref="C46" location="'Feature Study'!A73" display="'Feature Study'!A73" xr:uid="{FF6D8B91-CCDB-4739-A475-2C5BD426A11C}"/>
    <hyperlink ref="C60" location="'Feature Study'!A153" display="'Feature Study'!A153" xr:uid="{84EF912C-DC7D-42B7-ABC8-2A0358346398}"/>
    <hyperlink ref="B60" location="'Initial Search'!A303" display="'Initial Search'!A303" xr:uid="{01D80FBB-D25C-4D86-8090-BF59185255D3}"/>
    <hyperlink ref="B83" location="'Initial Search'!A271" display="'Initial Search'!A271" xr:uid="{319C884D-62BE-4713-998F-A41CBEE71B7F}"/>
    <hyperlink ref="C83" location="'Feature Study'!A154" display="'Feature Study'!A154" xr:uid="{C0E69DC9-D5B4-4A06-82A7-33B50261718C}"/>
    <hyperlink ref="C84:C85" location="'Feature Study'!A152" display="'Feature Study'!A152" xr:uid="{48073F84-D70C-4863-A72F-7627CD4E8FE1}"/>
    <hyperlink ref="B84:B85" location="'Initial Search'!A302" display="'Initial Search'!A302" xr:uid="{ACA1B315-2E4E-4E8B-8A3F-B5AA82DBA2BC}"/>
    <hyperlink ref="C84" location="'Feature Study'!A155" display="'Feature Study'!A155" xr:uid="{AFF974B0-FA04-4D1B-B04B-6054E294A557}"/>
    <hyperlink ref="C85" location="'Feature Study'!A156" display="'Feature Study'!A156" xr:uid="{543B24AE-161E-45A2-B82C-1F82AE1C5DFC}"/>
    <hyperlink ref="B84" location="'Initial Search'!A312" display="'Initial Search'!A312" xr:uid="{838B4F9F-8A0A-4F45-AE54-7A900EA8C711}"/>
    <hyperlink ref="B85" location="'Initial Search'!A313" display="'Initial Search'!A313" xr:uid="{59D64A5B-26D7-4F6F-8586-3F57140D8409}"/>
    <hyperlink ref="B31" location="'Initial Search'!A39" display="'Initial Search'!A39" xr:uid="{5BFF701E-949F-435B-BD56-F4806BD015E0}"/>
    <hyperlink ref="B86:B107" location="'Initial Search'!A302" display="'Initial Search'!A302" xr:uid="{8EA2D9DC-E8DF-4AE6-9B30-8BD62D03385C}"/>
    <hyperlink ref="C86" location="'Feature Study'!A77" display="'Feature Study'!A77" xr:uid="{7794AF00-FB4D-4964-A6A5-950EC0D439FB}"/>
    <hyperlink ref="C107" location="'Feature Study'!A169" display="'Feature Study'!A169" xr:uid="{505CE0E6-248F-449D-A7DB-7B69914FDC71}"/>
    <hyperlink ref="B87" location="'Initial Search'!A260" display="'Initial Search'!A260" xr:uid="{D5DC2DC9-8719-47FD-A69F-C55A9251B459}"/>
    <hyperlink ref="C87" location="'Feature Study'!A133" display="'Feature Study'!A133" xr:uid="{CB3F7E07-4092-4CB2-876E-AF66AA1A5F11}"/>
    <hyperlink ref="B88" location="'Initial Search'!A126" display="'Initial Search'!A126" xr:uid="{36123C3B-10A4-4498-8D9E-9C163F3A9097}"/>
    <hyperlink ref="C88" location="'Feature Study'!A159" display="'Feature Study'!A159" xr:uid="{A7FEF42E-21CD-42A3-969D-DFAA85CEF679}"/>
    <hyperlink ref="B89" location="'Initial Search'!A134" display="'Initial Search'!A134" xr:uid="{5BFCA30A-8D47-4EE3-8AD9-34F6EBC4999C}"/>
    <hyperlink ref="C89" location="'Feature Study'!A102" display="'Feature Study'!A102" xr:uid="{7742E184-FE49-4393-B50D-BB78535C4D6A}"/>
    <hyperlink ref="B90" location="'Initial Search'!A87" display="'Initial Search'!A87" xr:uid="{2A88B50F-2A66-4BF8-98CC-B01DD3AF7B4C}"/>
    <hyperlink ref="B94" location="'Initial Search'!A355" display="'Initial Search'!A355" xr:uid="{796F7434-6E65-4CBF-B479-55DF8DD208DB}"/>
    <hyperlink ref="C90" location="'Feature Study'!A83" display="'Feature Study'!A83" xr:uid="{7DEF9384-F554-473A-B817-AF2E6C28E8A1}"/>
    <hyperlink ref="C94" location="'Feature Study'!A175" display="'Feature Study'!A175" xr:uid="{D4EFF9EF-4782-439F-9EFE-65B9F8DB135A}"/>
    <hyperlink ref="B96" location="'Initial Search'!A151" display="'Initial Search'!A151" xr:uid="{4465D0CD-D793-4AA2-B1DA-E3E8064D5068}"/>
    <hyperlink ref="C96" location="'Feature Study'!A105" display="'Feature Study'!A105" xr:uid="{D2AD41C6-43DC-4C07-8A45-D2ED5BE59FDF}"/>
    <hyperlink ref="B97" location="'Initial Search'!A248" display="'Initial Search'!A248" xr:uid="{2455CFEF-B5AD-4182-9207-BD1E30106BCD}"/>
    <hyperlink ref="C97" location="'Feature Study'!A161" display="'Feature Study'!A161" xr:uid="{996B8A22-B24C-404F-BCF9-992A8C4620E8}"/>
    <hyperlink ref="B99" location="'Initial Search'!A268" display="'Initial Search'!A268" xr:uid="{13A2174A-BF68-44D0-AD02-14575EE7C486}"/>
    <hyperlink ref="C99" location="'Feature Study'!A137" display="'Feature Study'!A137" xr:uid="{185FC803-6816-4EF2-B921-274C05EFBF52}"/>
    <hyperlink ref="B100" location="'Initial Search'!A331" display="'Initial Search'!A331" xr:uid="{5F06EE6B-5673-4ADC-85E6-6A5982FCCDC3}"/>
    <hyperlink ref="C100" location="'Feature Study'!A137" display="'Feature Study'!A137" xr:uid="{0334FC2E-91FA-4B17-A5A9-867FA45B3F73}"/>
    <hyperlink ref="B101" location="'Initial Search'!A322" display="'Initial Search'!A322" xr:uid="{2CB888A9-246C-4CAB-B771-435B7D4C24CA}"/>
    <hyperlink ref="C101" location="'Feature Study'!A165" display="'Feature Study'!A165" xr:uid="{DD5E21BC-759E-4562-B936-C6155E696B29}"/>
    <hyperlink ref="B102" location="'Initial Search'!A320" display="'Initial Search'!A320" xr:uid="{6C1791BE-13A0-4386-9587-B0176FCAA743}"/>
    <hyperlink ref="C102" location="'Feature Study'!A163" display="'Feature Study'!A163" xr:uid="{E88AAA26-A7CF-4FAB-8015-F242A216D5B0}"/>
    <hyperlink ref="B103" location="'Initial Search'!A321" display="'Initial Search'!A321" xr:uid="{4B990868-8A32-4A87-9689-47B61D7B12ED}"/>
    <hyperlink ref="C103" location="'Feature Study'!A164" display="'Feature Study'!A164" xr:uid="{986A1657-B2F9-47E4-9773-DBC067CDEF9B}"/>
    <hyperlink ref="B104" location="'Initial Search'!A326" display="'Initial Search'!A326" xr:uid="{5791E236-1714-4CF5-83C2-C60963AC0FBA}"/>
    <hyperlink ref="B105" location="'Initial Search'!A329" display="'Initial Search'!A329" xr:uid="{D4C59668-227F-42E3-9DF0-04EE4D865E6F}"/>
    <hyperlink ref="B106" location="'Initial Search'!A335" display="'Initial Search'!A335" xr:uid="{0F8DE479-9212-48C5-BEF1-BA7D1A76C2C5}"/>
    <hyperlink ref="C104" location="'Feature Study'!A166" display="'Feature Study'!A166" xr:uid="{4A80FBBE-789C-4FE6-8B23-6F21071F7341}"/>
    <hyperlink ref="C105" location="'Feature Study'!A167" display="'Feature Study'!A167" xr:uid="{C01E2DE5-5E09-4886-ACA0-00CFBCB6B4EC}"/>
    <hyperlink ref="C106" location="'Feature Study'!A168" display="'Feature Study'!A168" xr:uid="{9BC479F2-C0FE-4AF5-BFD0-10805CC5C961}"/>
    <hyperlink ref="B107" location="'Initial Search'!A295" display="'Initial Search'!A295" xr:uid="{40149AAF-9E00-45E2-9755-FAE479FB14D7}"/>
    <hyperlink ref="B109" location="'Initial Search'!A337" display="'Initial Search'!A337" xr:uid="{86E0BA98-6EA9-49A7-9634-CB404C65ED33}"/>
    <hyperlink ref="C109" location="'Feature Study'!A170" display="'Feature Study'!A170" xr:uid="{CA1BA1E5-6A55-41ED-A29C-C43CCDB3A9DA}"/>
    <hyperlink ref="B98" location="'Initial Search'!A340" display="'Initial Search'!A340" xr:uid="{D4F4C743-03E6-4FC3-B890-BBC643AAC6D9}"/>
    <hyperlink ref="C98" location="'Feature Study'!A161" display="'Feature Study'!A161" xr:uid="{9645B7FE-73FA-4AC3-8641-6132719F94B2}"/>
    <hyperlink ref="B91" location="'Initial Search'!A135" display="'Initial Search'!A135" xr:uid="{7B2EDA6B-C379-433A-9EA2-14A52695ECE2}"/>
    <hyperlink ref="C91" location="'Feature Study'!A160" display="'Feature Study'!A160" xr:uid="{DCB95BD7-F1C1-4ACA-9FAB-11E31152DA2C}"/>
    <hyperlink ref="B92" location="'Initial Search'!A338" display="'Initial Search'!A338" xr:uid="{D2121CBD-DBF6-474A-84B1-FF821C92D73A}"/>
    <hyperlink ref="B93" location="'Initial Search'!A353" display="'Initial Search'!A353" xr:uid="{1EF7AA36-6D38-4439-9085-392E60CD6A21}"/>
    <hyperlink ref="C92" location="'Feature Study'!A173" display="'Feature Study'!A173" xr:uid="{85770B0C-8BC9-475A-AB28-10752A00202C}"/>
    <hyperlink ref="C93" location="'Feature Study'!A174" display="'Feature Study'!A174" xr:uid="{A1933C4D-AEDA-4C58-A715-540B6529A35B}"/>
    <hyperlink ref="B108" location="'Initial Search'!A339" display="'Initial Search'!A339" xr:uid="{B7B00465-8B8E-4CB0-AED4-27D985C47042}"/>
    <hyperlink ref="C108" location="'Feature Study'!A171" display="'Feature Study'!A171" xr:uid="{5048B63B-D88D-4BAC-A4B1-F9EA5E8F6571}"/>
    <hyperlink ref="B111" location="'Initial Search'!A337" display="'Initial Search'!A337" xr:uid="{A49B47DE-C445-4242-843B-64BB5204E163}"/>
    <hyperlink ref="C111" location="'Feature Study'!A176" display="'Feature Study'!A176" xr:uid="{D1A2D076-8AE9-4132-A761-1DF2922ECEED}"/>
    <hyperlink ref="B112" location="'Initial Search'!A344" display="'Initial Search'!A344" xr:uid="{B262C9AD-08C9-41D5-9DA8-5E065AFD39BF}"/>
    <hyperlink ref="C112" location="'Feature Study'!A177" display="'Feature Study'!A177" xr:uid="{DA8AEAF4-96DE-4EA3-A785-DB61D6CF5012}"/>
    <hyperlink ref="B113" location="'Initial Search'!A346" display="'Initial Search'!A346" xr:uid="{ED83BE56-1ED0-4B26-A440-65D1655E5072}"/>
    <hyperlink ref="C113" location="'Feature Study'!A178" display="'Feature Study'!A178" xr:uid="{36EFAED1-D722-4F06-B9B3-ABE32174F5EE}"/>
    <hyperlink ref="B110" location="'Initial Search'!A349" display="'Initial Search'!A349" xr:uid="{38036AD8-858D-44BF-9EEC-F4DCA84114CB}"/>
    <hyperlink ref="C110" location="'Feature Study'!A170" display="'Feature Study'!A170" xr:uid="{EB06E06A-812A-4023-A7D3-1880E80034B9}"/>
    <hyperlink ref="B53" location="'Initial Search'!A111" display="'Initial Search'!A111" xr:uid="{8C5F524F-28ED-4E0B-8B50-CBC874446906}"/>
    <hyperlink ref="C53" location="'Feature Study'!A93" display="'Feature Study'!A93" xr:uid="{8C1187DE-CEBE-4F99-8C0E-86BF6BE43A14}"/>
    <hyperlink ref="B114" location="'Initial Search'!A368" display="'Initial Search'!A368" xr:uid="{FB07A5F0-BABF-44F8-8786-E97289A27C7B}"/>
    <hyperlink ref="C114" location="'Feature Study'!A182" display="'Feature Study'!A182" xr:uid="{54BFA302-5B37-4505-9DCC-51F6DD91511A}"/>
    <hyperlink ref="B95" location="'Initial Search'!A370" display="'Initial Search'!A370" xr:uid="{6FECACC4-034F-4766-8738-41544CDC28EE}"/>
    <hyperlink ref="C95" location="'Feature Study'!A183" display="'Feature Study'!A183" xr:uid="{D4CB0B10-DBAA-4229-A7CF-7C0B1692D169}"/>
    <hyperlink ref="B86" location="'Initial Search'!A83" display="'Initial Search'!A83" xr:uid="{95EE463A-4B33-4F4B-A4D3-133379EE8907}"/>
  </hyperlinks>
  <pageMargins left="0.7" right="0.7" top="0.75" bottom="0.75" header="0.3" footer="0.3"/>
  <pageSetup orientation="portrait" r:id="rId1"/>
  <ignoredErrors>
    <ignoredError sqref="C99"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EC9-B36D-4A5E-BFB9-079233F2B6DA}">
  <dimension ref="A1:FQ91"/>
  <sheetViews>
    <sheetView zoomScale="90" zoomScaleNormal="90" workbookViewId="0">
      <pane xSplit="2" ySplit="2" topLeftCell="AY3" activePane="bottomRight" state="frozen"/>
      <selection pane="topRight" activeCell="B1" sqref="B1"/>
      <selection pane="bottomLeft" activeCell="A3" sqref="A3"/>
      <selection pane="bottomRight" activeCell="BL21" sqref="BL21"/>
    </sheetView>
  </sheetViews>
  <sheetFormatPr defaultRowHeight="15" x14ac:dyDescent="0.25"/>
  <cols>
    <col min="1" max="1" width="11" customWidth="1"/>
    <col min="2" max="2" width="30" customWidth="1"/>
    <col min="3" max="3" width="10.5703125" customWidth="1"/>
    <col min="7" max="7" width="11.140625" customWidth="1"/>
    <col min="8" max="8" width="9.85546875" customWidth="1"/>
    <col min="9" max="9" width="9.7109375" bestFit="1" customWidth="1"/>
    <col min="10" max="10" width="9.140625" hidden="1" customWidth="1"/>
    <col min="11" max="11" width="11.42578125" style="264" customWidth="1"/>
    <col min="12" max="12" width="10.85546875" hidden="1" customWidth="1"/>
    <col min="13" max="13" width="19" style="264" customWidth="1"/>
    <col min="14" max="14" width="7.85546875" customWidth="1"/>
    <col min="15" max="15" width="12.5703125" customWidth="1"/>
    <col min="16" max="16" width="13" customWidth="1"/>
    <col min="17" max="17" width="14.85546875" customWidth="1"/>
    <col min="18" max="18" width="10.42578125" customWidth="1"/>
    <col min="19" max="19" width="13.42578125" customWidth="1"/>
    <col min="20" max="20" width="12.42578125" customWidth="1"/>
    <col min="21" max="21" width="10.42578125" customWidth="1"/>
    <col min="22" max="22" width="13.7109375" customWidth="1"/>
    <col min="23" max="23" width="12.5703125" customWidth="1"/>
    <col min="24" max="24" width="11.5703125" customWidth="1"/>
    <col min="25" max="25" width="11.42578125" customWidth="1"/>
    <col min="26" max="26" width="12.42578125" customWidth="1"/>
    <col min="27" max="27" width="10.5703125" customWidth="1"/>
    <col min="28" max="28" width="11" customWidth="1"/>
    <col min="29" max="29" width="14.140625" customWidth="1"/>
    <col min="32" max="32" width="13" customWidth="1"/>
    <col min="33" max="33" width="12.42578125" customWidth="1"/>
    <col min="34" max="34" width="17.7109375" customWidth="1"/>
    <col min="35" max="35" width="10" customWidth="1"/>
    <col min="36" max="36" width="13.85546875" customWidth="1"/>
    <col min="37" max="37" width="15" customWidth="1"/>
    <col min="38" max="38" width="17" customWidth="1"/>
    <col min="39" max="39" width="16" customWidth="1"/>
    <col min="40" max="40" width="13.85546875" customWidth="1"/>
    <col min="41" max="41" width="21.5703125" customWidth="1"/>
    <col min="42" max="42" width="17.42578125" customWidth="1"/>
    <col min="43" max="43" width="13.7109375" customWidth="1"/>
    <col min="44" max="44" width="13.5703125" customWidth="1"/>
    <col min="45" max="45" width="18" customWidth="1"/>
    <col min="46" max="46" width="19.140625" customWidth="1"/>
    <col min="47" max="47" width="13.42578125" customWidth="1"/>
    <col min="48" max="48" width="12" customWidth="1"/>
    <col min="49" max="49" width="13.85546875" customWidth="1"/>
    <col min="50" max="50" width="12.7109375" customWidth="1"/>
    <col min="51" max="51" width="10.85546875" customWidth="1"/>
    <col min="53" max="54" width="17.140625" customWidth="1"/>
    <col min="55" max="55" width="15.85546875" customWidth="1"/>
    <col min="56" max="56" width="11.28515625" customWidth="1"/>
    <col min="57" max="57" width="22.42578125" customWidth="1"/>
    <col min="58" max="58" width="23.5703125" customWidth="1"/>
    <col min="59" max="59" width="19" customWidth="1"/>
    <col min="60" max="60" width="22.5703125" customWidth="1"/>
    <col min="61" max="61" width="15" customWidth="1"/>
    <col min="62" max="62" width="20.42578125" customWidth="1"/>
    <col min="63" max="63" width="21.5703125" customWidth="1"/>
    <col min="64" max="64" width="18.28515625" customWidth="1"/>
    <col min="65" max="65" width="16.7109375" customWidth="1"/>
    <col min="66" max="66" width="15" customWidth="1"/>
    <col min="68" max="68" width="16.5703125" customWidth="1"/>
    <col min="69" max="69" width="17.7109375" customWidth="1"/>
    <col min="70" max="70" width="14.28515625" customWidth="1"/>
    <col min="71" max="71" width="10.85546875" customWidth="1"/>
    <col min="72" max="72" width="14.7109375" customWidth="1"/>
    <col min="73" max="73" width="14.140625" customWidth="1"/>
    <col min="74" max="74" width="11.7109375" customWidth="1"/>
    <col min="75" max="75" width="14.28515625" customWidth="1"/>
    <col min="76" max="76" width="11.7109375" customWidth="1"/>
    <col min="77" max="77" width="12.85546875" customWidth="1"/>
    <col min="78" max="78" width="10.7109375" customWidth="1"/>
    <col min="79" max="79" width="19.85546875" customWidth="1"/>
    <col min="80" max="80" width="15.7109375" customWidth="1"/>
    <col min="81" max="81" width="17.28515625" customWidth="1"/>
    <col min="82" max="82" width="11.85546875" customWidth="1"/>
    <col min="83" max="83" width="20.7109375" customWidth="1"/>
    <col min="84" max="84" width="11.85546875" customWidth="1"/>
    <col min="85" max="85" width="10.5703125" customWidth="1"/>
    <col min="86" max="86" width="12.7109375" customWidth="1"/>
    <col min="87" max="87" width="9.42578125" customWidth="1"/>
    <col min="88" max="88" width="11.140625" customWidth="1"/>
    <col min="89" max="89" width="12" customWidth="1"/>
    <col min="90" max="90" width="12.42578125" customWidth="1"/>
    <col min="91" max="91" width="10.85546875" customWidth="1"/>
    <col min="92" max="92" width="10" customWidth="1"/>
    <col min="93" max="93" width="11.85546875" customWidth="1"/>
    <col min="95" max="95" width="11.28515625" customWidth="1"/>
    <col min="96" max="96" width="24.85546875" customWidth="1"/>
    <col min="97" max="97" width="20.5703125" customWidth="1"/>
    <col min="98" max="98" width="15.7109375" customWidth="1"/>
  </cols>
  <sheetData>
    <row r="1" spans="1:173" ht="15.75" thickTop="1" x14ac:dyDescent="0.25">
      <c r="A1" s="399" t="s">
        <v>0</v>
      </c>
      <c r="B1" s="399" t="s">
        <v>561</v>
      </c>
      <c r="C1" s="408" t="s">
        <v>3790</v>
      </c>
      <c r="D1" s="401" t="s">
        <v>2537</v>
      </c>
      <c r="E1" s="401"/>
      <c r="F1" s="401"/>
      <c r="G1" s="401"/>
      <c r="H1" s="401"/>
      <c r="I1" s="399"/>
      <c r="J1" s="402" t="s">
        <v>2542</v>
      </c>
      <c r="K1" s="401"/>
      <c r="L1" s="401"/>
      <c r="M1" s="401"/>
      <c r="N1" s="401"/>
      <c r="O1" s="401"/>
      <c r="P1" s="401"/>
      <c r="Q1" s="399"/>
      <c r="R1" s="407" t="s">
        <v>3789</v>
      </c>
      <c r="S1" s="401"/>
      <c r="T1" s="403"/>
      <c r="U1" s="401" t="s">
        <v>1906</v>
      </c>
      <c r="V1" s="401"/>
      <c r="W1" s="403"/>
      <c r="X1" s="401" t="s">
        <v>1999</v>
      </c>
      <c r="Y1" s="401"/>
      <c r="Z1" s="403"/>
      <c r="AA1" s="402" t="s">
        <v>2548</v>
      </c>
      <c r="AB1" s="401"/>
      <c r="AC1" s="403"/>
      <c r="AD1" s="401" t="s">
        <v>1684</v>
      </c>
      <c r="AE1" s="401"/>
      <c r="AF1" s="403"/>
      <c r="AG1" s="405" t="s">
        <v>2549</v>
      </c>
      <c r="AH1" s="405"/>
      <c r="AI1" s="405"/>
      <c r="AJ1" s="410"/>
      <c r="AK1" s="401" t="s">
        <v>2613</v>
      </c>
      <c r="AL1" s="401"/>
      <c r="AM1" s="401"/>
      <c r="AN1" s="403"/>
      <c r="AO1" s="365" t="s">
        <v>2649</v>
      </c>
      <c r="AP1" s="359"/>
      <c r="AQ1" s="360"/>
      <c r="AR1" s="365" t="s">
        <v>1696</v>
      </c>
      <c r="AS1" s="359"/>
      <c r="AT1" s="359"/>
      <c r="AU1" s="360"/>
      <c r="AV1" s="359" t="s">
        <v>2650</v>
      </c>
      <c r="AW1" s="359"/>
      <c r="AX1" s="361"/>
      <c r="AY1" s="407" t="s">
        <v>2563</v>
      </c>
      <c r="AZ1" s="401"/>
      <c r="BA1" s="401"/>
      <c r="BB1" s="401"/>
      <c r="BC1" s="403"/>
      <c r="BD1" s="402" t="s">
        <v>1663</v>
      </c>
      <c r="BE1" s="401"/>
      <c r="BF1" s="401"/>
      <c r="BG1" s="401"/>
      <c r="BH1" s="401"/>
      <c r="BI1" s="403"/>
      <c r="BJ1" s="402" t="s">
        <v>1666</v>
      </c>
      <c r="BK1" s="401"/>
      <c r="BL1" s="401"/>
      <c r="BM1" s="401"/>
      <c r="BN1" s="403"/>
      <c r="BO1" s="402" t="s">
        <v>1683</v>
      </c>
      <c r="BP1" s="401"/>
      <c r="BQ1" s="401"/>
      <c r="BR1" s="403"/>
      <c r="BS1" s="365" t="s">
        <v>2652</v>
      </c>
      <c r="BT1" s="359"/>
      <c r="BU1" s="360"/>
      <c r="BV1" s="402" t="s">
        <v>2566</v>
      </c>
      <c r="BW1" s="401"/>
      <c r="BX1" s="403"/>
      <c r="BY1" s="404" t="s">
        <v>2675</v>
      </c>
      <c r="BZ1" s="405"/>
      <c r="CA1" s="405"/>
      <c r="CB1" s="406"/>
      <c r="CC1" s="407" t="s">
        <v>2567</v>
      </c>
      <c r="CD1" s="401"/>
      <c r="CE1" s="401"/>
      <c r="CF1" s="403"/>
      <c r="CG1" s="402" t="s">
        <v>1695</v>
      </c>
      <c r="CH1" s="401"/>
      <c r="CI1" s="401"/>
      <c r="CJ1" s="403"/>
      <c r="CK1" s="402" t="s">
        <v>2569</v>
      </c>
      <c r="CL1" s="401"/>
      <c r="CM1" s="403"/>
      <c r="CN1" s="401" t="s">
        <v>2669</v>
      </c>
      <c r="CO1" s="401"/>
      <c r="CP1" s="401"/>
      <c r="CQ1" s="399"/>
      <c r="CR1" s="401" t="s">
        <v>2656</v>
      </c>
      <c r="CS1" s="401"/>
      <c r="CT1" s="399"/>
      <c r="DF1" t="s">
        <v>3116</v>
      </c>
      <c r="DG1" t="s">
        <v>3117</v>
      </c>
      <c r="DH1" t="s">
        <v>3118</v>
      </c>
      <c r="DI1" t="s">
        <v>3119</v>
      </c>
      <c r="DJ1" t="s">
        <v>3120</v>
      </c>
    </row>
    <row r="2" spans="1:173" s="154" customFormat="1" ht="30" x14ac:dyDescent="0.25">
      <c r="A2" s="400"/>
      <c r="B2" s="400"/>
      <c r="C2" s="409"/>
      <c r="D2" s="157" t="s">
        <v>1644</v>
      </c>
      <c r="E2" s="158" t="s">
        <v>1645</v>
      </c>
      <c r="F2" s="158" t="s">
        <v>1711</v>
      </c>
      <c r="G2" s="158" t="s">
        <v>1646</v>
      </c>
      <c r="H2" s="158" t="s">
        <v>1647</v>
      </c>
      <c r="I2" s="159" t="s">
        <v>1648</v>
      </c>
      <c r="J2" s="328" t="s">
        <v>1650</v>
      </c>
      <c r="K2" s="160" t="s">
        <v>2543</v>
      </c>
      <c r="L2" s="159" t="s">
        <v>2644</v>
      </c>
      <c r="M2" s="158" t="s">
        <v>3373</v>
      </c>
      <c r="N2" s="159" t="s">
        <v>2873</v>
      </c>
      <c r="O2" s="159" t="s">
        <v>2872</v>
      </c>
      <c r="P2" s="159" t="s">
        <v>2874</v>
      </c>
      <c r="Q2" s="159" t="s">
        <v>1648</v>
      </c>
      <c r="R2" s="160" t="s">
        <v>2546</v>
      </c>
      <c r="S2" s="157" t="s">
        <v>2674</v>
      </c>
      <c r="T2" s="158" t="s">
        <v>1648</v>
      </c>
      <c r="U2" s="158" t="s">
        <v>2546</v>
      </c>
      <c r="V2" s="158" t="s">
        <v>2674</v>
      </c>
      <c r="W2" s="158" t="s">
        <v>1648</v>
      </c>
      <c r="X2" s="158" t="s">
        <v>1915</v>
      </c>
      <c r="Y2" s="158" t="s">
        <v>1710</v>
      </c>
      <c r="Z2" s="158" t="s">
        <v>1648</v>
      </c>
      <c r="AA2" s="158" t="s">
        <v>2258</v>
      </c>
      <c r="AB2" s="158" t="s">
        <v>2645</v>
      </c>
      <c r="AC2" s="158" t="s">
        <v>1648</v>
      </c>
      <c r="AD2" s="158" t="s">
        <v>1685</v>
      </c>
      <c r="AE2" s="158" t="s">
        <v>1686</v>
      </c>
      <c r="AF2" s="158" t="s">
        <v>1648</v>
      </c>
      <c r="AG2" s="158" t="s">
        <v>1877</v>
      </c>
      <c r="AH2" s="158" t="s">
        <v>1723</v>
      </c>
      <c r="AI2" s="158" t="s">
        <v>1959</v>
      </c>
      <c r="AJ2" s="158" t="s">
        <v>1648</v>
      </c>
      <c r="AK2" s="158" t="s">
        <v>2646</v>
      </c>
      <c r="AL2" s="158" t="s">
        <v>2647</v>
      </c>
      <c r="AM2" s="158" t="s">
        <v>2648</v>
      </c>
      <c r="AN2" s="158" t="s">
        <v>1648</v>
      </c>
      <c r="AO2" s="158" t="s">
        <v>2618</v>
      </c>
      <c r="AP2" s="158" t="s">
        <v>2619</v>
      </c>
      <c r="AQ2" s="158" t="s">
        <v>1648</v>
      </c>
      <c r="AR2" s="157" t="s">
        <v>2651</v>
      </c>
      <c r="AS2" s="157" t="s">
        <v>2620</v>
      </c>
      <c r="AT2" s="157" t="s">
        <v>2621</v>
      </c>
      <c r="AU2" s="157" t="s">
        <v>1648</v>
      </c>
      <c r="AV2" s="157" t="s">
        <v>2546</v>
      </c>
      <c r="AW2" s="158" t="s">
        <v>2674</v>
      </c>
      <c r="AX2" s="161" t="s">
        <v>1648</v>
      </c>
      <c r="AY2" s="157" t="s">
        <v>1860</v>
      </c>
      <c r="AZ2" s="157" t="s">
        <v>2575</v>
      </c>
      <c r="BA2" s="157" t="s">
        <v>2010</v>
      </c>
      <c r="BB2" s="157" t="s">
        <v>3763</v>
      </c>
      <c r="BC2" s="158" t="s">
        <v>1648</v>
      </c>
      <c r="BD2" s="158" t="s">
        <v>2001</v>
      </c>
      <c r="BE2" s="281" t="s">
        <v>3736</v>
      </c>
      <c r="BF2" s="281" t="s">
        <v>3735</v>
      </c>
      <c r="BG2" s="158" t="s">
        <v>2661</v>
      </c>
      <c r="BH2" s="158" t="s">
        <v>2632</v>
      </c>
      <c r="BI2" s="158" t="s">
        <v>1648</v>
      </c>
      <c r="BJ2" s="158" t="s">
        <v>2192</v>
      </c>
      <c r="BK2" s="158" t="s">
        <v>2640</v>
      </c>
      <c r="BL2" s="158" t="s">
        <v>2477</v>
      </c>
      <c r="BM2" s="158" t="s">
        <v>2662</v>
      </c>
      <c r="BN2" s="158" t="s">
        <v>1648</v>
      </c>
      <c r="BO2" s="158" t="s">
        <v>1670</v>
      </c>
      <c r="BP2" s="158" t="s">
        <v>1792</v>
      </c>
      <c r="BQ2" s="158" t="s">
        <v>2260</v>
      </c>
      <c r="BR2" s="158" t="s">
        <v>1648</v>
      </c>
      <c r="BS2" s="158" t="s">
        <v>2197</v>
      </c>
      <c r="BT2" s="158" t="s">
        <v>2196</v>
      </c>
      <c r="BU2" s="158" t="s">
        <v>1648</v>
      </c>
      <c r="BV2" s="158" t="s">
        <v>2546</v>
      </c>
      <c r="BW2" s="158" t="s">
        <v>2674</v>
      </c>
      <c r="BX2" s="158" t="s">
        <v>1648</v>
      </c>
      <c r="BY2" s="158" t="s">
        <v>1801</v>
      </c>
      <c r="BZ2" s="159" t="s">
        <v>2584</v>
      </c>
      <c r="CA2" s="159" t="s">
        <v>3376</v>
      </c>
      <c r="CB2" s="159" t="s">
        <v>1648</v>
      </c>
      <c r="CC2" s="160" t="s">
        <v>1709</v>
      </c>
      <c r="CD2" s="157" t="s">
        <v>1743</v>
      </c>
      <c r="CE2" s="157" t="s">
        <v>1718</v>
      </c>
      <c r="CF2" s="158" t="s">
        <v>1648</v>
      </c>
      <c r="CG2" s="158" t="s">
        <v>1693</v>
      </c>
      <c r="CH2" s="158" t="s">
        <v>2568</v>
      </c>
      <c r="CI2" s="158" t="s">
        <v>1694</v>
      </c>
      <c r="CJ2" s="158" t="s">
        <v>1648</v>
      </c>
      <c r="CK2" s="158" t="s">
        <v>1766</v>
      </c>
      <c r="CL2" s="158" t="s">
        <v>2805</v>
      </c>
      <c r="CM2" s="158" t="s">
        <v>1648</v>
      </c>
      <c r="CN2" s="158" t="s">
        <v>1677</v>
      </c>
      <c r="CO2" s="159" t="s">
        <v>1682</v>
      </c>
      <c r="CP2" s="159" t="s">
        <v>1678</v>
      </c>
      <c r="CQ2" s="159" t="s">
        <v>1648</v>
      </c>
      <c r="CR2" s="160" t="s">
        <v>2653</v>
      </c>
      <c r="CS2" s="159" t="s">
        <v>2654</v>
      </c>
      <c r="CT2" s="161" t="s">
        <v>2655</v>
      </c>
      <c r="CU2" s="156"/>
      <c r="CV2" s="156"/>
      <c r="CW2" s="156"/>
      <c r="CX2" s="156"/>
      <c r="CY2" s="156"/>
      <c r="CZ2" s="156"/>
      <c r="DA2" s="156"/>
      <c r="DB2" s="156"/>
      <c r="DC2" s="156"/>
      <c r="DD2" s="156"/>
      <c r="DE2" s="156"/>
      <c r="DF2" s="156"/>
      <c r="DG2" s="156"/>
      <c r="DH2" s="156"/>
      <c r="DI2" s="156"/>
      <c r="DJ2" s="156"/>
      <c r="DK2" s="156"/>
      <c r="DL2" s="156"/>
      <c r="DM2" s="156"/>
      <c r="DN2" s="156"/>
      <c r="DO2" s="156"/>
      <c r="DP2" s="156"/>
      <c r="DQ2" s="156"/>
      <c r="DR2" s="156"/>
      <c r="DS2" s="156"/>
      <c r="DT2" s="156"/>
      <c r="DU2" s="156"/>
      <c r="DV2" s="156"/>
      <c r="DW2" s="156"/>
      <c r="DX2" s="156"/>
      <c r="DY2" s="156"/>
      <c r="DZ2" s="156"/>
      <c r="EA2" s="156"/>
      <c r="EB2" s="156"/>
      <c r="EC2" s="156"/>
      <c r="ED2" s="156"/>
      <c r="EE2" s="156"/>
      <c r="EF2" s="156"/>
      <c r="EG2" s="156"/>
      <c r="EH2" s="156"/>
      <c r="EI2" s="156"/>
      <c r="EJ2" s="156"/>
      <c r="EK2" s="156"/>
      <c r="EL2" s="156"/>
      <c r="EM2" s="156"/>
      <c r="EN2" s="156"/>
      <c r="EO2" s="156"/>
      <c r="EP2" s="156"/>
      <c r="EQ2" s="156"/>
      <c r="ER2" s="156"/>
      <c r="ES2" s="156"/>
      <c r="ET2" s="156"/>
      <c r="EU2" s="156"/>
      <c r="EV2" s="156"/>
      <c r="EW2" s="156"/>
      <c r="EX2" s="156"/>
      <c r="EY2" s="156"/>
      <c r="EZ2" s="156"/>
      <c r="FA2" s="156"/>
      <c r="FB2" s="156"/>
      <c r="FC2" s="156"/>
      <c r="FD2" s="156"/>
      <c r="FE2" s="156"/>
      <c r="FF2" s="156"/>
      <c r="FG2" s="156"/>
      <c r="FH2" s="156"/>
      <c r="FI2" s="156"/>
      <c r="FJ2" s="156"/>
      <c r="FK2" s="156"/>
      <c r="FL2" s="156"/>
      <c r="FM2" s="156"/>
      <c r="FN2" s="156"/>
      <c r="FO2" s="156"/>
      <c r="FP2" s="156"/>
      <c r="FQ2" s="155"/>
    </row>
    <row r="3" spans="1:173" x14ac:dyDescent="0.25">
      <c r="A3" s="108">
        <v>2015</v>
      </c>
      <c r="B3" s="164" t="s">
        <v>2663</v>
      </c>
      <c r="C3" s="338" t="s">
        <v>1623</v>
      </c>
      <c r="D3" s="152"/>
      <c r="E3" s="152"/>
      <c r="F3" s="152" t="s">
        <v>1623</v>
      </c>
      <c r="G3" s="152"/>
      <c r="H3" s="152"/>
      <c r="I3" s="108"/>
      <c r="J3" s="152"/>
      <c r="K3" s="166" t="s">
        <v>1623</v>
      </c>
      <c r="L3" s="152" t="s">
        <v>1623</v>
      </c>
      <c r="M3" s="166"/>
      <c r="N3" s="222"/>
      <c r="O3" s="222"/>
      <c r="P3" s="222"/>
      <c r="Q3" s="108"/>
      <c r="R3" s="152" t="s">
        <v>1623</v>
      </c>
      <c r="S3" s="152"/>
      <c r="T3" s="163"/>
      <c r="U3" s="152"/>
      <c r="V3" s="152" t="s">
        <v>1623</v>
      </c>
      <c r="W3" s="163"/>
      <c r="X3" s="152"/>
      <c r="Y3" s="152" t="s">
        <v>1623</v>
      </c>
      <c r="Z3" s="163"/>
      <c r="AA3" s="152" t="s">
        <v>1623</v>
      </c>
      <c r="AB3" s="152"/>
      <c r="AC3" s="163"/>
      <c r="AD3" s="152"/>
      <c r="AE3" s="152" t="s">
        <v>1623</v>
      </c>
      <c r="AF3" s="163"/>
      <c r="AG3" s="152"/>
      <c r="AH3" s="152" t="s">
        <v>1623</v>
      </c>
      <c r="AI3" s="152"/>
      <c r="AJ3" s="163"/>
      <c r="AK3" s="152" t="s">
        <v>1623</v>
      </c>
      <c r="AL3" s="152"/>
      <c r="AM3" s="152"/>
      <c r="AN3" s="163"/>
      <c r="AO3" s="152" t="s">
        <v>1623</v>
      </c>
      <c r="AP3" s="152"/>
      <c r="AQ3" s="163"/>
      <c r="AR3" s="126"/>
      <c r="AS3" s="126" t="s">
        <v>1623</v>
      </c>
      <c r="AT3" s="126"/>
      <c r="AU3" s="128"/>
      <c r="AV3" s="152"/>
      <c r="AW3" s="152" t="s">
        <v>1623</v>
      </c>
      <c r="AX3" s="108"/>
      <c r="AY3" s="152"/>
      <c r="AZ3" s="152"/>
      <c r="BA3" s="152" t="s">
        <v>1623</v>
      </c>
      <c r="BB3" s="314"/>
      <c r="BC3" s="163"/>
      <c r="BD3" s="152"/>
      <c r="BE3" s="275"/>
      <c r="BF3" s="277"/>
      <c r="BG3" s="152"/>
      <c r="BH3" s="152"/>
      <c r="BI3" s="163" t="s">
        <v>2674</v>
      </c>
      <c r="BJ3" s="152" t="s">
        <v>1623</v>
      </c>
      <c r="BK3" s="152" t="s">
        <v>1623</v>
      </c>
      <c r="BL3" s="152"/>
      <c r="BM3" s="152"/>
      <c r="BN3" s="163"/>
      <c r="BO3" s="152" t="s">
        <v>1623</v>
      </c>
      <c r="BP3" s="152"/>
      <c r="BQ3" s="152"/>
      <c r="BR3" s="163"/>
      <c r="BS3" s="152" t="s">
        <v>1623</v>
      </c>
      <c r="BT3" s="152"/>
      <c r="BU3" s="163"/>
      <c r="BV3" s="182"/>
      <c r="BW3" s="152" t="s">
        <v>1623</v>
      </c>
      <c r="BX3" s="163"/>
      <c r="BY3" s="152"/>
      <c r="BZ3" s="152"/>
      <c r="CA3" s="152" t="s">
        <v>1623</v>
      </c>
      <c r="CB3" s="108"/>
      <c r="CC3" s="152"/>
      <c r="CD3" s="152"/>
      <c r="CE3" s="152" t="s">
        <v>1623</v>
      </c>
      <c r="CF3" s="163"/>
      <c r="CG3" s="152" t="s">
        <v>1623</v>
      </c>
      <c r="CH3" s="152"/>
      <c r="CI3" s="278"/>
      <c r="CJ3" s="163"/>
      <c r="CK3" s="152" t="s">
        <v>1623</v>
      </c>
      <c r="CL3" s="152"/>
      <c r="CM3" s="163"/>
      <c r="CN3" s="152"/>
      <c r="CO3" s="152" t="s">
        <v>1623</v>
      </c>
      <c r="CP3" s="152"/>
      <c r="CQ3" s="108"/>
      <c r="CR3" s="152" t="s">
        <v>2657</v>
      </c>
      <c r="CS3" s="152" t="s">
        <v>2658</v>
      </c>
      <c r="CT3" s="104" t="s">
        <v>2659</v>
      </c>
      <c r="DF3" t="s">
        <v>1623</v>
      </c>
      <c r="DH3" t="s">
        <v>1623</v>
      </c>
      <c r="DJ3" t="s">
        <v>1623</v>
      </c>
    </row>
    <row r="4" spans="1:173" x14ac:dyDescent="0.25">
      <c r="A4" s="104">
        <v>2016</v>
      </c>
      <c r="B4" s="165" t="s">
        <v>2664</v>
      </c>
      <c r="C4" s="338" t="s">
        <v>1623</v>
      </c>
      <c r="D4" s="152"/>
      <c r="E4" s="152" t="s">
        <v>1623</v>
      </c>
      <c r="F4" s="152"/>
      <c r="G4" s="152"/>
      <c r="H4" s="152"/>
      <c r="I4" s="104"/>
      <c r="J4" s="152"/>
      <c r="K4" s="166" t="s">
        <v>1623</v>
      </c>
      <c r="L4" s="152" t="s">
        <v>1623</v>
      </c>
      <c r="M4" s="166"/>
      <c r="N4" s="222"/>
      <c r="O4" s="222"/>
      <c r="P4" s="222"/>
      <c r="Q4" s="104"/>
      <c r="R4" s="152"/>
      <c r="S4" s="152" t="s">
        <v>1623</v>
      </c>
      <c r="T4" s="128"/>
      <c r="U4" s="152" t="s">
        <v>1623</v>
      </c>
      <c r="V4" s="152"/>
      <c r="W4" s="128"/>
      <c r="X4" s="152" t="s">
        <v>1623</v>
      </c>
      <c r="Y4" s="152"/>
      <c r="Z4" s="128"/>
      <c r="AA4" s="152" t="s">
        <v>1623</v>
      </c>
      <c r="AB4" s="152"/>
      <c r="AC4" s="128"/>
      <c r="AD4" s="152"/>
      <c r="AE4" s="152" t="s">
        <v>1623</v>
      </c>
      <c r="AF4" s="128"/>
      <c r="AG4" s="152"/>
      <c r="AH4" s="152" t="s">
        <v>1623</v>
      </c>
      <c r="AI4" s="152"/>
      <c r="AJ4" s="128"/>
      <c r="AK4" s="152"/>
      <c r="AL4" s="152"/>
      <c r="AM4" s="152" t="s">
        <v>1623</v>
      </c>
      <c r="AN4" s="128"/>
      <c r="AO4" s="152"/>
      <c r="AP4" s="152" t="s">
        <v>1623</v>
      </c>
      <c r="AQ4" s="128"/>
      <c r="AR4" s="126"/>
      <c r="AS4" s="126"/>
      <c r="AT4" s="126" t="s">
        <v>1623</v>
      </c>
      <c r="AU4" s="128"/>
      <c r="AV4" s="152"/>
      <c r="AW4" s="152" t="s">
        <v>1623</v>
      </c>
      <c r="AX4" s="104"/>
      <c r="AY4" s="152"/>
      <c r="AZ4" s="152"/>
      <c r="BA4" s="152"/>
      <c r="BB4" s="314" t="s">
        <v>1623</v>
      </c>
      <c r="BC4" s="128"/>
      <c r="BD4" s="152"/>
      <c r="BE4" s="275"/>
      <c r="BF4" s="277"/>
      <c r="BG4" s="152"/>
      <c r="BH4" s="152"/>
      <c r="BI4" s="128" t="s">
        <v>2674</v>
      </c>
      <c r="BJ4" s="152"/>
      <c r="BK4" s="152"/>
      <c r="BL4" s="152" t="s">
        <v>1623</v>
      </c>
      <c r="BM4" s="152"/>
      <c r="BN4" s="128"/>
      <c r="BO4" s="152"/>
      <c r="BP4" s="152" t="s">
        <v>1623</v>
      </c>
      <c r="BQ4" s="152"/>
      <c r="BR4" s="128"/>
      <c r="BS4" s="152" t="s">
        <v>1623</v>
      </c>
      <c r="BT4" s="152"/>
      <c r="BU4" s="128"/>
      <c r="BV4" s="152"/>
      <c r="BW4" s="152" t="s">
        <v>1623</v>
      </c>
      <c r="BX4" s="128"/>
      <c r="BY4" s="152"/>
      <c r="BZ4" s="152"/>
      <c r="CA4" s="152" t="s">
        <v>1623</v>
      </c>
      <c r="CB4" s="104"/>
      <c r="CC4" s="152"/>
      <c r="CD4" s="152" t="s">
        <v>1623</v>
      </c>
      <c r="CE4" s="152"/>
      <c r="CF4" s="128"/>
      <c r="CG4" s="152" t="s">
        <v>1623</v>
      </c>
      <c r="CH4" s="152"/>
      <c r="CI4" s="278"/>
      <c r="CJ4" s="128"/>
      <c r="CK4" s="152"/>
      <c r="CL4" s="152"/>
      <c r="CM4" s="128" t="s">
        <v>2671</v>
      </c>
      <c r="CN4" s="152"/>
      <c r="CO4" s="152"/>
      <c r="CP4" s="152"/>
      <c r="CQ4" s="104" t="s">
        <v>2671</v>
      </c>
      <c r="CR4" s="152" t="s">
        <v>2658</v>
      </c>
      <c r="CS4" s="152" t="s">
        <v>2657</v>
      </c>
      <c r="CT4" s="104" t="s">
        <v>2659</v>
      </c>
      <c r="DH4" t="s">
        <v>1623</v>
      </c>
      <c r="DI4" t="s">
        <v>1623</v>
      </c>
      <c r="DJ4" t="s">
        <v>1623</v>
      </c>
    </row>
    <row r="5" spans="1:173" x14ac:dyDescent="0.25">
      <c r="A5" s="104">
        <v>2010</v>
      </c>
      <c r="B5" s="165" t="s">
        <v>2665</v>
      </c>
      <c r="C5" s="338" t="s">
        <v>1623</v>
      </c>
      <c r="D5" s="152" t="s">
        <v>1623</v>
      </c>
      <c r="E5" s="152"/>
      <c r="F5" s="152"/>
      <c r="G5" s="152"/>
      <c r="H5" s="152"/>
      <c r="I5" s="104"/>
      <c r="J5" s="152"/>
      <c r="K5" s="166" t="s">
        <v>1623</v>
      </c>
      <c r="L5" s="152" t="s">
        <v>1623</v>
      </c>
      <c r="M5" s="166"/>
      <c r="N5" s="222"/>
      <c r="O5" s="222"/>
      <c r="P5" s="222"/>
      <c r="Q5" s="104"/>
      <c r="R5" s="152"/>
      <c r="S5" s="152" t="s">
        <v>1623</v>
      </c>
      <c r="T5" s="128"/>
      <c r="U5" s="152"/>
      <c r="V5" s="152" t="s">
        <v>1623</v>
      </c>
      <c r="W5" s="128"/>
      <c r="X5" s="152" t="s">
        <v>1623</v>
      </c>
      <c r="Y5" s="152"/>
      <c r="Z5" s="128"/>
      <c r="AA5" s="152" t="s">
        <v>1623</v>
      </c>
      <c r="AB5" s="152"/>
      <c r="AC5" s="128"/>
      <c r="AD5" s="152"/>
      <c r="AE5" s="152" t="s">
        <v>1623</v>
      </c>
      <c r="AF5" s="128"/>
      <c r="AG5" s="152"/>
      <c r="AH5" s="152" t="s">
        <v>1623</v>
      </c>
      <c r="AI5" s="152"/>
      <c r="AJ5" s="128"/>
      <c r="AK5" s="152" t="s">
        <v>1623</v>
      </c>
      <c r="AL5" s="152"/>
      <c r="AM5" s="152"/>
      <c r="AN5" s="128"/>
      <c r="AO5" s="152" t="s">
        <v>1623</v>
      </c>
      <c r="AP5" s="152"/>
      <c r="AQ5" s="128"/>
      <c r="AR5" s="126"/>
      <c r="AS5" s="126" t="s">
        <v>1623</v>
      </c>
      <c r="AT5" s="126"/>
      <c r="AU5" s="128"/>
      <c r="AV5" s="152"/>
      <c r="AW5" s="152" t="s">
        <v>1623</v>
      </c>
      <c r="AX5" s="104"/>
      <c r="AY5" s="152"/>
      <c r="AZ5" s="152"/>
      <c r="BA5" s="152" t="s">
        <v>1623</v>
      </c>
      <c r="BB5" s="314"/>
      <c r="BC5" s="128"/>
      <c r="BD5" s="152"/>
      <c r="BE5" s="275"/>
      <c r="BF5" s="277"/>
      <c r="BG5" s="152"/>
      <c r="BH5" s="152"/>
      <c r="BI5" s="128" t="s">
        <v>2674</v>
      </c>
      <c r="BJ5" s="152"/>
      <c r="BK5" s="152" t="s">
        <v>1623</v>
      </c>
      <c r="BL5" s="152" t="s">
        <v>1623</v>
      </c>
      <c r="BM5" s="152"/>
      <c r="BN5" s="128"/>
      <c r="BO5" s="152"/>
      <c r="BP5" s="152" t="s">
        <v>1623</v>
      </c>
      <c r="BQ5" s="152"/>
      <c r="BR5" s="128"/>
      <c r="BS5" s="152"/>
      <c r="BT5" s="152" t="s">
        <v>1623</v>
      </c>
      <c r="BU5" s="128"/>
      <c r="BV5" s="183" t="s">
        <v>1623</v>
      </c>
      <c r="BW5" s="152"/>
      <c r="BX5" s="128"/>
      <c r="BY5" s="152" t="s">
        <v>1623</v>
      </c>
      <c r="BZ5" s="152"/>
      <c r="CA5" s="152"/>
      <c r="CB5" s="104"/>
      <c r="CC5" s="152"/>
      <c r="CD5" s="152"/>
      <c r="CE5" s="152" t="s">
        <v>1623</v>
      </c>
      <c r="CF5" s="128"/>
      <c r="CG5" s="152" t="s">
        <v>1623</v>
      </c>
      <c r="CH5" s="152"/>
      <c r="CI5" s="278"/>
      <c r="CJ5" s="128"/>
      <c r="CK5" s="152" t="s">
        <v>1623</v>
      </c>
      <c r="CL5" s="152"/>
      <c r="CM5" s="128"/>
      <c r="CN5" s="152"/>
      <c r="CO5" s="152" t="s">
        <v>1623</v>
      </c>
      <c r="CP5" s="152"/>
      <c r="CQ5" s="104"/>
      <c r="CR5" s="314" t="s">
        <v>2658</v>
      </c>
      <c r="CS5" s="314" t="s">
        <v>2657</v>
      </c>
      <c r="CT5" s="104" t="s">
        <v>2659</v>
      </c>
      <c r="DF5" t="s">
        <v>1623</v>
      </c>
      <c r="DH5" t="s">
        <v>1623</v>
      </c>
      <c r="DI5" t="s">
        <v>1623</v>
      </c>
      <c r="DJ5" t="s">
        <v>1623</v>
      </c>
    </row>
    <row r="6" spans="1:173" x14ac:dyDescent="0.25">
      <c r="A6" s="104">
        <v>2018</v>
      </c>
      <c r="B6" s="165" t="s">
        <v>2672</v>
      </c>
      <c r="C6" s="338" t="s">
        <v>1623</v>
      </c>
      <c r="D6" s="152" t="s">
        <v>1623</v>
      </c>
      <c r="E6" s="152"/>
      <c r="F6" s="152"/>
      <c r="G6" s="152"/>
      <c r="H6" s="152"/>
      <c r="I6" s="104"/>
      <c r="J6" s="152"/>
      <c r="K6" s="166" t="s">
        <v>1623</v>
      </c>
      <c r="L6" s="152"/>
      <c r="M6" s="166"/>
      <c r="N6" s="222"/>
      <c r="O6" s="222"/>
      <c r="P6" s="222"/>
      <c r="Q6" s="175"/>
      <c r="R6" s="152"/>
      <c r="S6" s="152" t="s">
        <v>1623</v>
      </c>
      <c r="T6" s="128"/>
      <c r="U6" s="152" t="s">
        <v>1623</v>
      </c>
      <c r="V6" s="152"/>
      <c r="W6" s="128"/>
      <c r="X6" s="152"/>
      <c r="Y6" s="152" t="s">
        <v>1623</v>
      </c>
      <c r="Z6" s="128"/>
      <c r="AA6" s="152" t="s">
        <v>1623</v>
      </c>
      <c r="AB6" s="152"/>
      <c r="AC6" s="128"/>
      <c r="AD6" s="152" t="s">
        <v>1623</v>
      </c>
      <c r="AE6" s="152"/>
      <c r="AF6" s="128"/>
      <c r="AG6" s="152"/>
      <c r="AH6" s="152" t="s">
        <v>1623</v>
      </c>
      <c r="AI6" s="152"/>
      <c r="AJ6" s="128"/>
      <c r="AK6" s="152" t="s">
        <v>1623</v>
      </c>
      <c r="AL6" s="152"/>
      <c r="AM6" s="152"/>
      <c r="AN6" s="128"/>
      <c r="AO6" s="152" t="s">
        <v>1623</v>
      </c>
      <c r="AP6" s="152"/>
      <c r="AQ6" s="128"/>
      <c r="AR6" s="126"/>
      <c r="AS6" s="126" t="s">
        <v>1623</v>
      </c>
      <c r="AT6" s="126"/>
      <c r="AU6" s="128"/>
      <c r="AV6" s="152" t="s">
        <v>1623</v>
      </c>
      <c r="AW6" s="152"/>
      <c r="AX6" s="104"/>
      <c r="AY6" s="152"/>
      <c r="AZ6" s="152"/>
      <c r="BA6" s="152"/>
      <c r="BB6" s="314" t="s">
        <v>1623</v>
      </c>
      <c r="BC6" s="128"/>
      <c r="BD6" s="152"/>
      <c r="BE6" s="275"/>
      <c r="BF6" s="277"/>
      <c r="BG6" s="152"/>
      <c r="BH6" s="152"/>
      <c r="BI6" s="128" t="s">
        <v>2674</v>
      </c>
      <c r="BJ6" s="152" t="s">
        <v>1623</v>
      </c>
      <c r="BK6" s="152"/>
      <c r="BL6" s="152"/>
      <c r="BM6" s="152"/>
      <c r="BN6" s="128"/>
      <c r="BO6" s="152" t="s">
        <v>1623</v>
      </c>
      <c r="BP6" s="152"/>
      <c r="BQ6" s="152"/>
      <c r="BR6" s="128"/>
      <c r="BS6" s="152" t="s">
        <v>1623</v>
      </c>
      <c r="BT6" s="152"/>
      <c r="BU6" s="128"/>
      <c r="BV6" s="182"/>
      <c r="BW6" s="152" t="s">
        <v>1623</v>
      </c>
      <c r="BX6" s="128"/>
      <c r="BY6" s="152" t="s">
        <v>1623</v>
      </c>
      <c r="BZ6" s="152"/>
      <c r="CA6" s="152"/>
      <c r="CB6" s="104"/>
      <c r="CC6" s="152"/>
      <c r="CD6" s="152"/>
      <c r="CE6" s="152" t="s">
        <v>1623</v>
      </c>
      <c r="CF6" s="128"/>
      <c r="CG6" s="152" t="s">
        <v>1623</v>
      </c>
      <c r="CH6" s="152"/>
      <c r="CI6" s="278"/>
      <c r="CJ6" s="128"/>
      <c r="CK6" s="152" t="s">
        <v>1623</v>
      </c>
      <c r="CL6" s="152"/>
      <c r="CM6" s="128"/>
      <c r="CN6" s="152" t="s">
        <v>1623</v>
      </c>
      <c r="CO6" s="152"/>
      <c r="CP6" s="152"/>
      <c r="CQ6" s="104"/>
      <c r="CR6" s="314" t="s">
        <v>2658</v>
      </c>
      <c r="CS6" s="314" t="s">
        <v>2657</v>
      </c>
      <c r="CT6" s="104" t="s">
        <v>2659</v>
      </c>
      <c r="DH6" t="s">
        <v>1623</v>
      </c>
      <c r="DJ6" t="s">
        <v>1623</v>
      </c>
    </row>
    <row r="7" spans="1:173" x14ac:dyDescent="0.25">
      <c r="A7" s="104">
        <v>2016</v>
      </c>
      <c r="B7" s="165" t="s">
        <v>2673</v>
      </c>
      <c r="C7" s="338" t="s">
        <v>1623</v>
      </c>
      <c r="D7" s="152" t="s">
        <v>1623</v>
      </c>
      <c r="E7" s="152"/>
      <c r="F7" s="152"/>
      <c r="G7" s="152"/>
      <c r="H7" s="152"/>
      <c r="I7" s="104"/>
      <c r="J7" s="152"/>
      <c r="K7" s="166" t="s">
        <v>1623</v>
      </c>
      <c r="L7" s="152"/>
      <c r="M7" s="166" t="s">
        <v>1623</v>
      </c>
      <c r="N7" s="222" t="s">
        <v>1623</v>
      </c>
      <c r="O7" s="222"/>
      <c r="P7" s="222"/>
      <c r="Q7" s="104"/>
      <c r="R7" s="152" t="s">
        <v>1623</v>
      </c>
      <c r="S7" s="152"/>
      <c r="T7" s="128"/>
      <c r="U7" s="152" t="s">
        <v>1623</v>
      </c>
      <c r="W7" s="128"/>
      <c r="X7" s="152" t="s">
        <v>1623</v>
      </c>
      <c r="Y7" s="152"/>
      <c r="Z7" s="128"/>
      <c r="AA7" s="152" t="s">
        <v>1623</v>
      </c>
      <c r="AB7" s="152"/>
      <c r="AC7" s="128"/>
      <c r="AD7" s="152"/>
      <c r="AE7" s="152" t="s">
        <v>1623</v>
      </c>
      <c r="AF7" s="128"/>
      <c r="AG7" s="152"/>
      <c r="AH7" s="152"/>
      <c r="AI7" s="152" t="s">
        <v>1623</v>
      </c>
      <c r="AJ7" s="128"/>
      <c r="AK7" s="152" t="s">
        <v>1623</v>
      </c>
      <c r="AL7" s="152"/>
      <c r="AM7" s="152"/>
      <c r="AN7" s="128"/>
      <c r="AO7" s="152" t="s">
        <v>1623</v>
      </c>
      <c r="AP7" s="152"/>
      <c r="AQ7" s="128"/>
      <c r="AR7" s="126"/>
      <c r="AS7" s="126"/>
      <c r="AT7" s="126" t="s">
        <v>1623</v>
      </c>
      <c r="AU7" s="128"/>
      <c r="AV7" s="152" t="s">
        <v>1623</v>
      </c>
      <c r="AW7" s="152"/>
      <c r="AX7" s="104"/>
      <c r="AY7" s="152"/>
      <c r="AZ7" s="152"/>
      <c r="BA7" s="152"/>
      <c r="BB7" s="314" t="s">
        <v>1623</v>
      </c>
      <c r="BC7" s="128"/>
      <c r="BD7" s="152"/>
      <c r="BE7" s="275"/>
      <c r="BF7" s="277"/>
      <c r="BG7" s="152"/>
      <c r="BH7" s="152"/>
      <c r="BI7" s="128" t="s">
        <v>2674</v>
      </c>
      <c r="BJ7" s="152" t="s">
        <v>1623</v>
      </c>
      <c r="BK7" s="152"/>
      <c r="BL7" s="152"/>
      <c r="BM7" s="152"/>
      <c r="BN7" s="128"/>
      <c r="BO7" s="152"/>
      <c r="BP7" s="152" t="s">
        <v>1623</v>
      </c>
      <c r="BQ7" s="152"/>
      <c r="BR7" s="128"/>
      <c r="BS7" s="152"/>
      <c r="BT7" s="152" t="s">
        <v>1623</v>
      </c>
      <c r="BU7" s="128"/>
      <c r="BV7" s="184" t="s">
        <v>1623</v>
      </c>
      <c r="BW7" s="152"/>
      <c r="BX7" s="128"/>
      <c r="BY7" s="152" t="s">
        <v>1623</v>
      </c>
      <c r="BZ7" s="152"/>
      <c r="CA7" s="152"/>
      <c r="CB7" s="104"/>
      <c r="CC7" s="152"/>
      <c r="CD7" s="152"/>
      <c r="CE7" s="152" t="s">
        <v>1623</v>
      </c>
      <c r="CF7" s="128"/>
      <c r="CG7" s="152" t="s">
        <v>1623</v>
      </c>
      <c r="CH7" s="152"/>
      <c r="CI7" s="278"/>
      <c r="CJ7" s="128"/>
      <c r="CK7" s="152"/>
      <c r="CL7" s="152" t="s">
        <v>1623</v>
      </c>
      <c r="CM7" s="128"/>
      <c r="CN7" s="152"/>
      <c r="CO7" s="152" t="s">
        <v>1623</v>
      </c>
      <c r="CP7" s="152"/>
      <c r="CQ7" s="104"/>
      <c r="CR7" s="314" t="s">
        <v>2658</v>
      </c>
      <c r="CS7" s="314" t="s">
        <v>2657</v>
      </c>
      <c r="CT7" s="104" t="s">
        <v>2659</v>
      </c>
      <c r="DH7" t="s">
        <v>1623</v>
      </c>
      <c r="DI7" t="s">
        <v>1623</v>
      </c>
      <c r="DJ7" t="s">
        <v>1623</v>
      </c>
    </row>
    <row r="8" spans="1:173" x14ac:dyDescent="0.25">
      <c r="A8" s="104">
        <v>2013</v>
      </c>
      <c r="B8" s="308" t="s">
        <v>3724</v>
      </c>
      <c r="C8" s="338" t="s">
        <v>1623</v>
      </c>
      <c r="D8" s="126"/>
      <c r="E8" s="126"/>
      <c r="F8" s="126"/>
      <c r="G8" s="126" t="s">
        <v>1623</v>
      </c>
      <c r="H8" s="126"/>
      <c r="I8" s="104"/>
      <c r="J8" s="126"/>
      <c r="K8" s="306" t="s">
        <v>1623</v>
      </c>
      <c r="L8" s="126"/>
      <c r="M8" s="306" t="s">
        <v>1623</v>
      </c>
      <c r="N8" s="126" t="s">
        <v>1623</v>
      </c>
      <c r="O8" s="126"/>
      <c r="P8" s="126"/>
      <c r="Q8" s="104"/>
      <c r="R8" s="126"/>
      <c r="S8" s="126" t="s">
        <v>1623</v>
      </c>
      <c r="T8" s="128"/>
      <c r="U8" s="126"/>
      <c r="V8" s="126" t="s">
        <v>1623</v>
      </c>
      <c r="W8" s="128"/>
      <c r="X8" s="126" t="s">
        <v>1623</v>
      </c>
      <c r="Y8" s="126"/>
      <c r="Z8" s="128"/>
      <c r="AA8" s="126" t="s">
        <v>1623</v>
      </c>
      <c r="AB8" s="126"/>
      <c r="AC8" s="128"/>
      <c r="AD8" s="126"/>
      <c r="AE8" s="126" t="s">
        <v>1623</v>
      </c>
      <c r="AF8" s="128"/>
      <c r="AG8" s="126"/>
      <c r="AH8" s="126" t="s">
        <v>1623</v>
      </c>
      <c r="AI8" s="126"/>
      <c r="AJ8" s="128"/>
      <c r="AK8" s="126" t="s">
        <v>1623</v>
      </c>
      <c r="AL8" s="126"/>
      <c r="AM8" s="126"/>
      <c r="AN8" s="128"/>
      <c r="AO8" s="126" t="s">
        <v>1623</v>
      </c>
      <c r="AP8" s="126"/>
      <c r="AQ8" s="128"/>
      <c r="AR8" s="126"/>
      <c r="AS8" s="126" t="s">
        <v>1623</v>
      </c>
      <c r="AT8" s="126"/>
      <c r="AU8" s="128"/>
      <c r="AV8" s="126"/>
      <c r="AW8" s="126" t="s">
        <v>1623</v>
      </c>
      <c r="AX8" s="104"/>
      <c r="AY8" s="126"/>
      <c r="AZ8" s="126"/>
      <c r="BA8" s="126"/>
      <c r="BB8" s="126" t="s">
        <v>1623</v>
      </c>
      <c r="BC8" s="128"/>
      <c r="BD8" s="126"/>
      <c r="BE8" s="126"/>
      <c r="BF8" s="126"/>
      <c r="BG8" s="126"/>
      <c r="BH8" s="126"/>
      <c r="BI8" s="128" t="s">
        <v>2674</v>
      </c>
      <c r="BJ8" s="126"/>
      <c r="BK8" s="126"/>
      <c r="BL8" s="126" t="s">
        <v>1623</v>
      </c>
      <c r="BM8" s="126"/>
      <c r="BN8" s="128"/>
      <c r="BO8" s="126"/>
      <c r="BP8" s="126" t="s">
        <v>1623</v>
      </c>
      <c r="BQ8" s="126"/>
      <c r="BR8" s="128"/>
      <c r="BS8" s="126" t="s">
        <v>1623</v>
      </c>
      <c r="BT8" s="126"/>
      <c r="BU8" s="128"/>
      <c r="BV8" s="126"/>
      <c r="BW8" s="126" t="s">
        <v>1623</v>
      </c>
      <c r="BX8" s="128"/>
      <c r="BY8" s="126" t="s">
        <v>1623</v>
      </c>
      <c r="BZ8" s="126"/>
      <c r="CA8" s="126"/>
      <c r="CB8" s="104"/>
      <c r="CC8" s="126"/>
      <c r="CD8" s="126" t="s">
        <v>1623</v>
      </c>
      <c r="CE8" s="126"/>
      <c r="CF8" s="128"/>
      <c r="CG8" s="126" t="s">
        <v>1623</v>
      </c>
      <c r="CH8" s="126"/>
      <c r="CI8" s="126"/>
      <c r="CJ8" s="128"/>
      <c r="CK8" s="126" t="s">
        <v>1623</v>
      </c>
      <c r="CL8" s="126"/>
      <c r="CM8" s="128"/>
      <c r="CN8" s="126"/>
      <c r="CO8" s="126" t="s">
        <v>1623</v>
      </c>
      <c r="CP8" s="126"/>
      <c r="CQ8" s="104"/>
      <c r="CR8" s="314" t="s">
        <v>2658</v>
      </c>
      <c r="CS8" s="314" t="s">
        <v>2657</v>
      </c>
      <c r="CT8" s="104" t="s">
        <v>2659</v>
      </c>
      <c r="DH8" t="s">
        <v>1623</v>
      </c>
      <c r="DI8" t="s">
        <v>1623</v>
      </c>
      <c r="DJ8" t="s">
        <v>1623</v>
      </c>
    </row>
    <row r="9" spans="1:173" x14ac:dyDescent="0.25">
      <c r="A9" s="104">
        <v>2017</v>
      </c>
      <c r="B9" s="308" t="s">
        <v>3680</v>
      </c>
      <c r="C9" s="338" t="s">
        <v>1623</v>
      </c>
      <c r="D9" s="152" t="s">
        <v>1623</v>
      </c>
      <c r="E9" s="152"/>
      <c r="F9" s="152"/>
      <c r="G9" s="152"/>
      <c r="H9" s="152"/>
      <c r="I9" s="104"/>
      <c r="J9" s="152"/>
      <c r="K9" s="166" t="s">
        <v>1623</v>
      </c>
      <c r="L9" s="152" t="s">
        <v>1623</v>
      </c>
      <c r="M9" s="166" t="s">
        <v>1623</v>
      </c>
      <c r="N9" s="222" t="s">
        <v>1623</v>
      </c>
      <c r="O9" s="222"/>
      <c r="P9" s="222"/>
      <c r="Q9" s="104"/>
      <c r="R9" s="152"/>
      <c r="S9" s="152" t="s">
        <v>1623</v>
      </c>
      <c r="T9" s="128"/>
      <c r="U9" s="152" t="s">
        <v>1623</v>
      </c>
      <c r="V9" s="152"/>
      <c r="W9" s="128"/>
      <c r="X9" s="152" t="s">
        <v>1623</v>
      </c>
      <c r="Y9" s="152"/>
      <c r="Z9" s="128"/>
      <c r="AA9" s="152" t="s">
        <v>1623</v>
      </c>
      <c r="AB9" s="152" t="s">
        <v>1623</v>
      </c>
      <c r="AC9" s="128"/>
      <c r="AD9" s="152" t="s">
        <v>1623</v>
      </c>
      <c r="AE9" s="152" t="s">
        <v>1623</v>
      </c>
      <c r="AF9" s="128"/>
      <c r="AG9" s="152"/>
      <c r="AH9" s="152"/>
      <c r="AI9" s="152" t="s">
        <v>1623</v>
      </c>
      <c r="AJ9" s="128"/>
      <c r="AK9" s="152" t="s">
        <v>1623</v>
      </c>
      <c r="AL9" s="152"/>
      <c r="AM9" s="152" t="s">
        <v>1623</v>
      </c>
      <c r="AN9" s="128"/>
      <c r="AO9" s="152" t="s">
        <v>1623</v>
      </c>
      <c r="AP9" s="152"/>
      <c r="AQ9" s="128"/>
      <c r="AR9" s="126"/>
      <c r="AS9" s="126"/>
      <c r="AT9" s="126" t="s">
        <v>1623</v>
      </c>
      <c r="AU9" s="128"/>
      <c r="AV9" s="152"/>
      <c r="AW9" s="152" t="s">
        <v>1623</v>
      </c>
      <c r="AX9" s="104"/>
      <c r="AY9" s="152"/>
      <c r="AZ9" s="152"/>
      <c r="BA9" s="152"/>
      <c r="BB9" s="314" t="s">
        <v>1623</v>
      </c>
      <c r="BC9" s="128"/>
      <c r="BD9" s="152" t="s">
        <v>1623</v>
      </c>
      <c r="BE9" s="275"/>
      <c r="BF9" s="277"/>
      <c r="BG9" s="152"/>
      <c r="BH9" s="152"/>
      <c r="BI9" s="128"/>
      <c r="BJ9" s="152" t="s">
        <v>1623</v>
      </c>
      <c r="BK9" s="152"/>
      <c r="BL9" s="152"/>
      <c r="BM9" s="152"/>
      <c r="BN9" s="128"/>
      <c r="BO9" s="152"/>
      <c r="BP9" s="152"/>
      <c r="BQ9" s="152" t="s">
        <v>1623</v>
      </c>
      <c r="BR9" s="128"/>
      <c r="BS9" s="152" t="s">
        <v>1623</v>
      </c>
      <c r="BT9" s="152"/>
      <c r="BU9" s="128"/>
      <c r="BV9" s="152"/>
      <c r="BW9" s="152" t="s">
        <v>1623</v>
      </c>
      <c r="BX9" s="128"/>
      <c r="BY9" s="152"/>
      <c r="BZ9" s="152"/>
      <c r="CA9" s="152"/>
      <c r="CB9" s="104" t="s">
        <v>2671</v>
      </c>
      <c r="CC9" s="152"/>
      <c r="CD9" s="152" t="s">
        <v>1623</v>
      </c>
      <c r="CE9" s="152"/>
      <c r="CF9" s="128"/>
      <c r="CG9" s="152" t="s">
        <v>1623</v>
      </c>
      <c r="CH9" s="152"/>
      <c r="CI9" s="278"/>
      <c r="CJ9" s="128"/>
      <c r="CK9" s="152" t="s">
        <v>1623</v>
      </c>
      <c r="CL9" s="152"/>
      <c r="CM9" s="128"/>
      <c r="CN9" s="152" t="s">
        <v>1623</v>
      </c>
      <c r="CO9" s="152"/>
      <c r="CP9" s="152"/>
      <c r="CQ9" s="104"/>
      <c r="CR9" s="314" t="s">
        <v>2658</v>
      </c>
      <c r="CS9" s="314" t="s">
        <v>2657</v>
      </c>
      <c r="CT9" s="104" t="s">
        <v>2659</v>
      </c>
      <c r="DG9" t="s">
        <v>1623</v>
      </c>
      <c r="DH9" t="s">
        <v>1623</v>
      </c>
      <c r="DI9" t="s">
        <v>1623</v>
      </c>
    </row>
    <row r="10" spans="1:173" x14ac:dyDescent="0.25">
      <c r="A10" s="104">
        <v>2013</v>
      </c>
      <c r="B10" s="308" t="s">
        <v>3681</v>
      </c>
      <c r="C10" s="338" t="s">
        <v>1623</v>
      </c>
      <c r="D10" s="152"/>
      <c r="E10" s="152"/>
      <c r="F10" s="152"/>
      <c r="G10" s="152" t="s">
        <v>1623</v>
      </c>
      <c r="H10" s="152"/>
      <c r="I10" s="104"/>
      <c r="J10" s="152"/>
      <c r="K10" s="166" t="s">
        <v>1623</v>
      </c>
      <c r="L10" s="152"/>
      <c r="M10" s="166" t="s">
        <v>1623</v>
      </c>
      <c r="N10" s="222"/>
      <c r="O10" s="222"/>
      <c r="P10" s="222" t="s">
        <v>1623</v>
      </c>
      <c r="Q10" s="104"/>
      <c r="R10" s="152" t="s">
        <v>1623</v>
      </c>
      <c r="S10" s="152"/>
      <c r="T10" s="128"/>
      <c r="U10" s="152"/>
      <c r="V10" s="152" t="s">
        <v>1623</v>
      </c>
      <c r="W10" s="128"/>
      <c r="X10" s="152" t="s">
        <v>1623</v>
      </c>
      <c r="Y10" s="152"/>
      <c r="Z10" s="128"/>
      <c r="AA10" s="152" t="s">
        <v>1623</v>
      </c>
      <c r="AB10" s="152"/>
      <c r="AC10" s="128"/>
      <c r="AD10" s="152"/>
      <c r="AE10" s="152" t="s">
        <v>1623</v>
      </c>
      <c r="AF10" s="128"/>
      <c r="AG10" s="152"/>
      <c r="AH10" s="152" t="s">
        <v>1623</v>
      </c>
      <c r="AI10" s="152"/>
      <c r="AJ10" s="128"/>
      <c r="AK10" s="152"/>
      <c r="AL10" s="152"/>
      <c r="AM10" s="152" t="s">
        <v>1623</v>
      </c>
      <c r="AN10" s="128"/>
      <c r="AO10" s="152" t="s">
        <v>1623</v>
      </c>
      <c r="AP10" s="152"/>
      <c r="AQ10" s="128"/>
      <c r="AR10" s="126"/>
      <c r="AS10" s="126"/>
      <c r="AT10" s="126" t="s">
        <v>1623</v>
      </c>
      <c r="AU10" s="128"/>
      <c r="AV10" s="152"/>
      <c r="AW10" s="152" t="s">
        <v>1623</v>
      </c>
      <c r="AX10" s="104"/>
      <c r="AY10" s="152"/>
      <c r="AZ10" s="152"/>
      <c r="BA10" s="152" t="s">
        <v>1623</v>
      </c>
      <c r="BB10" s="314"/>
      <c r="BC10" s="128"/>
      <c r="BD10" s="152"/>
      <c r="BE10" s="275"/>
      <c r="BF10" s="277"/>
      <c r="BG10" s="152"/>
      <c r="BH10" s="152"/>
      <c r="BI10" s="128" t="s">
        <v>2674</v>
      </c>
      <c r="BJ10" s="152"/>
      <c r="BK10" s="152" t="s">
        <v>1623</v>
      </c>
      <c r="BL10" s="152"/>
      <c r="BM10" s="152"/>
      <c r="BN10" s="128"/>
      <c r="BO10" s="152"/>
      <c r="BP10" s="152"/>
      <c r="BQ10" s="152" t="s">
        <v>1623</v>
      </c>
      <c r="BR10" s="128"/>
      <c r="BS10" s="152" t="s">
        <v>1623</v>
      </c>
      <c r="BT10" s="152"/>
      <c r="BU10" s="128"/>
      <c r="BV10" s="152"/>
      <c r="BW10" s="152" t="s">
        <v>1623</v>
      </c>
      <c r="BX10" s="128"/>
      <c r="BY10" s="152"/>
      <c r="BZ10" s="152" t="s">
        <v>1623</v>
      </c>
      <c r="CA10" s="152"/>
      <c r="CB10" s="104"/>
      <c r="CC10" s="152" t="s">
        <v>1623</v>
      </c>
      <c r="CD10" s="152"/>
      <c r="CE10" s="152"/>
      <c r="CF10" s="128"/>
      <c r="CG10" s="152"/>
      <c r="CH10" s="152"/>
      <c r="CI10" s="278"/>
      <c r="CJ10" s="128" t="s">
        <v>2671</v>
      </c>
      <c r="CK10" s="152"/>
      <c r="CL10" s="152"/>
      <c r="CM10" s="128" t="s">
        <v>2671</v>
      </c>
      <c r="CN10" s="152"/>
      <c r="CO10" s="152"/>
      <c r="CP10" s="152"/>
      <c r="CQ10" s="104" t="s">
        <v>2671</v>
      </c>
      <c r="CR10" s="314" t="s">
        <v>2658</v>
      </c>
      <c r="CS10" s="314" t="s">
        <v>2657</v>
      </c>
      <c r="CT10" s="104" t="s">
        <v>2659</v>
      </c>
      <c r="DF10" t="s">
        <v>1623</v>
      </c>
      <c r="DH10" t="s">
        <v>1623</v>
      </c>
      <c r="DI10" t="s">
        <v>1623</v>
      </c>
      <c r="DJ10" t="s">
        <v>1623</v>
      </c>
    </row>
    <row r="11" spans="1:173" x14ac:dyDescent="0.25">
      <c r="A11" s="104">
        <v>2011</v>
      </c>
      <c r="B11" s="308" t="s">
        <v>3682</v>
      </c>
      <c r="C11" s="338" t="s">
        <v>1623</v>
      </c>
      <c r="D11" s="152"/>
      <c r="E11" s="152" t="s">
        <v>1623</v>
      </c>
      <c r="F11" s="152" t="s">
        <v>1623</v>
      </c>
      <c r="G11" s="152"/>
      <c r="H11" s="152"/>
      <c r="I11" s="104"/>
      <c r="J11" s="152"/>
      <c r="K11" s="166" t="s">
        <v>1623</v>
      </c>
      <c r="L11" s="152"/>
      <c r="M11" s="166" t="s">
        <v>1623</v>
      </c>
      <c r="N11" s="222" t="s">
        <v>1623</v>
      </c>
      <c r="O11" s="222"/>
      <c r="P11" s="222"/>
      <c r="Q11" s="104"/>
      <c r="R11" s="152"/>
      <c r="S11" s="152" t="s">
        <v>1623</v>
      </c>
      <c r="T11" s="128"/>
      <c r="U11" s="152"/>
      <c r="V11" s="152" t="s">
        <v>1623</v>
      </c>
      <c r="W11" s="128"/>
      <c r="X11" s="152" t="s">
        <v>1623</v>
      </c>
      <c r="Y11" s="152"/>
      <c r="Z11" s="128"/>
      <c r="AA11" s="152" t="s">
        <v>1623</v>
      </c>
      <c r="AB11" s="152"/>
      <c r="AC11" s="128"/>
      <c r="AD11" s="152"/>
      <c r="AE11" s="152" t="s">
        <v>1623</v>
      </c>
      <c r="AF11" s="128"/>
      <c r="AG11" s="152" t="s">
        <v>1623</v>
      </c>
      <c r="AH11" s="152"/>
      <c r="AI11" s="152"/>
      <c r="AJ11" s="128"/>
      <c r="AK11" s="152"/>
      <c r="AL11" s="152"/>
      <c r="AM11" s="152" t="s">
        <v>1623</v>
      </c>
      <c r="AN11" s="128"/>
      <c r="AO11" s="152" t="s">
        <v>1623</v>
      </c>
      <c r="AP11" s="152"/>
      <c r="AQ11" s="128"/>
      <c r="AR11" s="126"/>
      <c r="AS11" s="126"/>
      <c r="AT11" s="126" t="s">
        <v>1623</v>
      </c>
      <c r="AU11" s="128"/>
      <c r="AV11" s="152"/>
      <c r="AW11" s="152" t="s">
        <v>1623</v>
      </c>
      <c r="AX11" s="104"/>
      <c r="AY11" s="152"/>
      <c r="AZ11" s="152"/>
      <c r="BA11" s="152"/>
      <c r="BB11" s="314" t="s">
        <v>1623</v>
      </c>
      <c r="BC11" s="128"/>
      <c r="BD11" s="152"/>
      <c r="BE11" s="275"/>
      <c r="BF11" s="277"/>
      <c r="BG11" s="152"/>
      <c r="BH11" s="152"/>
      <c r="BI11" s="128" t="s">
        <v>2674</v>
      </c>
      <c r="BJ11" s="152"/>
      <c r="BK11" s="152"/>
      <c r="BL11" s="152"/>
      <c r="BM11" s="152" t="s">
        <v>1623</v>
      </c>
      <c r="BN11" s="128"/>
      <c r="BO11" s="152" t="s">
        <v>1623</v>
      </c>
      <c r="BP11" s="152"/>
      <c r="BQ11" s="152"/>
      <c r="BR11" s="128"/>
      <c r="BS11" s="152"/>
      <c r="BT11" s="152" t="s">
        <v>1623</v>
      </c>
      <c r="BU11" s="128"/>
      <c r="BV11" s="185" t="s">
        <v>1623</v>
      </c>
      <c r="BW11" s="152"/>
      <c r="BX11" s="128"/>
      <c r="BY11" s="152"/>
      <c r="BZ11" s="152"/>
      <c r="CA11" s="152" t="s">
        <v>1623</v>
      </c>
      <c r="CB11" s="104"/>
      <c r="CC11" s="152"/>
      <c r="CD11" s="152" t="s">
        <v>1623</v>
      </c>
      <c r="CE11" s="152"/>
      <c r="CF11" s="128"/>
      <c r="CG11" s="152" t="s">
        <v>1623</v>
      </c>
      <c r="CH11" s="152"/>
      <c r="CI11" s="278"/>
      <c r="CJ11" s="128"/>
      <c r="CK11" s="152"/>
      <c r="CL11" s="152"/>
      <c r="CM11" s="128" t="s">
        <v>2671</v>
      </c>
      <c r="CN11" s="152"/>
      <c r="CO11" s="152"/>
      <c r="CP11" s="152"/>
      <c r="CQ11" s="104" t="s">
        <v>2671</v>
      </c>
      <c r="CR11" s="314" t="s">
        <v>2658</v>
      </c>
      <c r="CS11" s="314" t="s">
        <v>2657</v>
      </c>
      <c r="CT11" s="104" t="s">
        <v>2659</v>
      </c>
      <c r="DH11" t="s">
        <v>1623</v>
      </c>
      <c r="DJ11" t="s">
        <v>1623</v>
      </c>
    </row>
    <row r="12" spans="1:173" x14ac:dyDescent="0.25">
      <c r="A12" s="104">
        <v>2010</v>
      </c>
      <c r="B12" s="308" t="s">
        <v>3683</v>
      </c>
      <c r="C12" s="338" t="s">
        <v>1623</v>
      </c>
      <c r="D12" s="152"/>
      <c r="E12" s="152" t="s">
        <v>1623</v>
      </c>
      <c r="F12" s="152" t="s">
        <v>1623</v>
      </c>
      <c r="G12" s="152"/>
      <c r="H12" s="152"/>
      <c r="I12" s="104"/>
      <c r="J12" s="152"/>
      <c r="K12" s="166" t="s">
        <v>1623</v>
      </c>
      <c r="L12" s="152"/>
      <c r="M12" s="166"/>
      <c r="N12" s="222"/>
      <c r="O12" s="222"/>
      <c r="P12" s="222"/>
      <c r="Q12" s="104"/>
      <c r="R12" s="152"/>
      <c r="S12" s="152" t="s">
        <v>1623</v>
      </c>
      <c r="T12" s="128"/>
      <c r="U12" s="152"/>
      <c r="V12" s="152" t="s">
        <v>1623</v>
      </c>
      <c r="W12" s="128"/>
      <c r="X12" s="152" t="s">
        <v>1623</v>
      </c>
      <c r="Y12" s="152"/>
      <c r="Z12" s="128"/>
      <c r="AA12" s="152" t="s">
        <v>1623</v>
      </c>
      <c r="AB12" s="152"/>
      <c r="AC12" s="128"/>
      <c r="AD12" s="152"/>
      <c r="AE12" s="152" t="s">
        <v>1623</v>
      </c>
      <c r="AF12" s="128"/>
      <c r="AG12" s="152" t="s">
        <v>1623</v>
      </c>
      <c r="AH12" s="152"/>
      <c r="AI12" s="152"/>
      <c r="AJ12" s="128"/>
      <c r="AK12" s="152"/>
      <c r="AL12" s="152"/>
      <c r="AM12" s="152" t="s">
        <v>1623</v>
      </c>
      <c r="AN12" s="128"/>
      <c r="AO12" s="152" t="s">
        <v>1623</v>
      </c>
      <c r="AP12" s="152"/>
      <c r="AQ12" s="128"/>
      <c r="AR12" s="126"/>
      <c r="AS12" s="126"/>
      <c r="AT12" s="126" t="s">
        <v>1623</v>
      </c>
      <c r="AU12" s="128"/>
      <c r="AV12" s="152"/>
      <c r="AW12" s="152" t="s">
        <v>1623</v>
      </c>
      <c r="AX12" s="104"/>
      <c r="AY12" s="152"/>
      <c r="AZ12" s="152"/>
      <c r="BA12" s="152" t="s">
        <v>1623</v>
      </c>
      <c r="BB12" s="314"/>
      <c r="BC12" s="128"/>
      <c r="BD12" s="152"/>
      <c r="BE12" s="275"/>
      <c r="BF12" s="277"/>
      <c r="BG12" s="152"/>
      <c r="BH12" s="152"/>
      <c r="BI12" s="128" t="s">
        <v>2674</v>
      </c>
      <c r="BJ12" s="152" t="s">
        <v>1623</v>
      </c>
      <c r="BK12" s="152"/>
      <c r="BL12" s="152"/>
      <c r="BM12" s="152"/>
      <c r="BN12" s="128"/>
      <c r="BO12" s="152" t="s">
        <v>1623</v>
      </c>
      <c r="BP12" s="152"/>
      <c r="BQ12" s="152"/>
      <c r="BR12" s="128"/>
      <c r="BS12" s="152"/>
      <c r="BT12" s="152" t="s">
        <v>1623</v>
      </c>
      <c r="BU12" s="128"/>
      <c r="BV12" s="185" t="s">
        <v>1623</v>
      </c>
      <c r="BW12" s="152"/>
      <c r="BX12" s="128"/>
      <c r="BY12" s="152"/>
      <c r="BZ12" s="152" t="s">
        <v>1623</v>
      </c>
      <c r="CA12" s="152" t="s">
        <v>1623</v>
      </c>
      <c r="CB12" s="104"/>
      <c r="CC12" s="152"/>
      <c r="CD12" s="152" t="s">
        <v>1623</v>
      </c>
      <c r="CE12" s="152"/>
      <c r="CF12" s="128"/>
      <c r="CG12" s="152" t="s">
        <v>1623</v>
      </c>
      <c r="CH12" s="152"/>
      <c r="CI12" s="278"/>
      <c r="CJ12" s="128"/>
      <c r="CK12" s="152"/>
      <c r="CL12" s="152"/>
      <c r="CM12" s="128" t="s">
        <v>2671</v>
      </c>
      <c r="CN12" s="152"/>
      <c r="CO12" s="152"/>
      <c r="CP12" s="152"/>
      <c r="CQ12" s="104" t="s">
        <v>2671</v>
      </c>
      <c r="CR12" s="314" t="s">
        <v>2658</v>
      </c>
      <c r="CS12" s="314" t="s">
        <v>2657</v>
      </c>
      <c r="CT12" s="104" t="s">
        <v>2659</v>
      </c>
      <c r="DF12" t="s">
        <v>1623</v>
      </c>
      <c r="DH12" t="s">
        <v>1623</v>
      </c>
      <c r="DJ12" t="s">
        <v>1623</v>
      </c>
    </row>
    <row r="13" spans="1:173" x14ac:dyDescent="0.25">
      <c r="A13" s="104">
        <v>2013</v>
      </c>
      <c r="B13" s="308" t="s">
        <v>3684</v>
      </c>
      <c r="C13" s="338" t="s">
        <v>1621</v>
      </c>
      <c r="D13" s="152"/>
      <c r="E13" s="152"/>
      <c r="F13" s="152" t="s">
        <v>1623</v>
      </c>
      <c r="G13" s="152"/>
      <c r="H13" s="152"/>
      <c r="I13" s="104"/>
      <c r="J13" s="152"/>
      <c r="K13" s="166" t="s">
        <v>1623</v>
      </c>
      <c r="L13" s="152" t="s">
        <v>1623</v>
      </c>
      <c r="M13" s="166" t="s">
        <v>1623</v>
      </c>
      <c r="N13" s="222" t="s">
        <v>1623</v>
      </c>
      <c r="O13" s="222"/>
      <c r="P13" s="222"/>
      <c r="Q13" s="104"/>
      <c r="R13" s="152"/>
      <c r="S13" s="152" t="s">
        <v>1623</v>
      </c>
      <c r="T13" s="128"/>
      <c r="U13" s="152"/>
      <c r="V13" s="152" t="s">
        <v>1623</v>
      </c>
      <c r="W13" s="128"/>
      <c r="X13" s="152" t="s">
        <v>1623</v>
      </c>
      <c r="Y13" s="152"/>
      <c r="Z13" s="128"/>
      <c r="AA13" s="152" t="s">
        <v>1623</v>
      </c>
      <c r="AB13" s="152"/>
      <c r="AC13" s="128"/>
      <c r="AD13" s="152"/>
      <c r="AE13" s="152" t="s">
        <v>1623</v>
      </c>
      <c r="AF13" s="128"/>
      <c r="AG13" s="152" t="s">
        <v>1623</v>
      </c>
      <c r="AH13" s="152"/>
      <c r="AI13" s="152"/>
      <c r="AJ13" s="128"/>
      <c r="AK13" s="152" t="s">
        <v>1623</v>
      </c>
      <c r="AL13" s="152"/>
      <c r="AM13" s="152"/>
      <c r="AN13" s="128"/>
      <c r="AO13" s="152" t="s">
        <v>1623</v>
      </c>
      <c r="AP13" s="152"/>
      <c r="AQ13" s="128"/>
      <c r="AR13" s="126"/>
      <c r="AS13" s="126"/>
      <c r="AT13" s="126" t="s">
        <v>1623</v>
      </c>
      <c r="AU13" s="128"/>
      <c r="AV13" s="152"/>
      <c r="AW13" s="152" t="s">
        <v>1623</v>
      </c>
      <c r="AX13" s="104"/>
      <c r="AY13" s="152"/>
      <c r="AZ13" s="152"/>
      <c r="BA13" s="152"/>
      <c r="BB13" s="314" t="s">
        <v>1623</v>
      </c>
      <c r="BC13" s="128"/>
      <c r="BD13" s="152"/>
      <c r="BE13" s="275"/>
      <c r="BF13" s="277"/>
      <c r="BG13" s="152"/>
      <c r="BH13" s="152" t="s">
        <v>1623</v>
      </c>
      <c r="BI13" s="128"/>
      <c r="BJ13" s="152"/>
      <c r="BK13" s="152"/>
      <c r="BL13" s="152"/>
      <c r="BM13" s="152"/>
      <c r="BN13" s="128" t="s">
        <v>2674</v>
      </c>
      <c r="BO13" s="182"/>
      <c r="BP13" s="152"/>
      <c r="BQ13" s="152"/>
      <c r="BR13" s="128" t="s">
        <v>2671</v>
      </c>
      <c r="BS13" s="152"/>
      <c r="BT13" s="152"/>
      <c r="BU13" s="128" t="s">
        <v>2671</v>
      </c>
      <c r="BV13" s="182"/>
      <c r="BW13" s="152"/>
      <c r="BX13" s="323" t="s">
        <v>2671</v>
      </c>
      <c r="BY13" s="152"/>
      <c r="BZ13" s="152"/>
      <c r="CA13" s="152"/>
      <c r="CB13" s="104" t="s">
        <v>2671</v>
      </c>
      <c r="CC13" s="152"/>
      <c r="CD13" s="152"/>
      <c r="CE13" s="152" t="s">
        <v>1623</v>
      </c>
      <c r="CF13" s="128"/>
      <c r="CG13" s="152" t="s">
        <v>1623</v>
      </c>
      <c r="CH13" s="152"/>
      <c r="CI13" s="278"/>
      <c r="CJ13" s="128"/>
      <c r="CK13" s="152" t="s">
        <v>1623</v>
      </c>
      <c r="CL13" s="152"/>
      <c r="CM13" s="128"/>
      <c r="CN13" s="152"/>
      <c r="CO13" s="152" t="s">
        <v>1623</v>
      </c>
      <c r="CP13" s="152"/>
      <c r="CQ13" s="104"/>
      <c r="CR13" s="314" t="s">
        <v>2658</v>
      </c>
      <c r="CS13" s="314" t="s">
        <v>2657</v>
      </c>
      <c r="CT13" s="104" t="s">
        <v>2659</v>
      </c>
      <c r="DG13" t="s">
        <v>1623</v>
      </c>
    </row>
    <row r="14" spans="1:173" x14ac:dyDescent="0.25">
      <c r="A14" s="104">
        <v>2006</v>
      </c>
      <c r="B14" s="308" t="s">
        <v>3685</v>
      </c>
      <c r="C14" s="338" t="s">
        <v>1623</v>
      </c>
      <c r="D14" s="152"/>
      <c r="E14" s="152" t="s">
        <v>1623</v>
      </c>
      <c r="F14" s="152" t="s">
        <v>1623</v>
      </c>
      <c r="G14" s="152"/>
      <c r="H14" s="152"/>
      <c r="I14" s="104"/>
      <c r="J14" s="152"/>
      <c r="K14" s="166" t="s">
        <v>1623</v>
      </c>
      <c r="L14" s="152"/>
      <c r="M14" s="166"/>
      <c r="N14" s="222"/>
      <c r="O14" s="222"/>
      <c r="P14" s="222"/>
      <c r="Q14" s="104"/>
      <c r="R14" s="152" t="s">
        <v>1623</v>
      </c>
      <c r="S14" s="152"/>
      <c r="T14" s="128"/>
      <c r="U14" s="152"/>
      <c r="V14" s="152" t="s">
        <v>1623</v>
      </c>
      <c r="W14" s="128"/>
      <c r="X14" s="152" t="s">
        <v>1623</v>
      </c>
      <c r="Y14" s="152"/>
      <c r="Z14" s="128"/>
      <c r="AA14" s="152" t="s">
        <v>1623</v>
      </c>
      <c r="AB14" s="152"/>
      <c r="AC14" s="128"/>
      <c r="AD14" s="152"/>
      <c r="AE14" s="152" t="s">
        <v>1623</v>
      </c>
      <c r="AF14" s="128"/>
      <c r="AG14" s="152"/>
      <c r="AH14" s="152" t="s">
        <v>1623</v>
      </c>
      <c r="AI14" s="152"/>
      <c r="AJ14" s="128"/>
      <c r="AK14" s="152" t="s">
        <v>1623</v>
      </c>
      <c r="AL14" s="152"/>
      <c r="AM14" s="152"/>
      <c r="AN14" s="128"/>
      <c r="AO14" s="152" t="s">
        <v>1623</v>
      </c>
      <c r="AP14" s="152"/>
      <c r="AQ14" s="128"/>
      <c r="AR14" s="126"/>
      <c r="AS14" s="126"/>
      <c r="AT14" s="126" t="s">
        <v>1623</v>
      </c>
      <c r="AU14" s="128"/>
      <c r="AV14" s="152"/>
      <c r="AW14" s="152" t="s">
        <v>1623</v>
      </c>
      <c r="AX14" s="104"/>
      <c r="AY14" s="152"/>
      <c r="AZ14" s="152"/>
      <c r="BA14" s="152"/>
      <c r="BB14" s="314" t="s">
        <v>1623</v>
      </c>
      <c r="BC14" s="128"/>
      <c r="BD14" s="152"/>
      <c r="BE14" s="275"/>
      <c r="BF14" s="277"/>
      <c r="BG14" s="152"/>
      <c r="BH14" s="152"/>
      <c r="BI14" s="128" t="s">
        <v>2674</v>
      </c>
      <c r="BJ14" s="152"/>
      <c r="BK14" s="152" t="s">
        <v>1623</v>
      </c>
      <c r="BL14" s="152"/>
      <c r="BM14" s="152"/>
      <c r="BN14" s="128"/>
      <c r="BO14" s="152"/>
      <c r="BP14" s="152" t="s">
        <v>1623</v>
      </c>
      <c r="BQ14" s="152"/>
      <c r="BR14" s="128"/>
      <c r="BS14" s="152" t="s">
        <v>1623</v>
      </c>
      <c r="BT14" s="152"/>
      <c r="BU14" s="128"/>
      <c r="BV14" s="182"/>
      <c r="BW14" s="152" t="s">
        <v>1623</v>
      </c>
      <c r="BX14" s="325"/>
      <c r="BY14" s="152"/>
      <c r="BZ14" s="152"/>
      <c r="CA14" s="152" t="s">
        <v>1623</v>
      </c>
      <c r="CB14" s="104"/>
      <c r="CC14" s="152"/>
      <c r="CD14" s="152" t="s">
        <v>1623</v>
      </c>
      <c r="CE14" s="152"/>
      <c r="CF14" s="128"/>
      <c r="CG14" s="152" t="s">
        <v>1623</v>
      </c>
      <c r="CH14" s="152"/>
      <c r="CI14" s="278"/>
      <c r="CJ14" s="128"/>
      <c r="CK14" s="152" t="s">
        <v>1623</v>
      </c>
      <c r="CL14" s="152"/>
      <c r="CM14" s="128"/>
      <c r="CN14" s="152"/>
      <c r="CO14" s="152"/>
      <c r="CP14" s="152" t="s">
        <v>1623</v>
      </c>
      <c r="CQ14" s="104"/>
      <c r="CR14" s="314" t="s">
        <v>2658</v>
      </c>
      <c r="CS14" s="314" t="s">
        <v>2657</v>
      </c>
      <c r="CT14" s="104" t="s">
        <v>2659</v>
      </c>
      <c r="DH14" t="s">
        <v>1623</v>
      </c>
      <c r="DI14" t="s">
        <v>1623</v>
      </c>
      <c r="DJ14" t="s">
        <v>1623</v>
      </c>
    </row>
    <row r="15" spans="1:173" x14ac:dyDescent="0.25">
      <c r="A15" s="104">
        <v>2009</v>
      </c>
      <c r="B15" s="308" t="s">
        <v>3686</v>
      </c>
      <c r="C15" s="338" t="s">
        <v>1623</v>
      </c>
      <c r="D15" s="152"/>
      <c r="E15" s="152" t="s">
        <v>1623</v>
      </c>
      <c r="F15" s="152" t="s">
        <v>1623</v>
      </c>
      <c r="G15" s="152"/>
      <c r="H15" s="152"/>
      <c r="I15" s="104"/>
      <c r="J15" s="152"/>
      <c r="K15" s="166" t="s">
        <v>1623</v>
      </c>
      <c r="L15" s="152"/>
      <c r="M15" s="166"/>
      <c r="N15" s="222"/>
      <c r="O15" s="222"/>
      <c r="P15" s="222"/>
      <c r="Q15" s="104"/>
      <c r="R15" s="152"/>
      <c r="S15" s="152" t="s">
        <v>1623</v>
      </c>
      <c r="T15" s="128"/>
      <c r="U15" s="152"/>
      <c r="V15" s="152" t="s">
        <v>1623</v>
      </c>
      <c r="W15" s="128"/>
      <c r="X15" s="152"/>
      <c r="Y15" s="152" t="s">
        <v>1623</v>
      </c>
      <c r="Z15" s="128"/>
      <c r="AA15" s="152" t="s">
        <v>1623</v>
      </c>
      <c r="AB15" s="152"/>
      <c r="AC15" s="128"/>
      <c r="AD15" s="152"/>
      <c r="AE15" s="152" t="s">
        <v>1623</v>
      </c>
      <c r="AF15" s="128"/>
      <c r="AG15" s="152"/>
      <c r="AH15" s="152" t="s">
        <v>1623</v>
      </c>
      <c r="AI15" s="152"/>
      <c r="AJ15" s="128"/>
      <c r="AK15" s="152" t="s">
        <v>1623</v>
      </c>
      <c r="AL15" s="152"/>
      <c r="AM15" s="152"/>
      <c r="AN15" s="128"/>
      <c r="AO15" s="152" t="s">
        <v>1623</v>
      </c>
      <c r="AP15" s="152"/>
      <c r="AQ15" s="128"/>
      <c r="AR15" s="126"/>
      <c r="AS15" s="126" t="s">
        <v>1623</v>
      </c>
      <c r="AT15" s="126"/>
      <c r="AU15" s="128"/>
      <c r="AV15" s="152"/>
      <c r="AW15" s="152" t="s">
        <v>1623</v>
      </c>
      <c r="AX15" s="104"/>
      <c r="AY15" s="152"/>
      <c r="AZ15" s="152"/>
      <c r="BA15" s="152"/>
      <c r="BB15" s="314" t="s">
        <v>1623</v>
      </c>
      <c r="BC15" s="128"/>
      <c r="BD15" s="152"/>
      <c r="BE15" s="275"/>
      <c r="BF15" s="277"/>
      <c r="BG15" s="152"/>
      <c r="BH15" s="152"/>
      <c r="BI15" s="128" t="s">
        <v>2674</v>
      </c>
      <c r="BJ15" s="152"/>
      <c r="BK15" s="152"/>
      <c r="BL15" s="152"/>
      <c r="BM15" s="152" t="s">
        <v>1623</v>
      </c>
      <c r="BN15" s="128"/>
      <c r="BO15" s="152"/>
      <c r="BP15" s="152"/>
      <c r="BQ15" s="152" t="s">
        <v>1623</v>
      </c>
      <c r="BR15" s="128"/>
      <c r="BS15" s="152" t="s">
        <v>1623</v>
      </c>
      <c r="BT15" s="152"/>
      <c r="BU15" s="128"/>
      <c r="BV15" s="152"/>
      <c r="BW15" s="152" t="s">
        <v>1623</v>
      </c>
      <c r="BX15" s="325"/>
      <c r="BY15" s="152"/>
      <c r="BZ15" s="152"/>
      <c r="CA15" s="152"/>
      <c r="CB15" s="104" t="s">
        <v>2671</v>
      </c>
      <c r="CC15" s="152"/>
      <c r="CD15" s="152" t="s">
        <v>1623</v>
      </c>
      <c r="CE15" s="152"/>
      <c r="CF15" s="128"/>
      <c r="CG15" s="152" t="s">
        <v>1623</v>
      </c>
      <c r="CH15" s="152"/>
      <c r="CI15" s="278"/>
      <c r="CJ15" s="128"/>
      <c r="CK15" s="152" t="s">
        <v>1623</v>
      </c>
      <c r="CL15" s="152"/>
      <c r="CM15" s="128"/>
      <c r="CN15" s="152"/>
      <c r="CO15" s="152"/>
      <c r="CP15" s="152"/>
      <c r="CQ15" s="104" t="s">
        <v>2671</v>
      </c>
      <c r="CR15" s="314" t="s">
        <v>2658</v>
      </c>
      <c r="CS15" s="314" t="s">
        <v>2657</v>
      </c>
      <c r="CT15" s="104" t="s">
        <v>2659</v>
      </c>
      <c r="DH15" t="s">
        <v>1623</v>
      </c>
      <c r="DI15" t="s">
        <v>1623</v>
      </c>
    </row>
    <row r="16" spans="1:173" x14ac:dyDescent="0.25">
      <c r="A16" s="104">
        <v>2017</v>
      </c>
      <c r="B16" s="308" t="s">
        <v>3687</v>
      </c>
      <c r="C16" s="338" t="s">
        <v>1621</v>
      </c>
      <c r="D16" s="152"/>
      <c r="E16" s="152" t="s">
        <v>1623</v>
      </c>
      <c r="F16" s="152" t="s">
        <v>1623</v>
      </c>
      <c r="G16" s="152"/>
      <c r="H16" s="152"/>
      <c r="I16" s="104"/>
      <c r="J16" s="152"/>
      <c r="K16" s="166" t="s">
        <v>1623</v>
      </c>
      <c r="L16" s="152" t="s">
        <v>1623</v>
      </c>
      <c r="M16" s="166" t="s">
        <v>1623</v>
      </c>
      <c r="N16" s="222" t="s">
        <v>1623</v>
      </c>
      <c r="O16" s="222"/>
      <c r="P16" s="222" t="s">
        <v>1623</v>
      </c>
      <c r="Q16" s="104"/>
      <c r="R16" s="152"/>
      <c r="S16" s="152" t="s">
        <v>1623</v>
      </c>
      <c r="T16" s="128"/>
      <c r="U16" s="152"/>
      <c r="V16" s="152" t="s">
        <v>1623</v>
      </c>
      <c r="W16" s="128"/>
      <c r="X16" s="152" t="s">
        <v>1623</v>
      </c>
      <c r="Y16" s="152"/>
      <c r="Z16" s="128"/>
      <c r="AA16" s="152" t="s">
        <v>1623</v>
      </c>
      <c r="AB16" s="152"/>
      <c r="AC16" s="128"/>
      <c r="AD16" s="322" t="s">
        <v>1623</v>
      </c>
      <c r="AE16" s="322" t="s">
        <v>1623</v>
      </c>
      <c r="AF16" s="323" t="s">
        <v>2671</v>
      </c>
      <c r="AG16" s="152" t="s">
        <v>1623</v>
      </c>
      <c r="AH16" s="152"/>
      <c r="AI16" s="152"/>
      <c r="AJ16" s="128"/>
      <c r="AK16" s="152"/>
      <c r="AL16" s="152"/>
      <c r="AM16" s="152" t="s">
        <v>1623</v>
      </c>
      <c r="AN16" s="128"/>
      <c r="AO16" s="152"/>
      <c r="AP16" s="152" t="s">
        <v>1623</v>
      </c>
      <c r="AQ16" s="128"/>
      <c r="AR16" s="126"/>
      <c r="AS16" s="126"/>
      <c r="AT16" s="126" t="s">
        <v>1623</v>
      </c>
      <c r="AU16" s="128"/>
      <c r="AV16" s="152"/>
      <c r="AW16" s="152" t="s">
        <v>1623</v>
      </c>
      <c r="AX16" s="104"/>
      <c r="AY16" s="152"/>
      <c r="AZ16" s="152" t="s">
        <v>1623</v>
      </c>
      <c r="BA16" s="152"/>
      <c r="BB16" s="314"/>
      <c r="BC16" s="128"/>
      <c r="BD16" s="152"/>
      <c r="BE16" s="275"/>
      <c r="BF16" s="277"/>
      <c r="BG16" s="152"/>
      <c r="BH16" s="152"/>
      <c r="BI16" s="128" t="s">
        <v>2674</v>
      </c>
      <c r="BJ16" s="152"/>
      <c r="BK16" s="152"/>
      <c r="BL16" s="152"/>
      <c r="BM16" s="152"/>
      <c r="BN16" s="128" t="s">
        <v>2674</v>
      </c>
      <c r="BO16" s="182"/>
      <c r="BP16" s="152"/>
      <c r="BQ16" s="152"/>
      <c r="BR16" s="128" t="s">
        <v>2671</v>
      </c>
      <c r="BS16" s="152"/>
      <c r="BT16" s="152"/>
      <c r="BU16" s="128" t="s">
        <v>2671</v>
      </c>
      <c r="BV16" s="182"/>
      <c r="BW16" s="152"/>
      <c r="BX16" s="325" t="s">
        <v>2671</v>
      </c>
      <c r="BY16" s="152"/>
      <c r="BZ16" s="152"/>
      <c r="CA16" s="152"/>
      <c r="CB16" s="104" t="s">
        <v>2671</v>
      </c>
      <c r="CC16" s="152"/>
      <c r="CD16" s="152" t="s">
        <v>1623</v>
      </c>
      <c r="CE16" s="152"/>
      <c r="CF16" s="128"/>
      <c r="CG16" s="152" t="s">
        <v>1623</v>
      </c>
      <c r="CH16" s="152"/>
      <c r="CI16" s="278"/>
      <c r="CJ16" s="128"/>
      <c r="CK16" s="152" t="s">
        <v>1623</v>
      </c>
      <c r="CL16" s="152"/>
      <c r="CM16" s="128"/>
      <c r="CN16" s="152"/>
      <c r="CO16" s="152" t="s">
        <v>1623</v>
      </c>
      <c r="CP16" s="152"/>
      <c r="CQ16" s="104"/>
      <c r="CR16" s="152" t="s">
        <v>2657</v>
      </c>
      <c r="CS16" s="152" t="s">
        <v>2658</v>
      </c>
      <c r="CT16" s="104" t="s">
        <v>2659</v>
      </c>
      <c r="DF16" t="s">
        <v>1623</v>
      </c>
    </row>
    <row r="17" spans="1:114" x14ac:dyDescent="0.25">
      <c r="A17" s="104">
        <v>2020</v>
      </c>
      <c r="B17" s="308" t="s">
        <v>3688</v>
      </c>
      <c r="C17" s="338" t="s">
        <v>1623</v>
      </c>
      <c r="D17" s="152"/>
      <c r="E17" s="152" t="s">
        <v>1623</v>
      </c>
      <c r="F17" s="152" t="s">
        <v>1623</v>
      </c>
      <c r="G17" s="152"/>
      <c r="H17" s="152"/>
      <c r="I17" s="104"/>
      <c r="J17" s="152"/>
      <c r="K17" s="166" t="s">
        <v>1623</v>
      </c>
      <c r="L17" s="152"/>
      <c r="M17" s="166" t="s">
        <v>1623</v>
      </c>
      <c r="N17" s="222" t="s">
        <v>1623</v>
      </c>
      <c r="O17" s="222"/>
      <c r="P17" s="222" t="s">
        <v>1623</v>
      </c>
      <c r="Q17" s="104"/>
      <c r="R17" s="152"/>
      <c r="S17" s="152" t="s">
        <v>1623</v>
      </c>
      <c r="T17" s="128"/>
      <c r="U17" s="152"/>
      <c r="V17" s="152" t="s">
        <v>1623</v>
      </c>
      <c r="W17" s="128"/>
      <c r="X17" s="152" t="s">
        <v>1623</v>
      </c>
      <c r="Y17" s="152"/>
      <c r="Z17" s="128"/>
      <c r="AA17" s="152" t="s">
        <v>1623</v>
      </c>
      <c r="AB17" s="152"/>
      <c r="AC17" s="128"/>
      <c r="AD17" s="324"/>
      <c r="AE17" s="324" t="s">
        <v>1623</v>
      </c>
      <c r="AF17" s="325"/>
      <c r="AG17" s="152" t="s">
        <v>1623</v>
      </c>
      <c r="AH17" s="152"/>
      <c r="AI17" s="152"/>
      <c r="AJ17" s="128"/>
      <c r="AK17" s="152"/>
      <c r="AL17" s="152"/>
      <c r="AM17" s="152" t="s">
        <v>1623</v>
      </c>
      <c r="AN17" s="128"/>
      <c r="AO17" s="152"/>
      <c r="AP17" s="152" t="s">
        <v>1623</v>
      </c>
      <c r="AQ17" s="128"/>
      <c r="AR17" s="126"/>
      <c r="AS17" s="126"/>
      <c r="AT17" s="126" t="s">
        <v>1623</v>
      </c>
      <c r="AU17" s="128"/>
      <c r="AV17" s="152"/>
      <c r="AW17" s="152" t="s">
        <v>1623</v>
      </c>
      <c r="AX17" s="104"/>
      <c r="AY17" s="152"/>
      <c r="AZ17" s="152" t="s">
        <v>1623</v>
      </c>
      <c r="BA17" s="152"/>
      <c r="BB17" s="314"/>
      <c r="BC17" s="128"/>
      <c r="BD17" s="152"/>
      <c r="BE17" s="275"/>
      <c r="BF17" s="166" t="s">
        <v>1623</v>
      </c>
      <c r="BG17" s="152"/>
      <c r="BH17" s="152"/>
      <c r="BI17" s="128"/>
      <c r="BJ17" s="152"/>
      <c r="BK17" s="152"/>
      <c r="BL17" s="152" t="s">
        <v>1623</v>
      </c>
      <c r="BM17" s="152"/>
      <c r="BN17" s="128"/>
      <c r="BO17" s="152"/>
      <c r="BP17" s="152" t="s">
        <v>1623</v>
      </c>
      <c r="BQ17" s="152"/>
      <c r="BR17" s="128"/>
      <c r="BS17" s="152" t="s">
        <v>1623</v>
      </c>
      <c r="BT17" s="152"/>
      <c r="BU17" s="128"/>
      <c r="BV17" s="152"/>
      <c r="BW17" s="152" t="s">
        <v>1623</v>
      </c>
      <c r="BX17" s="325"/>
      <c r="BY17" s="152" t="s">
        <v>1623</v>
      </c>
      <c r="BZ17" s="152"/>
      <c r="CA17" s="152"/>
      <c r="CB17" s="104"/>
      <c r="CC17" s="152"/>
      <c r="CD17" s="152" t="s">
        <v>1623</v>
      </c>
      <c r="CE17" s="152"/>
      <c r="CF17" s="128"/>
      <c r="CG17" s="152" t="s">
        <v>1623</v>
      </c>
      <c r="CH17" s="152"/>
      <c r="CI17" s="278"/>
      <c r="CJ17" s="128"/>
      <c r="CK17" s="152" t="s">
        <v>1623</v>
      </c>
      <c r="CL17" s="152"/>
      <c r="CM17" s="128"/>
      <c r="CN17" s="152" t="s">
        <v>1623</v>
      </c>
      <c r="CO17" s="152"/>
      <c r="CP17" s="152"/>
      <c r="CQ17" s="104"/>
      <c r="CR17" s="152" t="s">
        <v>2657</v>
      </c>
      <c r="CS17" s="152" t="s">
        <v>2658</v>
      </c>
      <c r="CT17" s="104" t="s">
        <v>2659</v>
      </c>
      <c r="DF17" t="s">
        <v>1623</v>
      </c>
      <c r="DG17" t="s">
        <v>1623</v>
      </c>
      <c r="DH17" t="s">
        <v>1623</v>
      </c>
      <c r="DI17" t="s">
        <v>1623</v>
      </c>
      <c r="DJ17" t="s">
        <v>1623</v>
      </c>
    </row>
    <row r="18" spans="1:114" x14ac:dyDescent="0.25">
      <c r="A18" s="104">
        <v>2011</v>
      </c>
      <c r="B18" s="308" t="s">
        <v>3689</v>
      </c>
      <c r="C18" s="338" t="s">
        <v>1623</v>
      </c>
      <c r="D18" s="152"/>
      <c r="E18" s="152"/>
      <c r="F18" s="152" t="s">
        <v>1623</v>
      </c>
      <c r="G18" s="152"/>
      <c r="H18" s="152"/>
      <c r="I18" s="104"/>
      <c r="J18" s="152"/>
      <c r="K18" s="166" t="s">
        <v>1623</v>
      </c>
      <c r="L18" s="152" t="s">
        <v>1623</v>
      </c>
      <c r="M18" s="166" t="s">
        <v>1623</v>
      </c>
      <c r="N18" s="222" t="s">
        <v>1623</v>
      </c>
      <c r="O18" s="222"/>
      <c r="P18" s="222"/>
      <c r="Q18" s="104"/>
      <c r="R18" s="152"/>
      <c r="S18" s="152" t="s">
        <v>1623</v>
      </c>
      <c r="T18" s="128"/>
      <c r="U18" s="152"/>
      <c r="V18" s="152" t="s">
        <v>1623</v>
      </c>
      <c r="W18" s="128"/>
      <c r="X18" s="152" t="s">
        <v>1623</v>
      </c>
      <c r="Y18" s="152"/>
      <c r="Z18" s="128"/>
      <c r="AA18" s="152" t="s">
        <v>1623</v>
      </c>
      <c r="AB18" s="152"/>
      <c r="AC18" s="128"/>
      <c r="AD18" s="324"/>
      <c r="AE18" s="324" t="s">
        <v>1623</v>
      </c>
      <c r="AF18" s="325"/>
      <c r="AG18" s="152"/>
      <c r="AH18" s="152"/>
      <c r="AI18" s="152" t="s">
        <v>1623</v>
      </c>
      <c r="AJ18" s="128"/>
      <c r="AK18" s="152" t="s">
        <v>1623</v>
      </c>
      <c r="AL18" s="152"/>
      <c r="AM18" s="152" t="s">
        <v>1623</v>
      </c>
      <c r="AN18" s="128"/>
      <c r="AO18" s="152"/>
      <c r="AP18" s="152" t="s">
        <v>1623</v>
      </c>
      <c r="AQ18" s="128"/>
      <c r="AR18" s="126"/>
      <c r="AS18" s="126"/>
      <c r="AT18" s="126" t="s">
        <v>1623</v>
      </c>
      <c r="AU18" s="128"/>
      <c r="AV18" s="152"/>
      <c r="AW18" s="152" t="s">
        <v>1623</v>
      </c>
      <c r="AX18" s="104"/>
      <c r="AY18" s="152" t="s">
        <v>1623</v>
      </c>
      <c r="AZ18" s="152"/>
      <c r="BA18" s="152"/>
      <c r="BB18" s="314"/>
      <c r="BC18" s="128"/>
      <c r="BD18" s="152"/>
      <c r="BE18" s="275"/>
      <c r="BF18" s="277"/>
      <c r="BG18" s="152"/>
      <c r="BH18" s="152"/>
      <c r="BI18" s="128" t="s">
        <v>2674</v>
      </c>
      <c r="BJ18" s="152"/>
      <c r="BK18" s="152"/>
      <c r="BL18" s="152" t="s">
        <v>1623</v>
      </c>
      <c r="BM18" s="152"/>
      <c r="BN18" s="128"/>
      <c r="BO18" s="152"/>
      <c r="BP18" s="152" t="s">
        <v>1623</v>
      </c>
      <c r="BQ18" s="152"/>
      <c r="BR18" s="128"/>
      <c r="BS18" s="152"/>
      <c r="BT18" s="152" t="s">
        <v>1623</v>
      </c>
      <c r="BU18" s="128"/>
      <c r="BV18" s="186" t="s">
        <v>1623</v>
      </c>
      <c r="BW18" s="152"/>
      <c r="BX18" s="325"/>
      <c r="BY18" s="152"/>
      <c r="BZ18" s="152" t="s">
        <v>1623</v>
      </c>
      <c r="CA18" s="152" t="s">
        <v>1623</v>
      </c>
      <c r="CB18" s="104"/>
      <c r="CC18" s="152"/>
      <c r="CD18" s="152" t="s">
        <v>1623</v>
      </c>
      <c r="CE18" s="152"/>
      <c r="CF18" s="128"/>
      <c r="CG18" s="152" t="s">
        <v>1623</v>
      </c>
      <c r="CH18" s="152"/>
      <c r="CI18" s="278"/>
      <c r="CJ18" s="128"/>
      <c r="CK18" s="152" t="s">
        <v>1623</v>
      </c>
      <c r="CL18" s="152"/>
      <c r="CM18" s="128"/>
      <c r="CN18" s="152"/>
      <c r="CO18" s="152"/>
      <c r="CP18" s="152" t="s">
        <v>1623</v>
      </c>
      <c r="CQ18" s="104"/>
      <c r="CR18" s="152" t="s">
        <v>2658</v>
      </c>
      <c r="CS18" s="152" t="s">
        <v>2657</v>
      </c>
      <c r="CT18" s="104" t="s">
        <v>2659</v>
      </c>
      <c r="DF18" t="s">
        <v>1623</v>
      </c>
      <c r="DH18" t="s">
        <v>1623</v>
      </c>
      <c r="DI18" t="s">
        <v>1623</v>
      </c>
      <c r="DJ18" t="s">
        <v>1623</v>
      </c>
    </row>
    <row r="19" spans="1:114" x14ac:dyDescent="0.25">
      <c r="A19" s="104">
        <v>2018</v>
      </c>
      <c r="B19" s="308" t="s">
        <v>3690</v>
      </c>
      <c r="C19" s="338" t="s">
        <v>1623</v>
      </c>
      <c r="D19" s="152"/>
      <c r="E19" s="152" t="s">
        <v>1623</v>
      </c>
      <c r="F19" s="152"/>
      <c r="G19" s="152"/>
      <c r="H19" s="152"/>
      <c r="I19" s="104"/>
      <c r="J19" s="152"/>
      <c r="K19" s="166" t="s">
        <v>1623</v>
      </c>
      <c r="L19" s="152" t="s">
        <v>1623</v>
      </c>
      <c r="M19" s="166"/>
      <c r="N19" s="222"/>
      <c r="O19" s="222"/>
      <c r="P19" s="222"/>
      <c r="Q19" s="104"/>
      <c r="R19" s="152"/>
      <c r="S19" s="152" t="s">
        <v>1623</v>
      </c>
      <c r="T19" s="128"/>
      <c r="U19" s="152"/>
      <c r="V19" s="152" t="s">
        <v>1623</v>
      </c>
      <c r="W19" s="128"/>
      <c r="X19" s="152" t="s">
        <v>1623</v>
      </c>
      <c r="Y19" s="152"/>
      <c r="Z19" s="128"/>
      <c r="AA19" s="152" t="s">
        <v>1623</v>
      </c>
      <c r="AB19" s="152"/>
      <c r="AC19" s="128"/>
      <c r="AD19" s="324"/>
      <c r="AE19" s="324" t="s">
        <v>1623</v>
      </c>
      <c r="AF19" s="325"/>
      <c r="AG19" s="152"/>
      <c r="AH19" s="152" t="s">
        <v>1623</v>
      </c>
      <c r="AI19" s="152"/>
      <c r="AJ19" s="128"/>
      <c r="AK19" s="152" t="s">
        <v>1623</v>
      </c>
      <c r="AL19" s="152"/>
      <c r="AM19" s="152"/>
      <c r="AN19" s="128"/>
      <c r="AO19" s="152" t="s">
        <v>1623</v>
      </c>
      <c r="AP19" s="152"/>
      <c r="AQ19" s="128"/>
      <c r="AR19" s="126"/>
      <c r="AS19" s="126" t="s">
        <v>1623</v>
      </c>
      <c r="AT19" s="126"/>
      <c r="AU19" s="128"/>
      <c r="AV19" s="152" t="s">
        <v>1623</v>
      </c>
      <c r="AW19" s="152"/>
      <c r="AX19" s="104"/>
      <c r="AY19" s="152" t="s">
        <v>1623</v>
      </c>
      <c r="AZ19" s="152"/>
      <c r="BA19" s="152"/>
      <c r="BB19" s="314"/>
      <c r="BC19" s="128"/>
      <c r="BD19" s="152"/>
      <c r="BE19" s="275"/>
      <c r="BF19" s="277"/>
      <c r="BG19" s="152"/>
      <c r="BH19" s="152"/>
      <c r="BI19" s="128" t="s">
        <v>2674</v>
      </c>
      <c r="BJ19" s="152" t="s">
        <v>1623</v>
      </c>
      <c r="BK19" s="152"/>
      <c r="BL19" s="152"/>
      <c r="BM19" s="152" t="s">
        <v>1623</v>
      </c>
      <c r="BN19" s="128"/>
      <c r="BO19" s="152"/>
      <c r="BP19" s="152"/>
      <c r="BQ19" s="152" t="s">
        <v>1623</v>
      </c>
      <c r="BR19" s="128"/>
      <c r="BS19" s="152" t="s">
        <v>1623</v>
      </c>
      <c r="BT19" s="152"/>
      <c r="BU19" s="128"/>
      <c r="BV19" s="152"/>
      <c r="BW19" s="152" t="s">
        <v>1623</v>
      </c>
      <c r="BX19" s="325"/>
      <c r="BY19" s="152"/>
      <c r="BZ19" s="152"/>
      <c r="CA19" s="152"/>
      <c r="CB19" s="104" t="s">
        <v>2671</v>
      </c>
      <c r="CC19" s="152" t="s">
        <v>1623</v>
      </c>
      <c r="CD19" s="152"/>
      <c r="CE19" s="152"/>
      <c r="CF19" s="128"/>
      <c r="CG19" s="152"/>
      <c r="CH19" s="152"/>
      <c r="CI19" s="278"/>
      <c r="CJ19" s="128" t="s">
        <v>2671</v>
      </c>
      <c r="CK19" s="152"/>
      <c r="CL19" s="152"/>
      <c r="CM19" s="128" t="s">
        <v>2671</v>
      </c>
      <c r="CN19" s="152"/>
      <c r="CO19" s="152"/>
      <c r="CP19" s="152"/>
      <c r="CQ19" s="104" t="s">
        <v>2671</v>
      </c>
      <c r="CR19" s="314" t="s">
        <v>2658</v>
      </c>
      <c r="CS19" s="314" t="s">
        <v>2657</v>
      </c>
      <c r="CT19" s="104" t="s">
        <v>2659</v>
      </c>
      <c r="DF19" t="s">
        <v>1623</v>
      </c>
      <c r="DH19" t="s">
        <v>1623</v>
      </c>
      <c r="DI19" t="s">
        <v>1623</v>
      </c>
    </row>
    <row r="20" spans="1:114" x14ac:dyDescent="0.25">
      <c r="A20" s="104">
        <v>2009</v>
      </c>
      <c r="B20" s="308" t="s">
        <v>3691</v>
      </c>
      <c r="C20" s="338" t="s">
        <v>1623</v>
      </c>
      <c r="D20" s="152"/>
      <c r="E20" s="152" t="s">
        <v>1623</v>
      </c>
      <c r="F20" s="152"/>
      <c r="G20" s="152"/>
      <c r="H20" s="152"/>
      <c r="I20" s="104"/>
      <c r="J20" s="152" t="s">
        <v>1623</v>
      </c>
      <c r="K20" s="166" t="s">
        <v>1623</v>
      </c>
      <c r="L20" s="152"/>
      <c r="M20" s="166"/>
      <c r="N20" s="222"/>
      <c r="O20" s="222"/>
      <c r="P20" s="222"/>
      <c r="Q20" s="104"/>
      <c r="R20" s="152"/>
      <c r="S20" s="152" t="s">
        <v>1623</v>
      </c>
      <c r="T20" s="128"/>
      <c r="U20" s="152"/>
      <c r="V20" s="152" t="s">
        <v>1623</v>
      </c>
      <c r="W20" s="128"/>
      <c r="X20" s="152" t="s">
        <v>1623</v>
      </c>
      <c r="Y20" s="152"/>
      <c r="Z20" s="128"/>
      <c r="AA20" s="152" t="s">
        <v>1623</v>
      </c>
      <c r="AB20" s="152"/>
      <c r="AC20" s="128"/>
      <c r="AD20" s="324"/>
      <c r="AE20" s="324" t="s">
        <v>1623</v>
      </c>
      <c r="AF20" s="325"/>
      <c r="AG20" s="152" t="s">
        <v>1623</v>
      </c>
      <c r="AH20" s="152"/>
      <c r="AI20" s="152"/>
      <c r="AJ20" s="128"/>
      <c r="AK20" s="152" t="s">
        <v>1623</v>
      </c>
      <c r="AL20" s="152"/>
      <c r="AM20" s="152"/>
      <c r="AN20" s="128"/>
      <c r="AO20" s="152"/>
      <c r="AP20" s="152" t="s">
        <v>1623</v>
      </c>
      <c r="AQ20" s="128"/>
      <c r="AR20" s="126"/>
      <c r="AS20" s="126"/>
      <c r="AT20" s="126" t="s">
        <v>1623</v>
      </c>
      <c r="AU20" s="128"/>
      <c r="AV20" s="152"/>
      <c r="AW20" s="152" t="s">
        <v>1623</v>
      </c>
      <c r="AX20" s="104"/>
      <c r="AY20" s="152"/>
      <c r="AZ20" s="152"/>
      <c r="BA20" s="152"/>
      <c r="BB20" s="314" t="s">
        <v>1623</v>
      </c>
      <c r="BC20" s="128"/>
      <c r="BD20" s="152"/>
      <c r="BE20" s="275"/>
      <c r="BF20" s="277"/>
      <c r="BG20" s="152"/>
      <c r="BH20" s="152"/>
      <c r="BI20" s="128" t="s">
        <v>2674</v>
      </c>
      <c r="BJ20" s="152"/>
      <c r="BK20" s="152" t="s">
        <v>1623</v>
      </c>
      <c r="BL20" s="152"/>
      <c r="BM20" s="152"/>
      <c r="BN20" s="128"/>
      <c r="BO20" s="152" t="s">
        <v>1623</v>
      </c>
      <c r="BP20" s="152"/>
      <c r="BQ20" s="152"/>
      <c r="BR20" s="128"/>
      <c r="BS20" s="152" t="s">
        <v>1623</v>
      </c>
      <c r="BT20" s="152"/>
      <c r="BU20" s="128"/>
      <c r="BV20" s="182"/>
      <c r="BW20" s="152" t="s">
        <v>1623</v>
      </c>
      <c r="BX20" s="325"/>
      <c r="BY20" s="152"/>
      <c r="BZ20" s="152"/>
      <c r="CA20" s="152" t="s">
        <v>1623</v>
      </c>
      <c r="CB20" s="104"/>
      <c r="CC20" s="152"/>
      <c r="CD20" s="152" t="s">
        <v>1623</v>
      </c>
      <c r="CE20" s="152"/>
      <c r="CF20" s="128"/>
      <c r="CG20" s="152" t="s">
        <v>1623</v>
      </c>
      <c r="CH20" s="152"/>
      <c r="CI20" s="278"/>
      <c r="CJ20" s="128"/>
      <c r="CK20" s="152" t="s">
        <v>1623</v>
      </c>
      <c r="CL20" s="152"/>
      <c r="CM20" s="128"/>
      <c r="CN20" s="152"/>
      <c r="CO20" s="152" t="s">
        <v>1623</v>
      </c>
      <c r="CP20" s="152"/>
      <c r="CQ20" s="104"/>
      <c r="CR20" s="314" t="s">
        <v>2658</v>
      </c>
      <c r="CS20" s="314" t="s">
        <v>2657</v>
      </c>
      <c r="CT20" s="104" t="s">
        <v>2659</v>
      </c>
      <c r="DH20" t="s">
        <v>1623</v>
      </c>
      <c r="DJ20" t="s">
        <v>1623</v>
      </c>
    </row>
    <row r="21" spans="1:114" x14ac:dyDescent="0.25">
      <c r="A21" s="104">
        <v>2009</v>
      </c>
      <c r="B21" s="308" t="s">
        <v>3692</v>
      </c>
      <c r="C21" s="338" t="s">
        <v>1621</v>
      </c>
      <c r="D21" s="152"/>
      <c r="E21" s="152" t="s">
        <v>1623</v>
      </c>
      <c r="F21" s="152"/>
      <c r="G21" s="152"/>
      <c r="H21" s="152"/>
      <c r="I21" s="104"/>
      <c r="J21" s="152"/>
      <c r="K21" s="166" t="s">
        <v>1623</v>
      </c>
      <c r="L21" s="152" t="s">
        <v>1623</v>
      </c>
      <c r="M21" s="166" t="s">
        <v>1623</v>
      </c>
      <c r="N21" s="222" t="s">
        <v>1623</v>
      </c>
      <c r="O21" s="222"/>
      <c r="P21" s="222"/>
      <c r="Q21" s="104"/>
      <c r="R21" s="152"/>
      <c r="S21" s="152" t="s">
        <v>1623</v>
      </c>
      <c r="T21" s="128"/>
      <c r="U21" s="152"/>
      <c r="V21" s="152" t="s">
        <v>1623</v>
      </c>
      <c r="W21" s="128"/>
      <c r="X21" s="152" t="s">
        <v>1623</v>
      </c>
      <c r="Y21" s="152"/>
      <c r="Z21" s="128"/>
      <c r="AA21" s="152"/>
      <c r="AB21" s="152" t="s">
        <v>1623</v>
      </c>
      <c r="AC21" s="128"/>
      <c r="AD21" s="324" t="s">
        <v>1623</v>
      </c>
      <c r="AE21" s="324" t="s">
        <v>1623</v>
      </c>
      <c r="AF21" s="325"/>
      <c r="AG21" s="152"/>
      <c r="AH21" s="152" t="s">
        <v>1623</v>
      </c>
      <c r="AI21" s="152"/>
      <c r="AJ21" s="128"/>
      <c r="AK21" s="152"/>
      <c r="AL21" s="152"/>
      <c r="AM21" s="152" t="s">
        <v>1623</v>
      </c>
      <c r="AN21" s="128"/>
      <c r="AO21" s="152" t="s">
        <v>1623</v>
      </c>
      <c r="AP21" s="152"/>
      <c r="AQ21" s="128"/>
      <c r="AR21" s="126" t="s">
        <v>1623</v>
      </c>
      <c r="AS21" s="126"/>
      <c r="AT21" s="126"/>
      <c r="AU21" s="128"/>
      <c r="AV21" s="152"/>
      <c r="AW21" s="152" t="s">
        <v>1623</v>
      </c>
      <c r="AX21" s="104"/>
      <c r="AY21" s="152"/>
      <c r="AZ21" s="152"/>
      <c r="BA21" s="152"/>
      <c r="BB21" s="314"/>
      <c r="BC21" s="128" t="s">
        <v>2674</v>
      </c>
      <c r="BD21" s="152" t="s">
        <v>1623</v>
      </c>
      <c r="BE21" s="275"/>
      <c r="BF21" s="277"/>
      <c r="BG21" s="152"/>
      <c r="BH21" s="152"/>
      <c r="BI21" s="128"/>
      <c r="BJ21" s="152"/>
      <c r="BK21" s="152"/>
      <c r="BL21" s="152"/>
      <c r="BM21" s="152"/>
      <c r="BN21" s="128" t="s">
        <v>2674</v>
      </c>
      <c r="BO21" s="182"/>
      <c r="BP21" s="152"/>
      <c r="BQ21" s="152"/>
      <c r="BR21" s="128" t="s">
        <v>2671</v>
      </c>
      <c r="BS21" s="152"/>
      <c r="BT21" s="152"/>
      <c r="BU21" s="128" t="s">
        <v>2671</v>
      </c>
      <c r="BV21" s="152"/>
      <c r="BW21" s="152"/>
      <c r="BX21" s="325" t="s">
        <v>2671</v>
      </c>
      <c r="BY21" s="152"/>
      <c r="BZ21" s="152"/>
      <c r="CA21" s="152"/>
      <c r="CB21" s="104" t="s">
        <v>2671</v>
      </c>
      <c r="CC21" s="152"/>
      <c r="CD21" s="152" t="s">
        <v>1623</v>
      </c>
      <c r="CE21" s="152"/>
      <c r="CF21" s="128"/>
      <c r="CG21" s="152" t="s">
        <v>1623</v>
      </c>
      <c r="CH21" s="152"/>
      <c r="CI21" s="278"/>
      <c r="CJ21" s="128"/>
      <c r="CK21" s="152" t="s">
        <v>1623</v>
      </c>
      <c r="CL21" s="152"/>
      <c r="CM21" s="128"/>
      <c r="CN21" s="152"/>
      <c r="CO21" s="152"/>
      <c r="CP21" s="152" t="s">
        <v>1623</v>
      </c>
      <c r="CQ21" s="104"/>
      <c r="CR21" s="314" t="s">
        <v>2658</v>
      </c>
      <c r="CS21" s="314" t="s">
        <v>2657</v>
      </c>
      <c r="CT21" s="104" t="s">
        <v>2659</v>
      </c>
      <c r="DG21" t="s">
        <v>1623</v>
      </c>
    </row>
    <row r="22" spans="1:114" x14ac:dyDescent="0.25">
      <c r="A22" s="104">
        <v>2015</v>
      </c>
      <c r="B22" s="308" t="s">
        <v>3693</v>
      </c>
      <c r="C22" s="338" t="s">
        <v>1621</v>
      </c>
      <c r="D22" s="152" t="s">
        <v>1623</v>
      </c>
      <c r="E22" s="152"/>
      <c r="F22" s="152"/>
      <c r="G22" s="152"/>
      <c r="H22" s="152"/>
      <c r="I22" s="104"/>
      <c r="J22" s="152"/>
      <c r="K22" s="166" t="s">
        <v>1623</v>
      </c>
      <c r="L22" s="152" t="s">
        <v>1623</v>
      </c>
      <c r="M22" s="166"/>
      <c r="N22" s="222"/>
      <c r="O22" s="222"/>
      <c r="P22" s="222"/>
      <c r="Q22" s="104"/>
      <c r="R22" s="152"/>
      <c r="S22" s="152" t="s">
        <v>1623</v>
      </c>
      <c r="T22" s="128"/>
      <c r="U22" s="152" t="s">
        <v>1623</v>
      </c>
      <c r="V22" s="152"/>
      <c r="W22" s="128"/>
      <c r="X22" s="152" t="s">
        <v>1623</v>
      </c>
      <c r="Y22" s="152"/>
      <c r="Z22" s="128"/>
      <c r="AA22" s="152" t="s">
        <v>1623</v>
      </c>
      <c r="AB22" s="152"/>
      <c r="AC22" s="128"/>
      <c r="AD22" s="324"/>
      <c r="AE22" s="324" t="s">
        <v>1623</v>
      </c>
      <c r="AF22" s="325"/>
      <c r="AG22" s="152"/>
      <c r="AH22" s="152" t="s">
        <v>1623</v>
      </c>
      <c r="AI22" s="152"/>
      <c r="AJ22" s="128"/>
      <c r="AK22" s="152" t="s">
        <v>1623</v>
      </c>
      <c r="AL22" s="152"/>
      <c r="AM22" s="152"/>
      <c r="AN22" s="128"/>
      <c r="AO22" s="152" t="s">
        <v>1623</v>
      </c>
      <c r="AP22" s="152"/>
      <c r="AQ22" s="128"/>
      <c r="AR22" s="126"/>
      <c r="AS22" s="126"/>
      <c r="AT22" s="126" t="s">
        <v>1623</v>
      </c>
      <c r="AU22" s="128"/>
      <c r="AV22" s="152" t="s">
        <v>1623</v>
      </c>
      <c r="AW22" s="152"/>
      <c r="AX22" s="104"/>
      <c r="AY22" s="152"/>
      <c r="AZ22" s="152"/>
      <c r="BA22" s="152" t="s">
        <v>1623</v>
      </c>
      <c r="BB22" s="314"/>
      <c r="BC22" s="128"/>
      <c r="BD22" s="152"/>
      <c r="BE22" s="275"/>
      <c r="BF22" s="277"/>
      <c r="BG22" s="152" t="s">
        <v>1623</v>
      </c>
      <c r="BH22" s="152"/>
      <c r="BI22" s="128"/>
      <c r="BJ22" s="152"/>
      <c r="BK22" s="152"/>
      <c r="BL22" s="152"/>
      <c r="BM22" s="152"/>
      <c r="BN22" s="128" t="s">
        <v>2674</v>
      </c>
      <c r="BO22" s="322"/>
      <c r="BP22" s="324"/>
      <c r="BQ22" s="324"/>
      <c r="BR22" s="325" t="s">
        <v>2671</v>
      </c>
      <c r="BS22" s="322"/>
      <c r="BT22" s="322"/>
      <c r="BU22" s="128" t="s">
        <v>2671</v>
      </c>
      <c r="BV22" s="182"/>
      <c r="BW22" s="152"/>
      <c r="BX22" s="323" t="s">
        <v>2671</v>
      </c>
      <c r="BY22" s="152"/>
      <c r="BZ22" s="152"/>
      <c r="CA22" s="152"/>
      <c r="CB22" s="104" t="s">
        <v>2671</v>
      </c>
      <c r="CC22" s="152"/>
      <c r="CD22" s="152" t="s">
        <v>1623</v>
      </c>
      <c r="CE22" s="152"/>
      <c r="CF22" s="128"/>
      <c r="CG22" s="152" t="s">
        <v>1623</v>
      </c>
      <c r="CH22" s="152"/>
      <c r="CI22" s="278"/>
      <c r="CJ22" s="128"/>
      <c r="CK22" s="152" t="s">
        <v>1623</v>
      </c>
      <c r="CL22" s="152"/>
      <c r="CM22" s="128"/>
      <c r="CN22" s="152"/>
      <c r="CO22" s="152" t="s">
        <v>1623</v>
      </c>
      <c r="CP22" s="152"/>
      <c r="CQ22" s="104"/>
      <c r="CR22" s="314" t="s">
        <v>2658</v>
      </c>
      <c r="CS22" s="314" t="s">
        <v>2657</v>
      </c>
      <c r="CT22" s="104" t="s">
        <v>2659</v>
      </c>
      <c r="DF22" t="s">
        <v>1623</v>
      </c>
      <c r="DG22" t="s">
        <v>1623</v>
      </c>
    </row>
    <row r="23" spans="1:114" x14ac:dyDescent="0.25">
      <c r="A23" s="104">
        <v>2010</v>
      </c>
      <c r="B23" s="308" t="s">
        <v>3694</v>
      </c>
      <c r="C23" s="338" t="s">
        <v>1621</v>
      </c>
      <c r="D23" s="152" t="s">
        <v>1623</v>
      </c>
      <c r="E23" s="152"/>
      <c r="F23" s="152"/>
      <c r="G23" s="152"/>
      <c r="H23" s="152"/>
      <c r="I23" s="104"/>
      <c r="J23" s="152" t="s">
        <v>1623</v>
      </c>
      <c r="K23" s="166" t="s">
        <v>1623</v>
      </c>
      <c r="L23" s="152" t="s">
        <v>1623</v>
      </c>
      <c r="M23" s="166" t="s">
        <v>1623</v>
      </c>
      <c r="N23" s="222" t="s">
        <v>1623</v>
      </c>
      <c r="O23" s="222"/>
      <c r="P23" s="222" t="s">
        <v>1623</v>
      </c>
      <c r="Q23" s="104"/>
      <c r="R23" s="152" t="s">
        <v>1623</v>
      </c>
      <c r="S23" s="152"/>
      <c r="T23" s="128"/>
      <c r="U23" s="152"/>
      <c r="V23" s="152" t="s">
        <v>1623</v>
      </c>
      <c r="W23" s="128"/>
      <c r="X23" s="152" t="s">
        <v>1623</v>
      </c>
      <c r="Y23" s="152"/>
      <c r="Z23" s="128"/>
      <c r="AA23" s="152" t="s">
        <v>1623</v>
      </c>
      <c r="AB23" s="152"/>
      <c r="AC23" s="128"/>
      <c r="AD23" s="322" t="s">
        <v>1623</v>
      </c>
      <c r="AE23" s="322" t="s">
        <v>1623</v>
      </c>
      <c r="AF23" s="323" t="s">
        <v>2671</v>
      </c>
      <c r="AG23" s="152" t="s">
        <v>1623</v>
      </c>
      <c r="AH23" s="152"/>
      <c r="AI23" s="152"/>
      <c r="AJ23" s="128"/>
      <c r="AK23" s="152"/>
      <c r="AL23" s="152"/>
      <c r="AM23" s="152"/>
      <c r="AN23" s="128" t="s">
        <v>2671</v>
      </c>
      <c r="AO23" s="152"/>
      <c r="AP23" s="152"/>
      <c r="AQ23" s="128" t="s">
        <v>2671</v>
      </c>
      <c r="AR23" s="126"/>
      <c r="AS23" s="126"/>
      <c r="AT23" s="327" t="s">
        <v>1623</v>
      </c>
      <c r="AU23" s="128" t="s">
        <v>2671</v>
      </c>
      <c r="AV23" s="152"/>
      <c r="AW23" s="152"/>
      <c r="AX23" s="104" t="s">
        <v>2671</v>
      </c>
      <c r="AY23" s="152"/>
      <c r="AZ23" s="152"/>
      <c r="BA23" s="13" t="s">
        <v>1623</v>
      </c>
      <c r="BB23" s="314"/>
      <c r="BC23" s="128"/>
      <c r="BD23" s="152"/>
      <c r="BE23" s="275"/>
      <c r="BF23" s="277"/>
      <c r="BG23" s="152"/>
      <c r="BH23" s="152"/>
      <c r="BI23" s="128" t="s">
        <v>2674</v>
      </c>
      <c r="BJ23" s="152"/>
      <c r="BK23" s="152"/>
      <c r="BL23" s="152"/>
      <c r="BM23" s="152"/>
      <c r="BN23" s="128" t="s">
        <v>2674</v>
      </c>
      <c r="BO23" s="182"/>
      <c r="BP23" s="152"/>
      <c r="BQ23" s="152"/>
      <c r="BR23" s="128" t="s">
        <v>2671</v>
      </c>
      <c r="BS23" s="152"/>
      <c r="BT23" s="152"/>
      <c r="BU23" s="128" t="s">
        <v>2671</v>
      </c>
      <c r="BV23" s="152"/>
      <c r="BW23" s="152"/>
      <c r="BX23" s="325" t="s">
        <v>2671</v>
      </c>
      <c r="BY23" s="152"/>
      <c r="BZ23" s="152"/>
      <c r="CA23" s="152"/>
      <c r="CB23" s="104" t="s">
        <v>2671</v>
      </c>
      <c r="CC23" s="152"/>
      <c r="CD23" s="152" t="s">
        <v>1623</v>
      </c>
      <c r="CE23" s="152"/>
      <c r="CF23" s="128"/>
      <c r="CG23" s="152"/>
      <c r="CH23" s="152" t="s">
        <v>1623</v>
      </c>
      <c r="CI23" s="278"/>
      <c r="CJ23" s="128"/>
      <c r="CK23" s="152" t="s">
        <v>1623</v>
      </c>
      <c r="CL23" s="152"/>
      <c r="CM23" s="128"/>
      <c r="CN23" s="152"/>
      <c r="CO23" s="152" t="s">
        <v>1623</v>
      </c>
      <c r="CP23" s="152"/>
      <c r="CQ23" s="104"/>
      <c r="CR23" s="314" t="s">
        <v>2658</v>
      </c>
      <c r="CS23" s="314" t="s">
        <v>2657</v>
      </c>
      <c r="CT23" s="104" t="s">
        <v>2659</v>
      </c>
      <c r="DF23" t="s">
        <v>1623</v>
      </c>
    </row>
    <row r="24" spans="1:114" x14ac:dyDescent="0.25">
      <c r="A24" s="104">
        <v>2012</v>
      </c>
      <c r="B24" s="308" t="s">
        <v>3695</v>
      </c>
      <c r="C24" s="338" t="s">
        <v>1623</v>
      </c>
      <c r="D24" s="152"/>
      <c r="E24" s="152" t="s">
        <v>1623</v>
      </c>
      <c r="F24" s="152"/>
      <c r="G24" s="152"/>
      <c r="H24" s="152"/>
      <c r="I24" s="104"/>
      <c r="J24" s="152"/>
      <c r="K24" s="166" t="s">
        <v>1623</v>
      </c>
      <c r="L24" s="152" t="s">
        <v>1623</v>
      </c>
      <c r="M24" s="166" t="s">
        <v>1623</v>
      </c>
      <c r="N24" s="222" t="s">
        <v>1623</v>
      </c>
      <c r="O24" s="222" t="s">
        <v>1623</v>
      </c>
      <c r="P24" s="222"/>
      <c r="Q24" s="104"/>
      <c r="R24" s="152" t="s">
        <v>1623</v>
      </c>
      <c r="S24" s="152"/>
      <c r="T24" s="128"/>
      <c r="U24" s="152"/>
      <c r="V24" s="152" t="s">
        <v>1623</v>
      </c>
      <c r="W24" s="128"/>
      <c r="X24" s="152" t="s">
        <v>1623</v>
      </c>
      <c r="Y24" s="152"/>
      <c r="Z24" s="128"/>
      <c r="AA24" s="152" t="s">
        <v>1623</v>
      </c>
      <c r="AB24" s="152"/>
      <c r="AC24" s="128"/>
      <c r="AD24" s="324"/>
      <c r="AE24" s="324" t="s">
        <v>1623</v>
      </c>
      <c r="AF24" s="325"/>
      <c r="AG24" s="152"/>
      <c r="AH24" s="152" t="s">
        <v>1623</v>
      </c>
      <c r="AI24" s="152"/>
      <c r="AJ24" s="128"/>
      <c r="AK24" s="152" t="s">
        <v>1623</v>
      </c>
      <c r="AL24" s="152"/>
      <c r="AM24" s="152" t="s">
        <v>1623</v>
      </c>
      <c r="AN24" s="128"/>
      <c r="AO24" s="152" t="s">
        <v>1623</v>
      </c>
      <c r="AP24" s="152"/>
      <c r="AQ24" s="128"/>
      <c r="AR24" s="126"/>
      <c r="AS24" s="126"/>
      <c r="AT24" s="126" t="s">
        <v>1623</v>
      </c>
      <c r="AU24" s="128"/>
      <c r="AV24" s="152"/>
      <c r="AW24" s="152" t="s">
        <v>1623</v>
      </c>
      <c r="AX24" s="104"/>
      <c r="AY24" s="152"/>
      <c r="AZ24" s="152" t="s">
        <v>1623</v>
      </c>
      <c r="BA24" s="152"/>
      <c r="BB24" s="314"/>
      <c r="BC24" s="128"/>
      <c r="BD24" s="152"/>
      <c r="BE24" s="275"/>
      <c r="BF24" s="277"/>
      <c r="BG24" s="152"/>
      <c r="BH24" s="152"/>
      <c r="BI24" s="128" t="s">
        <v>2674</v>
      </c>
      <c r="BJ24" s="152" t="s">
        <v>1623</v>
      </c>
      <c r="BK24" s="152" t="s">
        <v>1623</v>
      </c>
      <c r="BL24" s="152"/>
      <c r="BM24" s="152" t="s">
        <v>1623</v>
      </c>
      <c r="BN24" s="128"/>
      <c r="BO24" s="152"/>
      <c r="BP24" s="152" t="s">
        <v>1623</v>
      </c>
      <c r="BQ24" s="152"/>
      <c r="BR24" s="128"/>
      <c r="BS24" s="152"/>
      <c r="BT24" s="152" t="s">
        <v>1623</v>
      </c>
      <c r="BU24" s="128"/>
      <c r="BV24" s="186" t="s">
        <v>1623</v>
      </c>
      <c r="BW24" s="152"/>
      <c r="BX24" s="325"/>
      <c r="BY24" s="152"/>
      <c r="BZ24" s="152" t="s">
        <v>1623</v>
      </c>
      <c r="CA24" s="152" t="s">
        <v>1623</v>
      </c>
      <c r="CB24" s="104"/>
      <c r="CC24" s="152"/>
      <c r="CD24" s="152"/>
      <c r="CE24" s="152" t="s">
        <v>1623</v>
      </c>
      <c r="CF24" s="128"/>
      <c r="CG24" s="152" t="s">
        <v>1623</v>
      </c>
      <c r="CH24" s="152"/>
      <c r="CI24" s="278"/>
      <c r="CJ24" s="128"/>
      <c r="CK24" s="152" t="s">
        <v>1623</v>
      </c>
      <c r="CL24" s="152"/>
      <c r="CM24" s="128"/>
      <c r="CN24" s="152"/>
      <c r="CO24" s="152" t="s">
        <v>1623</v>
      </c>
      <c r="CP24" s="152"/>
      <c r="CQ24" s="104"/>
      <c r="CR24" s="314" t="s">
        <v>2658</v>
      </c>
      <c r="CS24" s="314" t="s">
        <v>2657</v>
      </c>
      <c r="CT24" s="104" t="s">
        <v>2659</v>
      </c>
      <c r="DF24" t="s">
        <v>1623</v>
      </c>
      <c r="DH24" t="s">
        <v>1623</v>
      </c>
      <c r="DI24" t="s">
        <v>1623</v>
      </c>
      <c r="DJ24" t="s">
        <v>1623</v>
      </c>
    </row>
    <row r="25" spans="1:114" x14ac:dyDescent="0.25">
      <c r="A25" s="104">
        <v>2012</v>
      </c>
      <c r="B25" s="308" t="s">
        <v>3696</v>
      </c>
      <c r="C25" s="338" t="s">
        <v>1623</v>
      </c>
      <c r="D25" s="152"/>
      <c r="E25" s="152"/>
      <c r="F25" s="152" t="s">
        <v>1623</v>
      </c>
      <c r="G25" s="152"/>
      <c r="H25" s="152"/>
      <c r="I25" s="104"/>
      <c r="J25" s="152"/>
      <c r="K25" s="166" t="s">
        <v>1623</v>
      </c>
      <c r="L25" s="152" t="s">
        <v>1623</v>
      </c>
      <c r="M25" s="166"/>
      <c r="N25" s="222"/>
      <c r="O25" s="222"/>
      <c r="P25" s="222"/>
      <c r="Q25" s="104"/>
      <c r="R25" s="152"/>
      <c r="S25" s="152" t="s">
        <v>1623</v>
      </c>
      <c r="T25" s="128"/>
      <c r="U25" s="152"/>
      <c r="V25" s="152" t="s">
        <v>1623</v>
      </c>
      <c r="W25" s="128"/>
      <c r="X25" s="152" t="s">
        <v>1623</v>
      </c>
      <c r="Y25" s="152"/>
      <c r="Z25" s="128"/>
      <c r="AA25" s="152" t="s">
        <v>1623</v>
      </c>
      <c r="AB25" s="152"/>
      <c r="AC25" s="128"/>
      <c r="AD25" s="324"/>
      <c r="AE25" s="324" t="s">
        <v>1623</v>
      </c>
      <c r="AF25" s="325"/>
      <c r="AG25" s="152" t="s">
        <v>1623</v>
      </c>
      <c r="AH25" s="152"/>
      <c r="AI25" s="152"/>
      <c r="AJ25" s="128"/>
      <c r="AK25" s="152"/>
      <c r="AL25" s="152"/>
      <c r="AM25" s="152" t="s">
        <v>1623</v>
      </c>
      <c r="AN25" s="128"/>
      <c r="AO25" s="152" t="s">
        <v>1623</v>
      </c>
      <c r="AP25" s="152"/>
      <c r="AQ25" s="128"/>
      <c r="AR25" s="126"/>
      <c r="AS25" s="126"/>
      <c r="AT25" s="126" t="s">
        <v>1623</v>
      </c>
      <c r="AU25" s="128"/>
      <c r="AV25" s="152" t="s">
        <v>1623</v>
      </c>
      <c r="AW25" s="152"/>
      <c r="AX25" s="104"/>
      <c r="AY25" s="152"/>
      <c r="AZ25" s="152"/>
      <c r="BA25" s="152" t="s">
        <v>1623</v>
      </c>
      <c r="BB25" s="314"/>
      <c r="BC25" s="128"/>
      <c r="BD25" s="152"/>
      <c r="BE25" s="275"/>
      <c r="BF25" s="277"/>
      <c r="BG25" s="152"/>
      <c r="BH25" s="152"/>
      <c r="BI25" s="128" t="s">
        <v>2674</v>
      </c>
      <c r="BJ25" s="152"/>
      <c r="BK25" s="152"/>
      <c r="BL25" s="152" t="s">
        <v>1623</v>
      </c>
      <c r="BM25" s="152"/>
      <c r="BN25" s="128"/>
      <c r="BO25" s="152"/>
      <c r="BP25" s="152" t="s">
        <v>1623</v>
      </c>
      <c r="BQ25" s="152"/>
      <c r="BR25" s="128"/>
      <c r="BS25" s="152"/>
      <c r="BT25" s="152" t="s">
        <v>1623</v>
      </c>
      <c r="BU25" s="128"/>
      <c r="BV25" s="152" t="s">
        <v>1623</v>
      </c>
      <c r="BW25" s="152"/>
      <c r="BX25" s="325"/>
      <c r="BY25" s="152"/>
      <c r="BZ25" s="152" t="s">
        <v>1623</v>
      </c>
      <c r="CA25" s="152" t="s">
        <v>1623</v>
      </c>
      <c r="CB25" s="104"/>
      <c r="CC25" s="152"/>
      <c r="CD25" s="152" t="s">
        <v>1623</v>
      </c>
      <c r="CE25" s="152"/>
      <c r="CF25" s="128"/>
      <c r="CG25" s="152" t="s">
        <v>1623</v>
      </c>
      <c r="CH25" s="152"/>
      <c r="CI25" s="278"/>
      <c r="CJ25" s="128"/>
      <c r="CK25" s="152" t="s">
        <v>1623</v>
      </c>
      <c r="CL25" s="152"/>
      <c r="CM25" s="128"/>
      <c r="CN25" s="152"/>
      <c r="CO25" s="152" t="s">
        <v>1623</v>
      </c>
      <c r="CP25" s="152"/>
      <c r="CQ25" s="104"/>
      <c r="CR25" s="314" t="s">
        <v>2658</v>
      </c>
      <c r="CS25" s="314" t="s">
        <v>2657</v>
      </c>
      <c r="CT25" s="104" t="s">
        <v>2659</v>
      </c>
      <c r="DF25" t="s">
        <v>1623</v>
      </c>
      <c r="DH25" t="s">
        <v>1623</v>
      </c>
      <c r="DI25" t="s">
        <v>1623</v>
      </c>
      <c r="DJ25" t="s">
        <v>1623</v>
      </c>
    </row>
    <row r="26" spans="1:114" x14ac:dyDescent="0.25">
      <c r="A26" s="104">
        <v>2014</v>
      </c>
      <c r="B26" s="308" t="s">
        <v>3697</v>
      </c>
      <c r="C26" s="338" t="s">
        <v>1623</v>
      </c>
      <c r="D26" s="152"/>
      <c r="E26" s="152"/>
      <c r="F26" s="152" t="s">
        <v>1623</v>
      </c>
      <c r="G26" s="152"/>
      <c r="H26" s="152" t="s">
        <v>1623</v>
      </c>
      <c r="I26" s="104"/>
      <c r="J26" s="152"/>
      <c r="K26" s="166" t="s">
        <v>1623</v>
      </c>
      <c r="L26" s="152"/>
      <c r="M26" s="166" t="s">
        <v>1623</v>
      </c>
      <c r="N26" s="222" t="s">
        <v>1623</v>
      </c>
      <c r="O26" s="222"/>
      <c r="P26" s="222"/>
      <c r="Q26" s="104"/>
      <c r="R26" s="152" t="s">
        <v>1623</v>
      </c>
      <c r="S26" s="152"/>
      <c r="T26" s="128"/>
      <c r="U26" s="152"/>
      <c r="V26" s="152" t="s">
        <v>1623</v>
      </c>
      <c r="W26" s="128"/>
      <c r="X26" s="152" t="s">
        <v>1623</v>
      </c>
      <c r="Y26" s="152"/>
      <c r="Z26" s="128"/>
      <c r="AA26" s="152" t="s">
        <v>1623</v>
      </c>
      <c r="AB26" s="152"/>
      <c r="AC26" s="128"/>
      <c r="AD26" s="324"/>
      <c r="AE26" s="324" t="s">
        <v>1623</v>
      </c>
      <c r="AF26" s="325"/>
      <c r="AG26" s="152" t="s">
        <v>1623</v>
      </c>
      <c r="AH26" s="152" t="s">
        <v>1623</v>
      </c>
      <c r="AI26" s="152"/>
      <c r="AJ26" s="128"/>
      <c r="AK26" s="152" t="s">
        <v>1623</v>
      </c>
      <c r="AL26" s="152"/>
      <c r="AM26" s="152"/>
      <c r="AN26" s="128"/>
      <c r="AO26" s="152" t="s">
        <v>1623</v>
      </c>
      <c r="AP26" s="152"/>
      <c r="AQ26" s="128"/>
      <c r="AR26" s="126"/>
      <c r="AS26" s="126"/>
      <c r="AT26" s="126" t="s">
        <v>1623</v>
      </c>
      <c r="AU26" s="128"/>
      <c r="AV26" s="152"/>
      <c r="AW26" s="152" t="s">
        <v>1623</v>
      </c>
      <c r="AX26" s="104"/>
      <c r="AY26" s="152"/>
      <c r="AZ26" s="152" t="s">
        <v>1623</v>
      </c>
      <c r="BA26" s="152"/>
      <c r="BB26" s="314"/>
      <c r="BC26" s="128"/>
      <c r="BD26" s="152"/>
      <c r="BE26" s="275"/>
      <c r="BF26" s="277"/>
      <c r="BG26" s="152"/>
      <c r="BH26" s="152" t="s">
        <v>1623</v>
      </c>
      <c r="BI26" s="128"/>
      <c r="BJ26" s="152" t="s">
        <v>1623</v>
      </c>
      <c r="BK26" s="152"/>
      <c r="BL26" s="152"/>
      <c r="BM26" s="152"/>
      <c r="BN26" s="128"/>
      <c r="BO26" s="152"/>
      <c r="BP26" s="152" t="s">
        <v>1623</v>
      </c>
      <c r="BQ26" s="152"/>
      <c r="BR26" s="128"/>
      <c r="BS26" s="152"/>
      <c r="BT26" s="152" t="s">
        <v>1623</v>
      </c>
      <c r="BU26" s="128"/>
      <c r="BV26" s="152" t="s">
        <v>1623</v>
      </c>
      <c r="BW26" s="152"/>
      <c r="BX26" s="325"/>
      <c r="BY26" s="152"/>
      <c r="BZ26" s="152" t="s">
        <v>1623</v>
      </c>
      <c r="CA26" s="152"/>
      <c r="CB26" s="104"/>
      <c r="CC26" s="152"/>
      <c r="CD26" s="152" t="s">
        <v>1623</v>
      </c>
      <c r="CE26" s="152"/>
      <c r="CF26" s="128"/>
      <c r="CG26" s="152" t="s">
        <v>1623</v>
      </c>
      <c r="CH26" s="152"/>
      <c r="CI26" s="278"/>
      <c r="CJ26" s="128"/>
      <c r="CK26" s="152"/>
      <c r="CL26" s="152" t="s">
        <v>1623</v>
      </c>
      <c r="CM26" s="128"/>
      <c r="CN26" s="152"/>
      <c r="CO26" s="152" t="s">
        <v>1623</v>
      </c>
      <c r="CP26" s="152"/>
      <c r="CQ26" s="104"/>
      <c r="CR26" s="314" t="s">
        <v>2658</v>
      </c>
      <c r="CS26" s="314" t="s">
        <v>2657</v>
      </c>
      <c r="CT26" s="104" t="s">
        <v>2659</v>
      </c>
      <c r="DF26" t="s">
        <v>1623</v>
      </c>
      <c r="DG26" t="s">
        <v>1623</v>
      </c>
      <c r="DH26" t="s">
        <v>1623</v>
      </c>
      <c r="DI26" t="s">
        <v>1623</v>
      </c>
      <c r="DJ26" t="s">
        <v>1623</v>
      </c>
    </row>
    <row r="27" spans="1:114" x14ac:dyDescent="0.25">
      <c r="A27" s="104">
        <v>2015</v>
      </c>
      <c r="B27" s="308" t="s">
        <v>3698</v>
      </c>
      <c r="C27" s="338" t="s">
        <v>1623</v>
      </c>
      <c r="D27" s="152"/>
      <c r="E27" s="152"/>
      <c r="F27" s="152" t="s">
        <v>1623</v>
      </c>
      <c r="G27" s="152"/>
      <c r="H27" s="152"/>
      <c r="I27" s="104"/>
      <c r="J27" s="152"/>
      <c r="K27" s="166" t="s">
        <v>1623</v>
      </c>
      <c r="L27" s="152"/>
      <c r="M27" s="166" t="s">
        <v>1623</v>
      </c>
      <c r="N27" s="222" t="s">
        <v>1623</v>
      </c>
      <c r="O27" s="222"/>
      <c r="P27" s="222"/>
      <c r="Q27" s="104"/>
      <c r="R27" s="152" t="s">
        <v>1623</v>
      </c>
      <c r="S27" s="152"/>
      <c r="T27" s="128"/>
      <c r="U27" s="152"/>
      <c r="V27" s="152" t="s">
        <v>1623</v>
      </c>
      <c r="W27" s="128"/>
      <c r="X27" s="152" t="s">
        <v>1623</v>
      </c>
      <c r="Y27" s="152"/>
      <c r="Z27" s="128"/>
      <c r="AA27" s="152" t="s">
        <v>1623</v>
      </c>
      <c r="AB27" s="152"/>
      <c r="AC27" s="128"/>
      <c r="AD27" s="324"/>
      <c r="AE27" s="324" t="s">
        <v>1623</v>
      </c>
      <c r="AF27" s="325"/>
      <c r="AG27" s="152" t="s">
        <v>1623</v>
      </c>
      <c r="AH27" s="152"/>
      <c r="AI27" s="152"/>
      <c r="AJ27" s="128"/>
      <c r="AK27" s="152"/>
      <c r="AL27" s="152"/>
      <c r="AM27" s="152" t="s">
        <v>1623</v>
      </c>
      <c r="AN27" s="128"/>
      <c r="AO27" s="152" t="s">
        <v>1623</v>
      </c>
      <c r="AP27" s="152"/>
      <c r="AQ27" s="128"/>
      <c r="AR27" s="126"/>
      <c r="AS27" s="198"/>
      <c r="AT27" s="126" t="s">
        <v>1623</v>
      </c>
      <c r="AU27" s="128"/>
      <c r="AV27" s="152"/>
      <c r="AW27" s="152" t="s">
        <v>1623</v>
      </c>
      <c r="AX27" s="104"/>
      <c r="AY27" s="152" t="s">
        <v>1623</v>
      </c>
      <c r="AZ27" s="152"/>
      <c r="BA27" s="152"/>
      <c r="BB27" s="314"/>
      <c r="BC27" s="128"/>
      <c r="BD27" s="152"/>
      <c r="BE27" s="275"/>
      <c r="BF27" s="277"/>
      <c r="BG27" s="152"/>
      <c r="BH27" s="152"/>
      <c r="BI27" s="128" t="s">
        <v>2674</v>
      </c>
      <c r="BJ27" s="152" t="s">
        <v>1623</v>
      </c>
      <c r="BK27" s="152" t="s">
        <v>1623</v>
      </c>
      <c r="BL27" s="152" t="s">
        <v>1623</v>
      </c>
      <c r="BM27" s="152"/>
      <c r="BN27" s="128"/>
      <c r="BO27" s="152"/>
      <c r="BP27" s="152" t="s">
        <v>1623</v>
      </c>
      <c r="BQ27" s="152"/>
      <c r="BR27" s="128"/>
      <c r="BS27" s="152" t="s">
        <v>1623</v>
      </c>
      <c r="BT27" s="152"/>
      <c r="BU27" s="128"/>
      <c r="BV27" s="152"/>
      <c r="BW27" s="152" t="s">
        <v>1623</v>
      </c>
      <c r="BX27" s="325"/>
      <c r="BY27" s="152"/>
      <c r="BZ27" s="152" t="s">
        <v>1623</v>
      </c>
      <c r="CA27" s="152" t="s">
        <v>1623</v>
      </c>
      <c r="CB27" s="104"/>
      <c r="CC27" s="152"/>
      <c r="CD27" s="152" t="s">
        <v>1623</v>
      </c>
      <c r="CE27" s="152"/>
      <c r="CF27" s="128"/>
      <c r="CG27" s="152" t="s">
        <v>1623</v>
      </c>
      <c r="CH27" s="152"/>
      <c r="CI27" s="278"/>
      <c r="CJ27" s="128"/>
      <c r="CK27" s="152" t="s">
        <v>1623</v>
      </c>
      <c r="CL27" s="152"/>
      <c r="CM27" s="128"/>
      <c r="CN27" s="152"/>
      <c r="CO27" s="152" t="s">
        <v>1623</v>
      </c>
      <c r="CP27" s="152"/>
      <c r="CQ27" s="104"/>
      <c r="CR27" s="314" t="s">
        <v>2658</v>
      </c>
      <c r="CS27" s="314" t="s">
        <v>2657</v>
      </c>
      <c r="CT27" s="104" t="s">
        <v>2659</v>
      </c>
      <c r="DF27" t="s">
        <v>1623</v>
      </c>
      <c r="DH27" t="s">
        <v>1623</v>
      </c>
      <c r="DI27" t="s">
        <v>1623</v>
      </c>
      <c r="DJ27" t="s">
        <v>1623</v>
      </c>
    </row>
    <row r="28" spans="1:114" x14ac:dyDescent="0.25">
      <c r="A28" s="104">
        <v>2008</v>
      </c>
      <c r="B28" s="308" t="s">
        <v>3699</v>
      </c>
      <c r="C28" s="338" t="s">
        <v>1623</v>
      </c>
      <c r="D28" s="152"/>
      <c r="E28" s="152" t="s">
        <v>1623</v>
      </c>
      <c r="F28" s="152" t="s">
        <v>1623</v>
      </c>
      <c r="G28" s="152"/>
      <c r="H28" s="152"/>
      <c r="I28" s="104"/>
      <c r="J28" s="152"/>
      <c r="K28" s="166" t="s">
        <v>1623</v>
      </c>
      <c r="L28" s="152"/>
      <c r="M28" s="166" t="s">
        <v>1623</v>
      </c>
      <c r="N28" s="222" t="s">
        <v>1623</v>
      </c>
      <c r="O28" s="222"/>
      <c r="P28" s="222"/>
      <c r="Q28" s="104"/>
      <c r="R28" s="152"/>
      <c r="S28" s="152" t="s">
        <v>1623</v>
      </c>
      <c r="T28" s="128"/>
      <c r="U28" s="152"/>
      <c r="V28" s="152" t="s">
        <v>1623</v>
      </c>
      <c r="W28" s="128"/>
      <c r="X28" s="152" t="s">
        <v>1623</v>
      </c>
      <c r="Y28" s="152"/>
      <c r="Z28" s="128"/>
      <c r="AA28" s="152" t="s">
        <v>1623</v>
      </c>
      <c r="AB28" s="152"/>
      <c r="AC28" s="128"/>
      <c r="AD28" s="324"/>
      <c r="AE28" s="324" t="s">
        <v>1623</v>
      </c>
      <c r="AF28" s="323"/>
      <c r="AG28" s="152"/>
      <c r="AH28" s="152" t="s">
        <v>1623</v>
      </c>
      <c r="AI28" s="152"/>
      <c r="AJ28" s="128"/>
      <c r="AK28" s="152"/>
      <c r="AL28" s="152"/>
      <c r="AM28" s="152" t="s">
        <v>1623</v>
      </c>
      <c r="AN28" s="128"/>
      <c r="AO28" s="152"/>
      <c r="AP28" s="152" t="s">
        <v>1623</v>
      </c>
      <c r="AQ28" s="128"/>
      <c r="AR28" s="126"/>
      <c r="AS28" s="126"/>
      <c r="AT28" s="126" t="s">
        <v>1623</v>
      </c>
      <c r="AU28" s="128"/>
      <c r="AV28" s="152"/>
      <c r="AW28" s="152" t="s">
        <v>1623</v>
      </c>
      <c r="AX28" s="104"/>
      <c r="AY28" s="152"/>
      <c r="AZ28" s="152" t="s">
        <v>1623</v>
      </c>
      <c r="BA28" s="152"/>
      <c r="BB28" s="314"/>
      <c r="BC28" s="128"/>
      <c r="BD28" s="152"/>
      <c r="BE28" s="275"/>
      <c r="BF28" s="277"/>
      <c r="BG28" s="152"/>
      <c r="BH28" s="152"/>
      <c r="BI28" s="128" t="s">
        <v>2674</v>
      </c>
      <c r="BJ28" s="152"/>
      <c r="BK28" s="152"/>
      <c r="BL28" s="152" t="s">
        <v>1623</v>
      </c>
      <c r="BM28" s="152"/>
      <c r="BN28" s="128"/>
      <c r="BO28" s="152" t="s">
        <v>1623</v>
      </c>
      <c r="BP28" s="152"/>
      <c r="BQ28" s="152"/>
      <c r="BR28" s="128"/>
      <c r="BS28" s="152" t="s">
        <v>1623</v>
      </c>
      <c r="BT28" s="152"/>
      <c r="BU28" s="128"/>
      <c r="BV28" s="152"/>
      <c r="BW28" s="152" t="s">
        <v>1623</v>
      </c>
      <c r="BX28" s="325"/>
      <c r="BY28" s="152"/>
      <c r="BZ28" s="152"/>
      <c r="CA28" s="152" t="s">
        <v>1623</v>
      </c>
      <c r="CB28" s="104"/>
      <c r="CC28" s="152"/>
      <c r="CD28" s="152" t="s">
        <v>1623</v>
      </c>
      <c r="CE28" s="152"/>
      <c r="CF28" s="128"/>
      <c r="CG28" s="152" t="s">
        <v>1623</v>
      </c>
      <c r="CH28" s="152"/>
      <c r="CI28" s="278"/>
      <c r="CJ28" s="128"/>
      <c r="CK28" s="152" t="s">
        <v>1623</v>
      </c>
      <c r="CL28" s="152"/>
      <c r="CM28" s="128"/>
      <c r="CN28" s="152"/>
      <c r="CO28" s="152"/>
      <c r="CP28" s="152" t="s">
        <v>1623</v>
      </c>
      <c r="CQ28" s="104"/>
      <c r="CR28" s="314" t="s">
        <v>2658</v>
      </c>
      <c r="CS28" s="314" t="s">
        <v>2657</v>
      </c>
      <c r="CT28" s="104" t="s">
        <v>2659</v>
      </c>
      <c r="DF28" t="s">
        <v>1623</v>
      </c>
      <c r="DH28" t="s">
        <v>1623</v>
      </c>
      <c r="DJ28" t="s">
        <v>1623</v>
      </c>
    </row>
    <row r="29" spans="1:114" x14ac:dyDescent="0.25">
      <c r="A29" s="104">
        <v>2019</v>
      </c>
      <c r="B29" s="308" t="s">
        <v>3700</v>
      </c>
      <c r="C29" s="338" t="s">
        <v>1623</v>
      </c>
      <c r="D29" s="152"/>
      <c r="E29" s="152"/>
      <c r="F29" s="152"/>
      <c r="G29" s="152"/>
      <c r="H29" s="152" t="s">
        <v>1623</v>
      </c>
      <c r="I29" s="104"/>
      <c r="J29" s="152"/>
      <c r="K29" s="166" t="s">
        <v>1623</v>
      </c>
      <c r="L29" s="152"/>
      <c r="M29" s="166"/>
      <c r="N29" s="222"/>
      <c r="O29" s="222"/>
      <c r="P29" s="222"/>
      <c r="Q29" s="104"/>
      <c r="R29" s="152"/>
      <c r="S29" s="152" t="s">
        <v>1623</v>
      </c>
      <c r="T29" s="128"/>
      <c r="U29" s="152"/>
      <c r="V29" s="152" t="s">
        <v>1623</v>
      </c>
      <c r="W29" s="128"/>
      <c r="X29" s="152"/>
      <c r="Y29" s="152" t="s">
        <v>1623</v>
      </c>
      <c r="Z29" s="128"/>
      <c r="AA29" s="152" t="s">
        <v>1623</v>
      </c>
      <c r="AB29" s="152"/>
      <c r="AC29" s="128"/>
      <c r="AD29" s="324" t="s">
        <v>1623</v>
      </c>
      <c r="AE29" s="324"/>
      <c r="AF29" s="325"/>
      <c r="AG29" s="152"/>
      <c r="AH29" s="152" t="s">
        <v>1623</v>
      </c>
      <c r="AI29" s="152"/>
      <c r="AJ29" s="128"/>
      <c r="AK29" s="152" t="s">
        <v>1623</v>
      </c>
      <c r="AL29" s="152"/>
      <c r="AM29" s="152"/>
      <c r="AN29" s="128"/>
      <c r="AO29" s="152"/>
      <c r="AP29" s="152" t="s">
        <v>1623</v>
      </c>
      <c r="AQ29" s="128"/>
      <c r="AR29" s="126"/>
      <c r="AS29" s="126" t="s">
        <v>1623</v>
      </c>
      <c r="AT29" s="126"/>
      <c r="AU29" s="128"/>
      <c r="AV29" s="152"/>
      <c r="AW29" s="152" t="s">
        <v>1623</v>
      </c>
      <c r="AX29" s="104"/>
      <c r="AY29" s="152" t="s">
        <v>1623</v>
      </c>
      <c r="AZ29" s="152"/>
      <c r="BA29" s="152"/>
      <c r="BB29" s="314"/>
      <c r="BC29" s="128"/>
      <c r="BD29" s="152"/>
      <c r="BE29" s="275"/>
      <c r="BF29" s="277"/>
      <c r="BG29" s="152"/>
      <c r="BH29" s="152"/>
      <c r="BI29" s="128" t="s">
        <v>2674</v>
      </c>
      <c r="BJ29" s="152"/>
      <c r="BK29" s="152" t="s">
        <v>1623</v>
      </c>
      <c r="BL29" s="152"/>
      <c r="BM29" s="152"/>
      <c r="BN29" s="128"/>
      <c r="BO29" s="152"/>
      <c r="BP29" s="152" t="s">
        <v>1623</v>
      </c>
      <c r="BQ29" s="152"/>
      <c r="BR29" s="128"/>
      <c r="BS29" s="152"/>
      <c r="BT29" s="152" t="s">
        <v>1623</v>
      </c>
      <c r="BU29" s="128"/>
      <c r="BV29" s="191" t="s">
        <v>1623</v>
      </c>
      <c r="BW29" s="152"/>
      <c r="BX29" s="325"/>
      <c r="BY29" s="152" t="s">
        <v>1623</v>
      </c>
      <c r="BZ29" s="152"/>
      <c r="CA29" s="152"/>
      <c r="CB29" s="104"/>
      <c r="CC29" s="152"/>
      <c r="CD29" s="152" t="s">
        <v>1623</v>
      </c>
      <c r="CE29" s="152"/>
      <c r="CF29" s="128"/>
      <c r="CG29" s="152"/>
      <c r="CH29" s="152" t="s">
        <v>1623</v>
      </c>
      <c r="CI29" s="278"/>
      <c r="CJ29" s="128"/>
      <c r="CK29" s="152" t="s">
        <v>1623</v>
      </c>
      <c r="CL29" s="152"/>
      <c r="CM29" s="128"/>
      <c r="CN29" s="152" t="s">
        <v>1623</v>
      </c>
      <c r="CO29" s="152"/>
      <c r="CP29" s="152"/>
      <c r="CQ29" s="104"/>
      <c r="CR29" s="314" t="s">
        <v>2658</v>
      </c>
      <c r="CS29" s="314" t="s">
        <v>2657</v>
      </c>
      <c r="CT29" s="104" t="s">
        <v>2659</v>
      </c>
      <c r="DF29" t="s">
        <v>1623</v>
      </c>
      <c r="DH29" t="s">
        <v>1623</v>
      </c>
      <c r="DI29" t="s">
        <v>1623</v>
      </c>
      <c r="DJ29" t="s">
        <v>1623</v>
      </c>
    </row>
    <row r="30" spans="1:114" x14ac:dyDescent="0.25">
      <c r="A30" s="104">
        <v>2007</v>
      </c>
      <c r="B30" s="308" t="s">
        <v>3701</v>
      </c>
      <c r="C30" s="338" t="s">
        <v>1623</v>
      </c>
      <c r="D30" s="152"/>
      <c r="E30" s="152"/>
      <c r="F30" s="152" t="s">
        <v>1623</v>
      </c>
      <c r="G30" s="152"/>
      <c r="H30" s="152"/>
      <c r="I30" s="104"/>
      <c r="J30" s="152"/>
      <c r="K30" s="166" t="s">
        <v>1623</v>
      </c>
      <c r="L30" s="152"/>
      <c r="M30" s="166" t="s">
        <v>1623</v>
      </c>
      <c r="N30" s="222" t="s">
        <v>1623</v>
      </c>
      <c r="O30" s="222" t="s">
        <v>1623</v>
      </c>
      <c r="P30" s="222" t="s">
        <v>1623</v>
      </c>
      <c r="Q30" s="104"/>
      <c r="R30" s="152"/>
      <c r="S30" s="152" t="s">
        <v>1623</v>
      </c>
      <c r="T30" s="128"/>
      <c r="U30" s="152"/>
      <c r="V30" s="152" t="s">
        <v>1623</v>
      </c>
      <c r="W30" s="128"/>
      <c r="X30" s="152" t="s">
        <v>1623</v>
      </c>
      <c r="Y30" s="152"/>
      <c r="Z30" s="128"/>
      <c r="AA30" s="152" t="s">
        <v>1623</v>
      </c>
      <c r="AB30" s="152"/>
      <c r="AC30" s="128"/>
      <c r="AD30" s="324"/>
      <c r="AE30" s="324" t="s">
        <v>1623</v>
      </c>
      <c r="AF30" s="325"/>
      <c r="AG30" s="152" t="s">
        <v>1623</v>
      </c>
      <c r="AH30" s="152"/>
      <c r="AI30" s="152"/>
      <c r="AJ30" s="128"/>
      <c r="AK30" s="152" t="s">
        <v>1623</v>
      </c>
      <c r="AL30" s="152"/>
      <c r="AM30" s="152" t="s">
        <v>1623</v>
      </c>
      <c r="AN30" s="128"/>
      <c r="AO30" s="152"/>
      <c r="AP30" s="152" t="s">
        <v>1623</v>
      </c>
      <c r="AQ30" s="128"/>
      <c r="AR30" s="126"/>
      <c r="AS30" s="126"/>
      <c r="AT30" s="126" t="s">
        <v>1623</v>
      </c>
      <c r="AU30" s="128"/>
      <c r="AV30" s="152"/>
      <c r="AW30" s="152" t="s">
        <v>1623</v>
      </c>
      <c r="AX30" s="104"/>
      <c r="AY30" s="152"/>
      <c r="AZ30" s="152"/>
      <c r="BA30" s="152"/>
      <c r="BB30" s="314" t="s">
        <v>1623</v>
      </c>
      <c r="BC30" s="128"/>
      <c r="BD30" s="152"/>
      <c r="BE30" s="275"/>
      <c r="BF30" s="277"/>
      <c r="BG30" s="152"/>
      <c r="BH30" s="152"/>
      <c r="BI30" s="128" t="s">
        <v>2674</v>
      </c>
      <c r="BJ30" s="152" t="s">
        <v>1623</v>
      </c>
      <c r="BK30" s="152"/>
      <c r="BL30" s="152" t="s">
        <v>1623</v>
      </c>
      <c r="BM30" s="152"/>
      <c r="BN30" s="128"/>
      <c r="BO30" s="152" t="s">
        <v>1623</v>
      </c>
      <c r="BP30" s="152"/>
      <c r="BQ30" s="152"/>
      <c r="BR30" s="128"/>
      <c r="BS30" s="152" t="s">
        <v>1623</v>
      </c>
      <c r="BT30" s="152"/>
      <c r="BU30" s="128"/>
      <c r="BV30" s="191" t="s">
        <v>1623</v>
      </c>
      <c r="BW30" s="152"/>
      <c r="BX30" s="325"/>
      <c r="BY30" s="152"/>
      <c r="BZ30" s="152"/>
      <c r="CA30" s="152" t="s">
        <v>1623</v>
      </c>
      <c r="CB30" s="104"/>
      <c r="CC30" s="152"/>
      <c r="CD30" s="152" t="s">
        <v>1623</v>
      </c>
      <c r="CE30" s="152"/>
      <c r="CF30" s="128"/>
      <c r="CG30" s="152" t="s">
        <v>1623</v>
      </c>
      <c r="CH30" s="152"/>
      <c r="CI30" s="278"/>
      <c r="CJ30" s="128"/>
      <c r="CK30" s="152" t="s">
        <v>1623</v>
      </c>
      <c r="CL30" s="152"/>
      <c r="CM30" s="128"/>
      <c r="CN30" s="152"/>
      <c r="CO30" s="152"/>
      <c r="CP30" s="152" t="s">
        <v>1623</v>
      </c>
      <c r="CQ30" s="104"/>
      <c r="CR30" s="314" t="s">
        <v>2658</v>
      </c>
      <c r="CS30" s="314" t="s">
        <v>2657</v>
      </c>
      <c r="CT30" s="104" t="s">
        <v>2659</v>
      </c>
      <c r="DH30" t="s">
        <v>1623</v>
      </c>
      <c r="DJ30" t="s">
        <v>1623</v>
      </c>
    </row>
    <row r="31" spans="1:114" x14ac:dyDescent="0.25">
      <c r="A31" s="104">
        <v>2014</v>
      </c>
      <c r="B31" s="308" t="s">
        <v>3702</v>
      </c>
      <c r="C31" s="338" t="s">
        <v>1623</v>
      </c>
      <c r="D31" s="152"/>
      <c r="E31" s="152"/>
      <c r="F31" s="152"/>
      <c r="G31" s="152"/>
      <c r="H31" s="152" t="s">
        <v>1623</v>
      </c>
      <c r="I31" s="104"/>
      <c r="J31" s="152"/>
      <c r="K31" s="166" t="s">
        <v>1623</v>
      </c>
      <c r="L31" s="152"/>
      <c r="M31" s="166"/>
      <c r="N31" s="222"/>
      <c r="O31" s="222"/>
      <c r="P31" s="222"/>
      <c r="Q31" s="104"/>
      <c r="R31" s="152" t="s">
        <v>1623</v>
      </c>
      <c r="S31" s="152"/>
      <c r="T31" s="128"/>
      <c r="U31" s="152"/>
      <c r="V31" s="152" t="s">
        <v>1623</v>
      </c>
      <c r="W31" s="128"/>
      <c r="X31" s="152" t="s">
        <v>1623</v>
      </c>
      <c r="Y31" s="152"/>
      <c r="Z31" s="128"/>
      <c r="AA31" s="152" t="s">
        <v>1623</v>
      </c>
      <c r="AB31" s="152"/>
      <c r="AC31" s="128"/>
      <c r="AD31" s="324"/>
      <c r="AE31" s="324" t="s">
        <v>1623</v>
      </c>
      <c r="AF31" s="325"/>
      <c r="AG31" s="152" t="s">
        <v>1623</v>
      </c>
      <c r="AH31" s="152"/>
      <c r="AI31" s="152"/>
      <c r="AJ31" s="128"/>
      <c r="AK31" s="152"/>
      <c r="AL31" s="152"/>
      <c r="AM31" s="152" t="s">
        <v>1623</v>
      </c>
      <c r="AN31" s="128"/>
      <c r="AO31" s="152"/>
      <c r="AP31" s="152" t="s">
        <v>1623</v>
      </c>
      <c r="AQ31" s="128"/>
      <c r="AR31" s="126"/>
      <c r="AS31" s="126"/>
      <c r="AT31" s="126" t="s">
        <v>1623</v>
      </c>
      <c r="AU31" s="128"/>
      <c r="AV31" s="152"/>
      <c r="AW31" s="152" t="s">
        <v>1623</v>
      </c>
      <c r="AX31" s="104"/>
      <c r="AY31" s="152"/>
      <c r="AZ31" s="152"/>
      <c r="BA31" s="152" t="s">
        <v>1623</v>
      </c>
      <c r="BB31" s="314"/>
      <c r="BC31" s="128"/>
      <c r="BD31" s="152"/>
      <c r="BE31" s="275"/>
      <c r="BF31" s="277"/>
      <c r="BG31" s="152"/>
      <c r="BH31" s="152"/>
      <c r="BI31" s="128" t="s">
        <v>2674</v>
      </c>
      <c r="BJ31" s="152" t="s">
        <v>1623</v>
      </c>
      <c r="BK31" s="152"/>
      <c r="BL31" s="152"/>
      <c r="BM31" s="152"/>
      <c r="BN31" s="128"/>
      <c r="BO31" s="152"/>
      <c r="BP31" s="152"/>
      <c r="BQ31" s="152" t="s">
        <v>1623</v>
      </c>
      <c r="BR31" s="128"/>
      <c r="BS31" s="152" t="s">
        <v>1623</v>
      </c>
      <c r="BT31" s="152"/>
      <c r="BU31" s="128"/>
      <c r="BV31" s="182"/>
      <c r="BW31" s="152" t="s">
        <v>1623</v>
      </c>
      <c r="BX31" s="325"/>
      <c r="BY31" s="152"/>
      <c r="BZ31" s="152"/>
      <c r="CA31" s="152" t="s">
        <v>1623</v>
      </c>
      <c r="CB31" s="104"/>
      <c r="CC31" s="152"/>
      <c r="CD31" s="152" t="s">
        <v>1623</v>
      </c>
      <c r="CE31" s="152"/>
      <c r="CF31" s="128"/>
      <c r="CG31" s="152" t="s">
        <v>1623</v>
      </c>
      <c r="CH31" s="152"/>
      <c r="CI31" s="278"/>
      <c r="CJ31" s="128"/>
      <c r="CK31" s="152" t="s">
        <v>1623</v>
      </c>
      <c r="CL31" s="152"/>
      <c r="CM31" s="128"/>
      <c r="CN31" s="152"/>
      <c r="CO31" s="152" t="s">
        <v>1623</v>
      </c>
      <c r="CP31" s="152"/>
      <c r="CQ31" s="104"/>
      <c r="CR31" s="314" t="s">
        <v>2658</v>
      </c>
      <c r="CS31" s="314" t="s">
        <v>2657</v>
      </c>
      <c r="CT31" s="104" t="s">
        <v>2659</v>
      </c>
      <c r="DF31" t="s">
        <v>1623</v>
      </c>
      <c r="DH31" t="s">
        <v>1623</v>
      </c>
      <c r="DI31" t="s">
        <v>1623</v>
      </c>
      <c r="DJ31" t="s">
        <v>1623</v>
      </c>
    </row>
    <row r="32" spans="1:114" x14ac:dyDescent="0.25">
      <c r="A32" s="104">
        <v>2014</v>
      </c>
      <c r="B32" s="308" t="s">
        <v>3703</v>
      </c>
      <c r="C32" s="338" t="s">
        <v>1623</v>
      </c>
      <c r="D32" s="152"/>
      <c r="E32" s="152"/>
      <c r="F32" s="152"/>
      <c r="G32" s="152" t="s">
        <v>1623</v>
      </c>
      <c r="H32" s="152"/>
      <c r="I32" s="104"/>
      <c r="J32" s="152"/>
      <c r="K32" s="166" t="s">
        <v>1623</v>
      </c>
      <c r="L32" s="152"/>
      <c r="M32" s="166" t="s">
        <v>1623</v>
      </c>
      <c r="N32" s="222"/>
      <c r="O32" s="222" t="s">
        <v>1623</v>
      </c>
      <c r="P32" s="222"/>
      <c r="Q32" s="104"/>
      <c r="R32" s="152"/>
      <c r="S32" s="152" t="s">
        <v>1623</v>
      </c>
      <c r="T32" s="128"/>
      <c r="U32" s="152"/>
      <c r="V32" s="152" t="s">
        <v>1623</v>
      </c>
      <c r="W32" s="128"/>
      <c r="X32" s="152" t="s">
        <v>1623</v>
      </c>
      <c r="Y32" s="152"/>
      <c r="Z32" s="128"/>
      <c r="AA32" s="152" t="s">
        <v>1623</v>
      </c>
      <c r="AB32" s="152"/>
      <c r="AC32" s="128"/>
      <c r="AD32" s="324"/>
      <c r="AE32" s="324" t="s">
        <v>1623</v>
      </c>
      <c r="AF32" s="325"/>
      <c r="AG32" s="152"/>
      <c r="AH32" s="152" t="s">
        <v>1623</v>
      </c>
      <c r="AI32" s="152"/>
      <c r="AJ32" s="128"/>
      <c r="AK32" s="152"/>
      <c r="AL32" s="152" t="s">
        <v>1623</v>
      </c>
      <c r="AM32" s="152"/>
      <c r="AN32" s="128"/>
      <c r="AO32" s="152"/>
      <c r="AP32" s="152" t="s">
        <v>1623</v>
      </c>
      <c r="AQ32" s="128"/>
      <c r="AR32" s="126"/>
      <c r="AS32" s="126"/>
      <c r="AT32" s="126" t="s">
        <v>1623</v>
      </c>
      <c r="AU32" s="128"/>
      <c r="AV32" s="152"/>
      <c r="AW32" s="152" t="s">
        <v>1623</v>
      </c>
      <c r="AX32" s="104"/>
      <c r="AY32" s="152" t="s">
        <v>1623</v>
      </c>
      <c r="AZ32" s="152"/>
      <c r="BA32" s="152" t="s">
        <v>1623</v>
      </c>
      <c r="BB32" s="314"/>
      <c r="BC32" s="128"/>
      <c r="BD32" s="152"/>
      <c r="BE32" s="275"/>
      <c r="BF32" s="277"/>
      <c r="BG32" s="152"/>
      <c r="BH32" s="152"/>
      <c r="BI32" s="128" t="s">
        <v>2674</v>
      </c>
      <c r="BJ32" s="152" t="s">
        <v>1623</v>
      </c>
      <c r="BK32" s="152"/>
      <c r="BL32" s="152"/>
      <c r="BM32" s="152"/>
      <c r="BN32" s="128"/>
      <c r="BO32" s="152"/>
      <c r="BP32" s="196" t="s">
        <v>1623</v>
      </c>
      <c r="BQ32" s="152"/>
      <c r="BR32" s="128"/>
      <c r="BS32" s="152" t="s">
        <v>1623</v>
      </c>
      <c r="BT32" s="152"/>
      <c r="BU32" s="128"/>
      <c r="BV32" s="152"/>
      <c r="BW32" s="152" t="s">
        <v>1623</v>
      </c>
      <c r="BX32" s="325"/>
      <c r="BY32" s="152" t="s">
        <v>1623</v>
      </c>
      <c r="BZ32" s="152"/>
      <c r="CA32" s="152"/>
      <c r="CB32" s="104"/>
      <c r="CC32" s="152"/>
      <c r="CD32" s="152" t="s">
        <v>1623</v>
      </c>
      <c r="CE32" s="152"/>
      <c r="CF32" s="128"/>
      <c r="CG32" s="152" t="s">
        <v>1623</v>
      </c>
      <c r="CH32" s="152"/>
      <c r="CI32" s="278"/>
      <c r="CJ32" s="128"/>
      <c r="CK32" s="152"/>
      <c r="CL32" s="152" t="s">
        <v>1623</v>
      </c>
      <c r="CM32" s="128"/>
      <c r="CN32" s="152"/>
      <c r="CO32" s="152" t="s">
        <v>1623</v>
      </c>
      <c r="CP32" s="152"/>
      <c r="CQ32" s="104"/>
      <c r="CR32" s="314" t="s">
        <v>2658</v>
      </c>
      <c r="CS32" s="314" t="s">
        <v>2657</v>
      </c>
      <c r="CT32" s="104" t="s">
        <v>2659</v>
      </c>
      <c r="DF32" t="s">
        <v>1623</v>
      </c>
      <c r="DH32" t="s">
        <v>1623</v>
      </c>
      <c r="DI32" t="s">
        <v>1623</v>
      </c>
      <c r="DJ32" t="s">
        <v>1623</v>
      </c>
    </row>
    <row r="33" spans="1:114" x14ac:dyDescent="0.25">
      <c r="A33" s="104">
        <v>2007</v>
      </c>
      <c r="B33" s="308" t="s">
        <v>3704</v>
      </c>
      <c r="C33" s="338" t="s">
        <v>1623</v>
      </c>
      <c r="D33" s="152" t="s">
        <v>1623</v>
      </c>
      <c r="E33" s="152"/>
      <c r="F33" s="152"/>
      <c r="G33" s="152"/>
      <c r="H33" s="152"/>
      <c r="I33" s="104"/>
      <c r="J33" s="152"/>
      <c r="K33" s="166"/>
      <c r="L33" s="152"/>
      <c r="M33" s="166" t="s">
        <v>1623</v>
      </c>
      <c r="N33" s="222"/>
      <c r="O33" s="222"/>
      <c r="P33" s="222" t="s">
        <v>1623</v>
      </c>
      <c r="Q33" s="104"/>
      <c r="R33" s="152" t="s">
        <v>1623</v>
      </c>
      <c r="S33" s="152"/>
      <c r="T33" s="128"/>
      <c r="U33" s="152"/>
      <c r="V33" s="152" t="s">
        <v>1623</v>
      </c>
      <c r="W33" s="128"/>
      <c r="X33" s="152" t="s">
        <v>1623</v>
      </c>
      <c r="Y33" s="152"/>
      <c r="Z33" s="128"/>
      <c r="AA33" s="152" t="s">
        <v>1623</v>
      </c>
      <c r="AB33" s="152"/>
      <c r="AC33" s="128"/>
      <c r="AD33" s="324"/>
      <c r="AE33" s="324" t="s">
        <v>1623</v>
      </c>
      <c r="AF33" s="325"/>
      <c r="AG33" s="152"/>
      <c r="AH33" s="152" t="s">
        <v>1623</v>
      </c>
      <c r="AI33" s="152"/>
      <c r="AJ33" s="128"/>
      <c r="AK33" s="152"/>
      <c r="AL33" s="152"/>
      <c r="AM33" s="152" t="s">
        <v>1623</v>
      </c>
      <c r="AN33" s="128"/>
      <c r="AO33" s="152" t="s">
        <v>1623</v>
      </c>
      <c r="AP33" s="152"/>
      <c r="AQ33" s="128"/>
      <c r="AR33" s="126"/>
      <c r="AS33" s="126" t="s">
        <v>1623</v>
      </c>
      <c r="AT33" s="126"/>
      <c r="AU33" s="128"/>
      <c r="AV33" s="152"/>
      <c r="AW33" s="152" t="s">
        <v>1623</v>
      </c>
      <c r="AX33" s="104"/>
      <c r="AY33" s="152"/>
      <c r="AZ33" s="152"/>
      <c r="BA33" s="152" t="s">
        <v>1623</v>
      </c>
      <c r="BB33" s="314"/>
      <c r="BC33" s="128"/>
      <c r="BD33" s="152"/>
      <c r="BE33" s="275"/>
      <c r="BF33" s="277"/>
      <c r="BG33" s="152"/>
      <c r="BH33" s="152"/>
      <c r="BI33" s="128" t="s">
        <v>2674</v>
      </c>
      <c r="BJ33" s="152"/>
      <c r="BK33" s="152" t="s">
        <v>1623</v>
      </c>
      <c r="BL33" s="152"/>
      <c r="BM33" s="152"/>
      <c r="BN33" s="128"/>
      <c r="BO33" s="152"/>
      <c r="BP33" s="152"/>
      <c r="BQ33" s="152" t="s">
        <v>1623</v>
      </c>
      <c r="BR33" s="128"/>
      <c r="BS33" s="152" t="s">
        <v>1623</v>
      </c>
      <c r="BT33" s="152"/>
      <c r="BU33" s="128"/>
      <c r="BV33" s="152"/>
      <c r="BW33" s="152" t="s">
        <v>1623</v>
      </c>
      <c r="BX33" s="325"/>
      <c r="BY33" s="152"/>
      <c r="BZ33" s="152"/>
      <c r="CA33" s="152"/>
      <c r="CB33" s="104" t="s">
        <v>2671</v>
      </c>
      <c r="CC33" s="152"/>
      <c r="CD33" s="152" t="s">
        <v>1623</v>
      </c>
      <c r="CE33" s="152"/>
      <c r="CF33" s="128"/>
      <c r="CG33" s="152" t="s">
        <v>1623</v>
      </c>
      <c r="CH33" s="152"/>
      <c r="CI33" s="278"/>
      <c r="CJ33" s="128"/>
      <c r="CK33" s="152" t="s">
        <v>1623</v>
      </c>
      <c r="CL33" s="152"/>
      <c r="CM33" s="128"/>
      <c r="CN33" s="152"/>
      <c r="CO33" s="152" t="s">
        <v>1623</v>
      </c>
      <c r="CP33" s="152"/>
      <c r="CQ33" s="104"/>
      <c r="CR33" s="314" t="s">
        <v>2658</v>
      </c>
      <c r="CS33" s="314" t="s">
        <v>2657</v>
      </c>
      <c r="CT33" s="104" t="s">
        <v>2659</v>
      </c>
      <c r="DF33" t="s">
        <v>1623</v>
      </c>
      <c r="DH33" t="s">
        <v>1623</v>
      </c>
      <c r="DI33" t="s">
        <v>1623</v>
      </c>
    </row>
    <row r="34" spans="1:114" x14ac:dyDescent="0.25">
      <c r="A34" s="104">
        <v>2017</v>
      </c>
      <c r="B34" s="308" t="s">
        <v>3705</v>
      </c>
      <c r="C34" s="338" t="s">
        <v>1623</v>
      </c>
      <c r="D34" s="152" t="s">
        <v>1623</v>
      </c>
      <c r="E34" s="152"/>
      <c r="F34" s="152"/>
      <c r="G34" s="152"/>
      <c r="H34" s="152"/>
      <c r="I34" s="104"/>
      <c r="J34" s="152"/>
      <c r="K34" s="166" t="s">
        <v>1623</v>
      </c>
      <c r="L34" s="152"/>
      <c r="M34" s="166" t="s">
        <v>1623</v>
      </c>
      <c r="N34" s="222" t="s">
        <v>1623</v>
      </c>
      <c r="O34" s="222"/>
      <c r="P34" s="222"/>
      <c r="Q34" s="104"/>
      <c r="R34" s="152"/>
      <c r="S34" s="152" t="s">
        <v>1623</v>
      </c>
      <c r="T34" s="128"/>
      <c r="U34" s="152" t="s">
        <v>1623</v>
      </c>
      <c r="V34" s="152"/>
      <c r="W34" s="128"/>
      <c r="X34" s="152"/>
      <c r="Y34" s="152" t="s">
        <v>1623</v>
      </c>
      <c r="Z34" s="128"/>
      <c r="AA34" s="152" t="s">
        <v>1623</v>
      </c>
      <c r="AB34" s="152"/>
      <c r="AC34" s="128"/>
      <c r="AD34" s="324" t="s">
        <v>1623</v>
      </c>
      <c r="AE34" s="324"/>
      <c r="AF34" s="325"/>
      <c r="AG34" s="152"/>
      <c r="AH34" s="152" t="s">
        <v>1623</v>
      </c>
      <c r="AI34" s="152"/>
      <c r="AJ34" s="128"/>
      <c r="AK34" s="152" t="s">
        <v>1623</v>
      </c>
      <c r="AL34" s="152"/>
      <c r="AM34" s="152"/>
      <c r="AN34" s="128"/>
      <c r="AO34" s="152" t="s">
        <v>1623</v>
      </c>
      <c r="AP34" s="152"/>
      <c r="AQ34" s="128"/>
      <c r="AR34" s="126" t="s">
        <v>1623</v>
      </c>
      <c r="AS34" s="126"/>
      <c r="AT34" s="126"/>
      <c r="AU34" s="128"/>
      <c r="AV34" s="152" t="s">
        <v>1623</v>
      </c>
      <c r="AW34" s="195"/>
      <c r="AX34" s="104"/>
      <c r="AY34" s="152"/>
      <c r="AZ34" s="152"/>
      <c r="BA34" s="152"/>
      <c r="BB34" s="314" t="s">
        <v>1623</v>
      </c>
      <c r="BC34" s="128"/>
      <c r="BD34" s="152"/>
      <c r="BE34" s="275"/>
      <c r="BF34" s="277"/>
      <c r="BG34" s="152"/>
      <c r="BH34" s="152" t="s">
        <v>1623</v>
      </c>
      <c r="BI34" s="128"/>
      <c r="BJ34" s="152"/>
      <c r="BK34" s="152" t="s">
        <v>1623</v>
      </c>
      <c r="BL34" s="152"/>
      <c r="BM34" s="152"/>
      <c r="BN34" s="128"/>
      <c r="BO34" s="152"/>
      <c r="BP34" s="152"/>
      <c r="BQ34" s="152" t="s">
        <v>1623</v>
      </c>
      <c r="BR34" s="128"/>
      <c r="BS34" s="152" t="s">
        <v>1623</v>
      </c>
      <c r="BT34" s="152"/>
      <c r="BU34" s="128"/>
      <c r="BV34" s="152"/>
      <c r="BW34" s="152" t="s">
        <v>1623</v>
      </c>
      <c r="BX34" s="325"/>
      <c r="BY34" s="152"/>
      <c r="BZ34" s="152" t="s">
        <v>1623</v>
      </c>
      <c r="CA34" s="152"/>
      <c r="CB34" s="104"/>
      <c r="CC34" s="152"/>
      <c r="CD34" s="152" t="s">
        <v>1623</v>
      </c>
      <c r="CE34" s="152"/>
      <c r="CF34" s="128"/>
      <c r="CG34" s="152"/>
      <c r="CH34" s="152" t="s">
        <v>1623</v>
      </c>
      <c r="CI34" s="278"/>
      <c r="CJ34" s="128"/>
      <c r="CK34" s="152" t="s">
        <v>1623</v>
      </c>
      <c r="CL34" s="152"/>
      <c r="CM34" s="128"/>
      <c r="CN34" s="152" t="s">
        <v>1623</v>
      </c>
      <c r="CO34" s="152"/>
      <c r="CP34" s="152"/>
      <c r="CQ34" s="104"/>
      <c r="CR34" s="314" t="s">
        <v>2658</v>
      </c>
      <c r="CS34" s="314" t="s">
        <v>2657</v>
      </c>
      <c r="CT34" s="104" t="s">
        <v>2659</v>
      </c>
      <c r="DG34" t="s">
        <v>1623</v>
      </c>
      <c r="DH34" t="s">
        <v>1623</v>
      </c>
      <c r="DI34" t="s">
        <v>1623</v>
      </c>
      <c r="DJ34" t="s">
        <v>1623</v>
      </c>
    </row>
    <row r="35" spans="1:114" x14ac:dyDescent="0.25">
      <c r="A35" s="104">
        <v>2007</v>
      </c>
      <c r="B35" s="308" t="s">
        <v>3706</v>
      </c>
      <c r="C35" s="338" t="s">
        <v>1623</v>
      </c>
      <c r="D35" s="152"/>
      <c r="E35" s="152" t="s">
        <v>1623</v>
      </c>
      <c r="F35" s="152"/>
      <c r="G35" s="152"/>
      <c r="H35" s="152"/>
      <c r="I35" s="104"/>
      <c r="J35" s="152"/>
      <c r="K35" s="166" t="s">
        <v>1623</v>
      </c>
      <c r="L35" s="152"/>
      <c r="M35" s="166"/>
      <c r="N35" s="222"/>
      <c r="O35" s="222"/>
      <c r="P35" s="222"/>
      <c r="Q35" s="104"/>
      <c r="R35" s="152"/>
      <c r="S35" s="152" t="s">
        <v>1623</v>
      </c>
      <c r="T35" s="128"/>
      <c r="U35" s="152"/>
      <c r="V35" s="152" t="s">
        <v>1623</v>
      </c>
      <c r="W35" s="128"/>
      <c r="X35" s="152" t="s">
        <v>1623</v>
      </c>
      <c r="Y35" s="152"/>
      <c r="Z35" s="128"/>
      <c r="AA35" s="152" t="s">
        <v>1623</v>
      </c>
      <c r="AB35" s="152"/>
      <c r="AC35" s="128"/>
      <c r="AD35" s="324"/>
      <c r="AE35" s="324" t="s">
        <v>1623</v>
      </c>
      <c r="AF35" s="325"/>
      <c r="AG35" s="152" t="s">
        <v>1623</v>
      </c>
      <c r="AH35" s="152"/>
      <c r="AI35" s="152"/>
      <c r="AJ35" s="128"/>
      <c r="AK35" s="152"/>
      <c r="AL35" s="152"/>
      <c r="AM35" s="152" t="s">
        <v>1623</v>
      </c>
      <c r="AN35" s="128"/>
      <c r="AO35" s="152" t="s">
        <v>1623</v>
      </c>
      <c r="AP35" s="152"/>
      <c r="AQ35" s="128"/>
      <c r="AR35" s="126"/>
      <c r="AS35" s="126"/>
      <c r="AT35" s="126" t="s">
        <v>1623</v>
      </c>
      <c r="AU35" s="128"/>
      <c r="AV35" s="152"/>
      <c r="AW35" s="152" t="s">
        <v>1623</v>
      </c>
      <c r="AX35" s="104"/>
      <c r="AY35" s="152"/>
      <c r="AZ35" s="152"/>
      <c r="BA35" s="152"/>
      <c r="BB35" s="314" t="s">
        <v>1623</v>
      </c>
      <c r="BC35" s="128"/>
      <c r="BD35" s="152"/>
      <c r="BE35" s="275"/>
      <c r="BF35" s="277"/>
      <c r="BG35" s="152"/>
      <c r="BH35" s="152"/>
      <c r="BI35" s="128" t="s">
        <v>2674</v>
      </c>
      <c r="BJ35" s="152" t="s">
        <v>1623</v>
      </c>
      <c r="BK35" s="152"/>
      <c r="BL35" s="152"/>
      <c r="BM35" s="152"/>
      <c r="BN35" s="128"/>
      <c r="BO35" s="152" t="s">
        <v>1623</v>
      </c>
      <c r="BP35" s="152"/>
      <c r="BQ35" s="152"/>
      <c r="BR35" s="128"/>
      <c r="BS35" s="152"/>
      <c r="BT35" s="152" t="s">
        <v>1623</v>
      </c>
      <c r="BU35" s="128"/>
      <c r="BV35" s="196" t="s">
        <v>1623</v>
      </c>
      <c r="BW35" s="152"/>
      <c r="BX35" s="325"/>
      <c r="BY35" s="152" t="s">
        <v>1623</v>
      </c>
      <c r="BZ35" s="152"/>
      <c r="CA35" s="152"/>
      <c r="CB35" s="104"/>
      <c r="CC35" s="152"/>
      <c r="CD35" s="152" t="s">
        <v>1623</v>
      </c>
      <c r="CE35" s="152"/>
      <c r="CF35" s="128"/>
      <c r="CG35" s="152" t="s">
        <v>1623</v>
      </c>
      <c r="CH35" s="152"/>
      <c r="CI35" s="278"/>
      <c r="CJ35" s="128"/>
      <c r="CK35" s="152"/>
      <c r="CL35" s="152" t="s">
        <v>1623</v>
      </c>
      <c r="CM35" s="128"/>
      <c r="CN35" s="152"/>
      <c r="CO35" s="152" t="s">
        <v>1623</v>
      </c>
      <c r="CP35" s="152"/>
      <c r="CQ35" s="104"/>
      <c r="CR35" s="314" t="s">
        <v>2658</v>
      </c>
      <c r="CS35" s="314" t="s">
        <v>2657</v>
      </c>
      <c r="CT35" s="104" t="s">
        <v>2659</v>
      </c>
      <c r="DH35" t="s">
        <v>1623</v>
      </c>
      <c r="DJ35" t="s">
        <v>1623</v>
      </c>
    </row>
    <row r="36" spans="1:114" x14ac:dyDescent="0.25">
      <c r="A36" s="104">
        <v>2013</v>
      </c>
      <c r="B36" s="308" t="s">
        <v>3707</v>
      </c>
      <c r="C36" s="338" t="s">
        <v>1623</v>
      </c>
      <c r="D36" s="152" t="s">
        <v>1623</v>
      </c>
      <c r="E36" s="152"/>
      <c r="F36" s="152"/>
      <c r="G36" s="152"/>
      <c r="H36" s="152"/>
      <c r="I36" s="104"/>
      <c r="J36" s="152"/>
      <c r="K36" s="166" t="s">
        <v>1623</v>
      </c>
      <c r="L36" s="152" t="s">
        <v>1623</v>
      </c>
      <c r="M36" s="166"/>
      <c r="N36" s="222"/>
      <c r="O36" s="222"/>
      <c r="P36" s="222"/>
      <c r="Q36" s="104"/>
      <c r="R36" s="152"/>
      <c r="S36" s="152" t="s">
        <v>1623</v>
      </c>
      <c r="T36" s="128"/>
      <c r="U36" s="152"/>
      <c r="V36" s="152" t="s">
        <v>1623</v>
      </c>
      <c r="W36" s="128"/>
      <c r="X36" s="152" t="s">
        <v>1623</v>
      </c>
      <c r="Y36" s="152"/>
      <c r="Z36" s="128"/>
      <c r="AA36" s="152" t="s">
        <v>1623</v>
      </c>
      <c r="AB36" s="152"/>
      <c r="AC36" s="128"/>
      <c r="AD36" s="324"/>
      <c r="AE36" s="324" t="s">
        <v>1623</v>
      </c>
      <c r="AF36" s="325"/>
      <c r="AG36" s="152"/>
      <c r="AH36" s="152" t="s">
        <v>1623</v>
      </c>
      <c r="AI36" s="152"/>
      <c r="AJ36" s="128"/>
      <c r="AK36" s="152" t="s">
        <v>1623</v>
      </c>
      <c r="AL36" s="152"/>
      <c r="AM36" s="152"/>
      <c r="AN36" s="128"/>
      <c r="AO36" s="152" t="s">
        <v>1623</v>
      </c>
      <c r="AP36" s="152"/>
      <c r="AQ36" s="128"/>
      <c r="AR36" s="126"/>
      <c r="AS36" s="126" t="s">
        <v>1623</v>
      </c>
      <c r="AT36" s="126"/>
      <c r="AU36" s="128"/>
      <c r="AV36" s="152"/>
      <c r="AW36" s="152" t="s">
        <v>1623</v>
      </c>
      <c r="AX36" s="104"/>
      <c r="AY36" s="152"/>
      <c r="AZ36" s="152" t="s">
        <v>1623</v>
      </c>
      <c r="BA36" s="152"/>
      <c r="BB36" s="314"/>
      <c r="BC36" s="128"/>
      <c r="BD36" s="152"/>
      <c r="BE36" s="275"/>
      <c r="BF36" s="277"/>
      <c r="BG36" s="152"/>
      <c r="BH36" s="152"/>
      <c r="BI36" s="128" t="s">
        <v>2674</v>
      </c>
      <c r="BJ36" s="152"/>
      <c r="BK36" s="152"/>
      <c r="BL36" s="152" t="s">
        <v>1623</v>
      </c>
      <c r="BM36" s="152"/>
      <c r="BN36" s="128"/>
      <c r="BO36" s="335" t="s">
        <v>1623</v>
      </c>
      <c r="BP36" s="152"/>
      <c r="BQ36" s="152"/>
      <c r="BR36" s="128"/>
      <c r="BS36" s="152"/>
      <c r="BT36" s="152" t="s">
        <v>1623</v>
      </c>
      <c r="BU36" s="128"/>
      <c r="BV36" s="177"/>
      <c r="BW36" s="152"/>
      <c r="BX36" s="323" t="s">
        <v>2671</v>
      </c>
      <c r="BY36" s="152"/>
      <c r="BZ36" s="152"/>
      <c r="CA36" s="152" t="s">
        <v>1623</v>
      </c>
      <c r="CB36" s="104"/>
      <c r="CC36" s="152"/>
      <c r="CD36" s="152"/>
      <c r="CE36" s="152" t="s">
        <v>1623</v>
      </c>
      <c r="CF36" s="128"/>
      <c r="CG36" s="152" t="s">
        <v>1623</v>
      </c>
      <c r="CH36" s="152"/>
      <c r="CI36" s="278"/>
      <c r="CJ36" s="128"/>
      <c r="CK36" s="152"/>
      <c r="CL36" s="152" t="s">
        <v>1623</v>
      </c>
      <c r="CM36" s="128"/>
      <c r="CN36" s="152" t="s">
        <v>1623</v>
      </c>
      <c r="CO36" s="152"/>
      <c r="CP36" s="152"/>
      <c r="CQ36" s="104"/>
      <c r="CR36" s="314" t="s">
        <v>2658</v>
      </c>
      <c r="CS36" s="314" t="s">
        <v>2657</v>
      </c>
      <c r="CT36" s="104" t="s">
        <v>2659</v>
      </c>
      <c r="DF36" t="s">
        <v>1623</v>
      </c>
      <c r="DH36" t="s">
        <v>1623</v>
      </c>
      <c r="DJ36" t="s">
        <v>1623</v>
      </c>
    </row>
    <row r="37" spans="1:114" x14ac:dyDescent="0.25">
      <c r="A37" s="104">
        <v>2012</v>
      </c>
      <c r="B37" s="308" t="s">
        <v>3708</v>
      </c>
      <c r="C37" s="338" t="s">
        <v>1623</v>
      </c>
      <c r="D37" s="152"/>
      <c r="E37" s="152" t="s">
        <v>1623</v>
      </c>
      <c r="F37" s="152"/>
      <c r="G37" s="152"/>
      <c r="H37" s="152"/>
      <c r="I37" s="104"/>
      <c r="J37" s="152"/>
      <c r="K37" s="166" t="s">
        <v>1623</v>
      </c>
      <c r="L37" s="152" t="s">
        <v>1623</v>
      </c>
      <c r="M37" s="166"/>
      <c r="N37" s="222"/>
      <c r="O37" s="222"/>
      <c r="P37" s="222"/>
      <c r="Q37" s="104"/>
      <c r="R37" s="152"/>
      <c r="S37" s="152" t="s">
        <v>1623</v>
      </c>
      <c r="T37" s="128"/>
      <c r="U37" s="152"/>
      <c r="V37" s="152" t="s">
        <v>1623</v>
      </c>
      <c r="W37" s="128"/>
      <c r="X37" s="152" t="s">
        <v>1623</v>
      </c>
      <c r="Y37" s="152"/>
      <c r="Z37" s="128"/>
      <c r="AA37" s="152" t="s">
        <v>1623</v>
      </c>
      <c r="AB37" s="152"/>
      <c r="AC37" s="128"/>
      <c r="AD37" s="324"/>
      <c r="AE37" s="324" t="s">
        <v>1623</v>
      </c>
      <c r="AF37" s="325"/>
      <c r="AG37" s="152" t="s">
        <v>1623</v>
      </c>
      <c r="AH37" s="152"/>
      <c r="AI37" s="152"/>
      <c r="AJ37" s="128"/>
      <c r="AK37" s="152" t="s">
        <v>1623</v>
      </c>
      <c r="AL37" s="152"/>
      <c r="AM37" s="152"/>
      <c r="AN37" s="128"/>
      <c r="AO37" s="152" t="s">
        <v>1623</v>
      </c>
      <c r="AP37" s="152"/>
      <c r="AQ37" s="128"/>
      <c r="AR37" s="126"/>
      <c r="AS37" s="126"/>
      <c r="AT37" s="126" t="s">
        <v>1623</v>
      </c>
      <c r="AU37" s="128"/>
      <c r="AV37" s="152"/>
      <c r="AW37" s="152" t="s">
        <v>1623</v>
      </c>
      <c r="AX37" s="104"/>
      <c r="AY37" s="152"/>
      <c r="AZ37" s="152"/>
      <c r="BA37" s="152"/>
      <c r="BB37" s="314" t="s">
        <v>1623</v>
      </c>
      <c r="BC37" s="128"/>
      <c r="BD37" s="152"/>
      <c r="BE37" s="275"/>
      <c r="BF37" s="277"/>
      <c r="BG37" s="152"/>
      <c r="BH37" s="152"/>
      <c r="BI37" s="128" t="s">
        <v>2674</v>
      </c>
      <c r="BJ37" s="152"/>
      <c r="BK37" s="152" t="s">
        <v>1623</v>
      </c>
      <c r="BL37" s="152"/>
      <c r="BM37" s="152"/>
      <c r="BN37" s="128"/>
      <c r="BO37" s="152" t="s">
        <v>1623</v>
      </c>
      <c r="BP37" s="152"/>
      <c r="BQ37" s="152"/>
      <c r="BR37" s="128"/>
      <c r="BS37" s="152"/>
      <c r="BT37" s="152" t="s">
        <v>1623</v>
      </c>
      <c r="BU37" s="128"/>
      <c r="BV37" s="152" t="s">
        <v>1623</v>
      </c>
      <c r="BW37" s="152"/>
      <c r="BX37" s="325"/>
      <c r="BY37" s="152"/>
      <c r="BZ37" s="152" t="s">
        <v>1623</v>
      </c>
      <c r="CA37" s="152"/>
      <c r="CB37" s="104"/>
      <c r="CC37" s="152"/>
      <c r="CD37" s="152" t="s">
        <v>1623</v>
      </c>
      <c r="CE37" s="152"/>
      <c r="CF37" s="128"/>
      <c r="CG37" s="152" t="s">
        <v>1623</v>
      </c>
      <c r="CH37" s="152"/>
      <c r="CI37" s="278"/>
      <c r="CJ37" s="128"/>
      <c r="CK37" s="152"/>
      <c r="CL37" s="152"/>
      <c r="CM37" s="128" t="s">
        <v>2671</v>
      </c>
      <c r="CN37" s="152"/>
      <c r="CO37" s="152"/>
      <c r="CP37" s="152"/>
      <c r="CQ37" s="104" t="s">
        <v>2671</v>
      </c>
      <c r="CR37" s="314" t="s">
        <v>2658</v>
      </c>
      <c r="CS37" s="314" t="s">
        <v>2657</v>
      </c>
      <c r="CT37" s="104" t="s">
        <v>2659</v>
      </c>
      <c r="DH37" t="s">
        <v>1623</v>
      </c>
      <c r="DJ37" t="s">
        <v>1623</v>
      </c>
    </row>
    <row r="38" spans="1:114" x14ac:dyDescent="0.25">
      <c r="A38" s="104">
        <v>2017</v>
      </c>
      <c r="B38" s="308" t="s">
        <v>3709</v>
      </c>
      <c r="C38" s="338" t="s">
        <v>1621</v>
      </c>
      <c r="D38" s="152"/>
      <c r="E38" s="152"/>
      <c r="F38" s="152" t="s">
        <v>1623</v>
      </c>
      <c r="G38" s="152"/>
      <c r="H38" s="152"/>
      <c r="I38" s="104"/>
      <c r="J38" s="152"/>
      <c r="K38" s="166" t="s">
        <v>1623</v>
      </c>
      <c r="L38" s="152"/>
      <c r="M38" s="166" t="s">
        <v>1623</v>
      </c>
      <c r="N38" s="222" t="s">
        <v>1623</v>
      </c>
      <c r="O38" s="222"/>
      <c r="P38" s="222"/>
      <c r="Q38" s="104"/>
      <c r="R38" s="152" t="s">
        <v>1623</v>
      </c>
      <c r="S38" s="152"/>
      <c r="T38" s="128"/>
      <c r="U38" s="152"/>
      <c r="V38" s="152" t="s">
        <v>1623</v>
      </c>
      <c r="W38" s="128"/>
      <c r="X38" s="152"/>
      <c r="Y38" s="152" t="s">
        <v>1623</v>
      </c>
      <c r="Z38" s="128"/>
      <c r="AA38" s="152" t="s">
        <v>1623</v>
      </c>
      <c r="AB38" s="152"/>
      <c r="AC38" s="128"/>
      <c r="AD38" s="324" t="s">
        <v>1623</v>
      </c>
      <c r="AE38" s="324"/>
      <c r="AF38" s="325"/>
      <c r="AG38" s="152"/>
      <c r="AH38" s="152" t="s">
        <v>1623</v>
      </c>
      <c r="AI38" s="152"/>
      <c r="AJ38" s="128"/>
      <c r="AK38" s="152" t="s">
        <v>1623</v>
      </c>
      <c r="AL38" s="152"/>
      <c r="AM38" s="152"/>
      <c r="AN38" s="128"/>
      <c r="AO38" s="152" t="s">
        <v>1623</v>
      </c>
      <c r="AP38" s="152"/>
      <c r="AQ38" s="128"/>
      <c r="AR38" s="126" t="s">
        <v>1623</v>
      </c>
      <c r="AS38" s="126"/>
      <c r="AT38" s="126"/>
      <c r="AU38" s="128"/>
      <c r="AV38" s="152" t="s">
        <v>1623</v>
      </c>
      <c r="AW38" s="152"/>
      <c r="AX38" s="104"/>
      <c r="AY38" s="152" t="s">
        <v>1623</v>
      </c>
      <c r="AZ38" s="152"/>
      <c r="BA38" s="152"/>
      <c r="BB38" s="314"/>
      <c r="BC38" s="128"/>
      <c r="BD38" s="152"/>
      <c r="BE38" s="275"/>
      <c r="BF38" s="277"/>
      <c r="BG38" s="152" t="s">
        <v>1623</v>
      </c>
      <c r="BH38" s="152"/>
      <c r="BI38" s="128"/>
      <c r="BJ38" s="152"/>
      <c r="BK38" s="152"/>
      <c r="BL38" s="152"/>
      <c r="BM38" s="152"/>
      <c r="BN38" s="128" t="s">
        <v>2674</v>
      </c>
      <c r="BO38" s="182"/>
      <c r="BP38" s="152"/>
      <c r="BQ38" s="152"/>
      <c r="BR38" s="128" t="s">
        <v>2671</v>
      </c>
      <c r="BS38" s="152"/>
      <c r="BT38" s="152"/>
      <c r="BU38" s="128" t="s">
        <v>2671</v>
      </c>
      <c r="BV38" s="152"/>
      <c r="BW38" s="152"/>
      <c r="BX38" s="325" t="s">
        <v>2671</v>
      </c>
      <c r="BY38" s="152"/>
      <c r="BZ38" s="152"/>
      <c r="CA38" s="152"/>
      <c r="CB38" s="104" t="s">
        <v>2671</v>
      </c>
      <c r="CC38" s="152"/>
      <c r="CD38" s="152" t="s">
        <v>1623</v>
      </c>
      <c r="CE38" s="152"/>
      <c r="CF38" s="128"/>
      <c r="CG38" s="152" t="s">
        <v>1623</v>
      </c>
      <c r="CH38" s="152"/>
      <c r="CI38" s="278"/>
      <c r="CJ38" s="128"/>
      <c r="CK38" s="152" t="s">
        <v>1623</v>
      </c>
      <c r="CL38" s="152"/>
      <c r="CM38" s="128"/>
      <c r="CN38" s="152"/>
      <c r="CO38" s="152" t="s">
        <v>1623</v>
      </c>
      <c r="CP38" s="152"/>
      <c r="CQ38" s="104"/>
      <c r="CR38" s="314" t="s">
        <v>2658</v>
      </c>
      <c r="CS38" s="314" t="s">
        <v>2657</v>
      </c>
      <c r="CT38" s="104" t="s">
        <v>2659</v>
      </c>
      <c r="DF38" t="s">
        <v>1623</v>
      </c>
      <c r="DG38" t="s">
        <v>1623</v>
      </c>
    </row>
    <row r="39" spans="1:114" x14ac:dyDescent="0.25">
      <c r="A39" s="104">
        <v>2018</v>
      </c>
      <c r="B39" s="308" t="s">
        <v>3710</v>
      </c>
      <c r="C39" s="338" t="s">
        <v>1623</v>
      </c>
      <c r="D39" s="152" t="s">
        <v>1623</v>
      </c>
      <c r="E39" s="152"/>
      <c r="F39" s="152"/>
      <c r="G39" s="152"/>
      <c r="H39" s="152"/>
      <c r="I39" s="104"/>
      <c r="J39" s="152"/>
      <c r="K39" s="166" t="s">
        <v>1623</v>
      </c>
      <c r="L39" s="152"/>
      <c r="M39" s="166" t="s">
        <v>1623</v>
      </c>
      <c r="N39" s="222" t="s">
        <v>1623</v>
      </c>
      <c r="O39" s="222"/>
      <c r="P39" s="222"/>
      <c r="Q39" s="104"/>
      <c r="R39" s="152" t="s">
        <v>1623</v>
      </c>
      <c r="S39" s="152"/>
      <c r="T39" s="128"/>
      <c r="U39" s="152"/>
      <c r="V39" s="152" t="s">
        <v>1623</v>
      </c>
      <c r="W39" s="128"/>
      <c r="X39" s="152" t="s">
        <v>1623</v>
      </c>
      <c r="Y39" s="152"/>
      <c r="Z39" s="128"/>
      <c r="AA39" s="152" t="s">
        <v>1623</v>
      </c>
      <c r="AB39" s="152"/>
      <c r="AC39" s="128"/>
      <c r="AD39" s="324"/>
      <c r="AE39" s="324" t="s">
        <v>1623</v>
      </c>
      <c r="AF39" s="325"/>
      <c r="AG39" s="152"/>
      <c r="AH39" s="152" t="s">
        <v>1623</v>
      </c>
      <c r="AI39" s="152"/>
      <c r="AJ39" s="128"/>
      <c r="AK39" s="152"/>
      <c r="AL39" s="152"/>
      <c r="AM39" s="152" t="s">
        <v>1623</v>
      </c>
      <c r="AN39" s="128"/>
      <c r="AO39" s="152" t="s">
        <v>1623</v>
      </c>
      <c r="AP39" s="152"/>
      <c r="AQ39" s="128"/>
      <c r="AR39" s="126"/>
      <c r="AS39" s="126"/>
      <c r="AT39" s="126" t="s">
        <v>1623</v>
      </c>
      <c r="AU39" s="128"/>
      <c r="AV39" s="152"/>
      <c r="AW39" s="152" t="s">
        <v>1623</v>
      </c>
      <c r="AX39" s="104"/>
      <c r="AY39" s="152"/>
      <c r="AZ39" s="152"/>
      <c r="BA39" s="152"/>
      <c r="BB39" s="314" t="s">
        <v>1623</v>
      </c>
      <c r="BC39" s="128"/>
      <c r="BD39" s="152"/>
      <c r="BE39" s="275"/>
      <c r="BF39" s="277"/>
      <c r="BG39" s="152"/>
      <c r="BH39" s="152"/>
      <c r="BI39" s="128" t="s">
        <v>2674</v>
      </c>
      <c r="BJ39" s="152"/>
      <c r="BK39" s="152"/>
      <c r="BL39" s="152"/>
      <c r="BM39" s="152" t="s">
        <v>1623</v>
      </c>
      <c r="BN39" s="128"/>
      <c r="BO39" s="152"/>
      <c r="BP39" s="152"/>
      <c r="BQ39" s="152" t="s">
        <v>1623</v>
      </c>
      <c r="BR39" s="128"/>
      <c r="BS39" s="152" t="s">
        <v>1623</v>
      </c>
      <c r="BT39" s="152"/>
      <c r="BU39" s="152"/>
      <c r="BV39" s="142"/>
      <c r="BW39" s="152" t="s">
        <v>1623</v>
      </c>
      <c r="BX39" s="325"/>
      <c r="BY39" s="152"/>
      <c r="BZ39" s="152"/>
      <c r="CA39" s="152"/>
      <c r="CB39" s="104" t="s">
        <v>2671</v>
      </c>
      <c r="CC39" s="152" t="s">
        <v>1623</v>
      </c>
      <c r="CD39" s="152"/>
      <c r="CE39" s="152"/>
      <c r="CF39" s="128"/>
      <c r="CG39" s="152"/>
      <c r="CH39" s="152"/>
      <c r="CI39" s="278"/>
      <c r="CJ39" s="152" t="s">
        <v>2671</v>
      </c>
      <c r="CK39" s="142"/>
      <c r="CL39" s="152"/>
      <c r="CM39" s="152" t="s">
        <v>2671</v>
      </c>
      <c r="CN39" s="142"/>
      <c r="CO39" s="152"/>
      <c r="CP39" s="152"/>
      <c r="CQ39" s="104" t="s">
        <v>2671</v>
      </c>
      <c r="CR39" s="314" t="s">
        <v>2658</v>
      </c>
      <c r="CS39" s="314" t="s">
        <v>2657</v>
      </c>
      <c r="CT39" s="104" t="s">
        <v>2659</v>
      </c>
      <c r="DH39" t="s">
        <v>1623</v>
      </c>
      <c r="DI39" t="s">
        <v>1623</v>
      </c>
    </row>
    <row r="40" spans="1:114" x14ac:dyDescent="0.25">
      <c r="A40" s="104">
        <v>2015</v>
      </c>
      <c r="B40" s="308" t="s">
        <v>3711</v>
      </c>
      <c r="C40" s="338" t="s">
        <v>1623</v>
      </c>
      <c r="D40" s="152"/>
      <c r="E40" s="152"/>
      <c r="F40" s="152"/>
      <c r="G40" s="152" t="s">
        <v>1623</v>
      </c>
      <c r="H40" s="152"/>
      <c r="I40" s="104"/>
      <c r="J40" s="152" t="s">
        <v>1623</v>
      </c>
      <c r="K40" s="166" t="s">
        <v>1623</v>
      </c>
      <c r="L40" s="152"/>
      <c r="M40" s="166"/>
      <c r="N40" s="222"/>
      <c r="O40" s="222"/>
      <c r="P40" s="222"/>
      <c r="Q40" s="104"/>
      <c r="R40" s="152"/>
      <c r="S40" s="152" t="s">
        <v>1623</v>
      </c>
      <c r="T40" s="128"/>
      <c r="U40" s="152"/>
      <c r="V40" s="152" t="s">
        <v>1623</v>
      </c>
      <c r="W40" s="128"/>
      <c r="X40" s="152" t="s">
        <v>1623</v>
      </c>
      <c r="Y40" s="152"/>
      <c r="Z40" s="128"/>
      <c r="AA40" s="152" t="s">
        <v>1623</v>
      </c>
      <c r="AB40" s="152"/>
      <c r="AC40" s="128"/>
      <c r="AD40" s="324" t="s">
        <v>1623</v>
      </c>
      <c r="AE40" s="324"/>
      <c r="AF40" s="325"/>
      <c r="AG40" s="152"/>
      <c r="AH40" s="152" t="s">
        <v>1623</v>
      </c>
      <c r="AI40" s="152"/>
      <c r="AJ40" s="128"/>
      <c r="AK40" s="152" t="s">
        <v>1623</v>
      </c>
      <c r="AL40" s="152"/>
      <c r="AM40" s="152"/>
      <c r="AN40" s="128"/>
      <c r="AO40" s="152"/>
      <c r="AP40" s="152" t="s">
        <v>1623</v>
      </c>
      <c r="AQ40" s="128"/>
      <c r="AR40" s="126"/>
      <c r="AS40" s="126" t="s">
        <v>1623</v>
      </c>
      <c r="AT40" s="126"/>
      <c r="AU40" s="128"/>
      <c r="AV40" s="152"/>
      <c r="AW40" s="152" t="s">
        <v>1623</v>
      </c>
      <c r="AX40" s="104"/>
      <c r="AY40" s="152" t="s">
        <v>1623</v>
      </c>
      <c r="AZ40" s="152"/>
      <c r="BA40" s="152"/>
      <c r="BB40" s="314"/>
      <c r="BC40" s="128"/>
      <c r="BD40" s="152"/>
      <c r="BE40" s="275"/>
      <c r="BF40" s="277"/>
      <c r="BG40" s="152"/>
      <c r="BH40" s="152"/>
      <c r="BI40" s="128" t="s">
        <v>2674</v>
      </c>
      <c r="BJ40" s="152"/>
      <c r="BK40" s="152"/>
      <c r="BL40" s="152" t="s">
        <v>1623</v>
      </c>
      <c r="BM40" s="152"/>
      <c r="BN40" s="128"/>
      <c r="BO40" s="152"/>
      <c r="BP40" s="152" t="s">
        <v>1623</v>
      </c>
      <c r="BQ40" s="152"/>
      <c r="BR40" s="128"/>
      <c r="BS40" s="152"/>
      <c r="BT40" s="152" t="s">
        <v>1623</v>
      </c>
      <c r="BU40" s="128"/>
      <c r="BV40" s="196" t="s">
        <v>1623</v>
      </c>
      <c r="BW40" s="152"/>
      <c r="BX40" s="325"/>
      <c r="BY40" s="152" t="s">
        <v>1623</v>
      </c>
      <c r="BZ40" s="152"/>
      <c r="CA40" s="152"/>
      <c r="CB40" s="104"/>
      <c r="CC40" s="152"/>
      <c r="CD40" s="152" t="s">
        <v>1623</v>
      </c>
      <c r="CE40" s="152"/>
      <c r="CF40" s="128"/>
      <c r="CG40" s="152"/>
      <c r="CH40" s="152"/>
      <c r="CI40" s="278"/>
      <c r="CJ40" s="128" t="s">
        <v>2671</v>
      </c>
      <c r="CK40" s="152"/>
      <c r="CL40" s="152"/>
      <c r="CM40" s="128" t="s">
        <v>2671</v>
      </c>
      <c r="CN40" s="152" t="s">
        <v>1623</v>
      </c>
      <c r="CO40" s="152"/>
      <c r="CP40" s="152"/>
      <c r="CQ40" s="104"/>
      <c r="CR40" s="314" t="s">
        <v>2658</v>
      </c>
      <c r="CS40" s="314" t="s">
        <v>2657</v>
      </c>
      <c r="CT40" s="104" t="s">
        <v>2659</v>
      </c>
      <c r="DF40" t="s">
        <v>1623</v>
      </c>
      <c r="DH40" t="s">
        <v>1623</v>
      </c>
      <c r="DI40" t="s">
        <v>1623</v>
      </c>
      <c r="DJ40" t="s">
        <v>1623</v>
      </c>
    </row>
    <row r="41" spans="1:114" x14ac:dyDescent="0.25">
      <c r="A41" s="104">
        <v>2019</v>
      </c>
      <c r="B41" s="308" t="s">
        <v>3712</v>
      </c>
      <c r="C41" s="338" t="s">
        <v>1623</v>
      </c>
      <c r="D41" s="152"/>
      <c r="E41" s="152"/>
      <c r="F41" s="152" t="s">
        <v>1623</v>
      </c>
      <c r="G41" s="152"/>
      <c r="H41" s="152"/>
      <c r="I41" s="104"/>
      <c r="J41" s="152" t="s">
        <v>1623</v>
      </c>
      <c r="K41" s="166" t="s">
        <v>1623</v>
      </c>
      <c r="L41" s="152"/>
      <c r="M41" s="166"/>
      <c r="N41" s="222"/>
      <c r="O41" s="222"/>
      <c r="P41" s="222"/>
      <c r="Q41" s="104"/>
      <c r="R41" s="152"/>
      <c r="S41" s="152" t="s">
        <v>1623</v>
      </c>
      <c r="T41" s="128"/>
      <c r="U41" s="152" t="s">
        <v>1623</v>
      </c>
      <c r="V41" s="152"/>
      <c r="W41" s="128"/>
      <c r="X41" s="152" t="s">
        <v>1623</v>
      </c>
      <c r="Y41" s="152"/>
      <c r="Z41" s="128"/>
      <c r="AA41" s="152" t="s">
        <v>1623</v>
      </c>
      <c r="AB41" s="152"/>
      <c r="AC41" s="128"/>
      <c r="AD41" s="324" t="s">
        <v>1623</v>
      </c>
      <c r="AE41" s="324"/>
      <c r="AF41" s="325"/>
      <c r="AG41" s="152" t="s">
        <v>1623</v>
      </c>
      <c r="AH41" s="152" t="s">
        <v>1623</v>
      </c>
      <c r="AI41" s="152"/>
      <c r="AJ41" s="128"/>
      <c r="AK41" s="152" t="s">
        <v>1623</v>
      </c>
      <c r="AL41" s="152"/>
      <c r="AM41" s="152"/>
      <c r="AN41" s="128"/>
      <c r="AO41" s="152" t="s">
        <v>1623</v>
      </c>
      <c r="AP41" s="152"/>
      <c r="AQ41" s="128"/>
      <c r="AR41" s="126"/>
      <c r="AS41" s="126" t="s">
        <v>1623</v>
      </c>
      <c r="AT41" s="126"/>
      <c r="AU41" s="128"/>
      <c r="AV41" s="152"/>
      <c r="AW41" s="152" t="s">
        <v>1623</v>
      </c>
      <c r="AX41" s="104"/>
      <c r="AY41" s="152"/>
      <c r="AZ41" s="152"/>
      <c r="BA41" s="152"/>
      <c r="BB41" s="314" t="s">
        <v>1623</v>
      </c>
      <c r="BC41" s="128"/>
      <c r="BD41" s="152"/>
      <c r="BE41" s="275"/>
      <c r="BF41" s="277"/>
      <c r="BG41" s="152"/>
      <c r="BH41" s="152" t="s">
        <v>1623</v>
      </c>
      <c r="BI41" s="128"/>
      <c r="BJ41" s="152" t="s">
        <v>1623</v>
      </c>
      <c r="BK41" s="152"/>
      <c r="BL41" s="152"/>
      <c r="BM41" s="152"/>
      <c r="BN41" s="128"/>
      <c r="BO41" s="152" t="s">
        <v>1623</v>
      </c>
      <c r="BP41" s="152"/>
      <c r="BQ41" s="152"/>
      <c r="BR41" s="128"/>
      <c r="BS41" s="152" t="s">
        <v>1623</v>
      </c>
      <c r="BT41" s="152"/>
      <c r="BU41" s="128"/>
      <c r="BV41" s="152"/>
      <c r="BW41" s="152" t="s">
        <v>1623</v>
      </c>
      <c r="BX41" s="325"/>
      <c r="BY41" s="152"/>
      <c r="BZ41" s="152" t="s">
        <v>1623</v>
      </c>
      <c r="CA41" s="152"/>
      <c r="CB41" s="104"/>
      <c r="CC41" s="152"/>
      <c r="CD41" s="152"/>
      <c r="CE41" s="152" t="s">
        <v>1623</v>
      </c>
      <c r="CF41" s="128"/>
      <c r="CG41" s="152"/>
      <c r="CH41" s="152" t="s">
        <v>1623</v>
      </c>
      <c r="CI41" s="278"/>
      <c r="CJ41" s="128"/>
      <c r="CK41" s="152"/>
      <c r="CL41" s="152" t="s">
        <v>1623</v>
      </c>
      <c r="CM41" s="128"/>
      <c r="CN41" s="152" t="s">
        <v>1623</v>
      </c>
      <c r="CO41" s="152"/>
      <c r="CP41" s="152"/>
      <c r="CQ41" s="104"/>
      <c r="CR41" s="314" t="s">
        <v>2658</v>
      </c>
      <c r="CS41" s="314" t="s">
        <v>2657</v>
      </c>
      <c r="CT41" s="104" t="s">
        <v>2659</v>
      </c>
      <c r="DG41" t="s">
        <v>1623</v>
      </c>
      <c r="DH41" t="s">
        <v>1623</v>
      </c>
      <c r="DJ41" t="s">
        <v>1623</v>
      </c>
    </row>
    <row r="42" spans="1:114" x14ac:dyDescent="0.25">
      <c r="A42" s="104">
        <v>2018</v>
      </c>
      <c r="B42" s="308" t="s">
        <v>3713</v>
      </c>
      <c r="C42" s="338" t="s">
        <v>1621</v>
      </c>
      <c r="D42" s="192"/>
      <c r="E42" s="192"/>
      <c r="F42" s="192"/>
      <c r="G42" s="192"/>
      <c r="H42" s="192" t="s">
        <v>1623</v>
      </c>
      <c r="I42" s="104"/>
      <c r="J42" s="192"/>
      <c r="K42" s="166" t="s">
        <v>1623</v>
      </c>
      <c r="L42" s="192" t="s">
        <v>1623</v>
      </c>
      <c r="M42" s="166" t="s">
        <v>1623</v>
      </c>
      <c r="N42" s="222" t="s">
        <v>1623</v>
      </c>
      <c r="O42" s="222"/>
      <c r="P42" s="222"/>
      <c r="Q42" s="104"/>
      <c r="R42" s="192"/>
      <c r="S42" s="192" t="s">
        <v>1623</v>
      </c>
      <c r="T42" s="128"/>
      <c r="U42" s="192"/>
      <c r="V42" s="192" t="s">
        <v>1623</v>
      </c>
      <c r="W42" s="128"/>
      <c r="X42" s="192" t="s">
        <v>1623</v>
      </c>
      <c r="Y42" s="192"/>
      <c r="Z42" s="128"/>
      <c r="AA42" s="192"/>
      <c r="AB42" s="192" t="s">
        <v>1623</v>
      </c>
      <c r="AC42" s="128"/>
      <c r="AD42" s="324"/>
      <c r="AE42" s="324" t="s">
        <v>1623</v>
      </c>
      <c r="AF42" s="325"/>
      <c r="AG42" s="192"/>
      <c r="AH42" s="192" t="s">
        <v>1623</v>
      </c>
      <c r="AI42" s="192"/>
      <c r="AJ42" s="128"/>
      <c r="AK42" s="192" t="s">
        <v>1623</v>
      </c>
      <c r="AL42" s="192"/>
      <c r="AM42" s="192"/>
      <c r="AN42" s="128"/>
      <c r="AO42" s="192" t="s">
        <v>1623</v>
      </c>
      <c r="AP42" s="192"/>
      <c r="AQ42" s="128"/>
      <c r="AR42" s="126"/>
      <c r="AS42" s="126" t="s">
        <v>1623</v>
      </c>
      <c r="AT42" s="126"/>
      <c r="AU42" s="128"/>
      <c r="AV42" s="192"/>
      <c r="AW42" s="192" t="s">
        <v>1623</v>
      </c>
      <c r="AX42" s="104"/>
      <c r="AY42" s="192"/>
      <c r="AZ42" s="192"/>
      <c r="BA42" s="192"/>
      <c r="BB42" s="314"/>
      <c r="BC42" s="128" t="s">
        <v>2674</v>
      </c>
      <c r="BD42" s="192" t="s">
        <v>1623</v>
      </c>
      <c r="BE42" s="275"/>
      <c r="BF42" s="277"/>
      <c r="BG42" s="192"/>
      <c r="BH42" s="192"/>
      <c r="BI42" s="128"/>
      <c r="BJ42" s="192"/>
      <c r="BK42" s="192"/>
      <c r="BL42" s="192"/>
      <c r="BM42" s="192"/>
      <c r="BN42" s="128" t="s">
        <v>2674</v>
      </c>
      <c r="BO42" s="192"/>
      <c r="BP42" s="192"/>
      <c r="BQ42" s="192"/>
      <c r="BR42" s="128" t="s">
        <v>2671</v>
      </c>
      <c r="BS42" s="192"/>
      <c r="BT42" s="192"/>
      <c r="BU42" s="128" t="s">
        <v>2671</v>
      </c>
      <c r="BV42" s="192"/>
      <c r="BW42" s="192"/>
      <c r="BX42" s="323" t="s">
        <v>2671</v>
      </c>
      <c r="BY42" s="192"/>
      <c r="BZ42" s="192"/>
      <c r="CA42" s="192"/>
      <c r="CB42" s="104" t="s">
        <v>2671</v>
      </c>
      <c r="CC42" s="192"/>
      <c r="CD42" s="192"/>
      <c r="CE42" s="192" t="s">
        <v>1623</v>
      </c>
      <c r="CF42" s="128"/>
      <c r="CG42" s="192" t="s">
        <v>1623</v>
      </c>
      <c r="CH42" s="192"/>
      <c r="CI42" s="278"/>
      <c r="CJ42" s="128"/>
      <c r="CK42" s="192"/>
      <c r="CL42" s="192" t="s">
        <v>1623</v>
      </c>
      <c r="CM42" s="128"/>
      <c r="CN42" s="192" t="s">
        <v>1623</v>
      </c>
      <c r="CO42" s="192"/>
      <c r="CP42" s="192"/>
      <c r="CQ42" s="104"/>
      <c r="CR42" s="192" t="s">
        <v>2657</v>
      </c>
      <c r="CS42" s="192" t="s">
        <v>2658</v>
      </c>
      <c r="CT42" s="104" t="s">
        <v>2659</v>
      </c>
      <c r="DG42" t="s">
        <v>1623</v>
      </c>
    </row>
    <row r="43" spans="1:114" x14ac:dyDescent="0.25">
      <c r="A43" s="104">
        <v>2020</v>
      </c>
      <c r="B43" s="308" t="s">
        <v>3714</v>
      </c>
      <c r="C43" s="338" t="s">
        <v>1621</v>
      </c>
      <c r="D43" s="152"/>
      <c r="E43" s="152" t="s">
        <v>1623</v>
      </c>
      <c r="F43" s="152" t="s">
        <v>1623</v>
      </c>
      <c r="G43" s="152"/>
      <c r="H43" s="152"/>
      <c r="I43" s="104"/>
      <c r="J43" s="152"/>
      <c r="K43" s="166" t="s">
        <v>1623</v>
      </c>
      <c r="L43" s="152" t="s">
        <v>1623</v>
      </c>
      <c r="M43" s="166" t="s">
        <v>1623</v>
      </c>
      <c r="N43" s="222" t="s">
        <v>1623</v>
      </c>
      <c r="O43" s="222" t="s">
        <v>1623</v>
      </c>
      <c r="P43" s="222" t="s">
        <v>1623</v>
      </c>
      <c r="Q43" s="104"/>
      <c r="R43" s="152"/>
      <c r="S43" s="152" t="s">
        <v>1623</v>
      </c>
      <c r="T43" s="128"/>
      <c r="U43" s="152"/>
      <c r="V43" s="152" t="s">
        <v>1623</v>
      </c>
      <c r="W43" s="128"/>
      <c r="X43" s="152" t="s">
        <v>1623</v>
      </c>
      <c r="Y43" s="152"/>
      <c r="Z43" s="128"/>
      <c r="AA43" s="152" t="s">
        <v>1623</v>
      </c>
      <c r="AB43" s="152"/>
      <c r="AC43" s="128"/>
      <c r="AD43" s="322" t="s">
        <v>1623</v>
      </c>
      <c r="AE43" s="322" t="s">
        <v>1623</v>
      </c>
      <c r="AF43" s="323" t="s">
        <v>2671</v>
      </c>
      <c r="AG43" s="152" t="s">
        <v>1623</v>
      </c>
      <c r="AH43" s="152"/>
      <c r="AI43" s="152"/>
      <c r="AJ43" s="128"/>
      <c r="AK43" s="152"/>
      <c r="AL43" s="152"/>
      <c r="AM43" s="152" t="s">
        <v>1623</v>
      </c>
      <c r="AN43" s="128"/>
      <c r="AO43" s="152"/>
      <c r="AP43" s="152" t="s">
        <v>1623</v>
      </c>
      <c r="AQ43" s="128"/>
      <c r="AR43" s="126"/>
      <c r="AS43" s="198"/>
      <c r="AT43" s="126" t="s">
        <v>1623</v>
      </c>
      <c r="AU43" s="128"/>
      <c r="AV43" s="152" t="s">
        <v>1623</v>
      </c>
      <c r="AW43" s="152"/>
      <c r="AX43" s="104"/>
      <c r="AY43" s="152" t="s">
        <v>1623</v>
      </c>
      <c r="AZ43" s="152" t="s">
        <v>1623</v>
      </c>
      <c r="BA43" s="152"/>
      <c r="BB43" s="314"/>
      <c r="BC43" s="128"/>
      <c r="BD43" s="152"/>
      <c r="BE43" s="275"/>
      <c r="BF43" s="277"/>
      <c r="BG43" s="152"/>
      <c r="BH43" s="152"/>
      <c r="BI43" s="128" t="s">
        <v>2674</v>
      </c>
      <c r="BJ43" s="152"/>
      <c r="BK43" s="152"/>
      <c r="BL43" s="152"/>
      <c r="BM43" s="152"/>
      <c r="BN43" s="128" t="s">
        <v>2674</v>
      </c>
      <c r="BO43" s="182"/>
      <c r="BP43" s="152"/>
      <c r="BQ43" s="152"/>
      <c r="BR43" s="128" t="s">
        <v>2671</v>
      </c>
      <c r="BS43" s="152"/>
      <c r="BT43" s="152"/>
      <c r="BU43" s="128" t="s">
        <v>2671</v>
      </c>
      <c r="BV43" s="182"/>
      <c r="BW43" s="152"/>
      <c r="BX43" s="325" t="s">
        <v>2671</v>
      </c>
      <c r="BY43" s="152"/>
      <c r="BZ43" s="152"/>
      <c r="CA43" s="152"/>
      <c r="CB43" s="104" t="s">
        <v>2671</v>
      </c>
      <c r="CC43" s="152"/>
      <c r="CD43" s="152" t="s">
        <v>1623</v>
      </c>
      <c r="CE43" s="152"/>
      <c r="CF43" s="128"/>
      <c r="CG43" s="152" t="s">
        <v>1623</v>
      </c>
      <c r="CH43" s="152"/>
      <c r="CI43" s="278"/>
      <c r="CJ43" s="128"/>
      <c r="CK43" s="152" t="s">
        <v>1623</v>
      </c>
      <c r="CL43" s="152"/>
      <c r="CM43" s="128"/>
      <c r="CN43" s="152" t="s">
        <v>1623</v>
      </c>
      <c r="CO43" s="152"/>
      <c r="CP43" s="152"/>
      <c r="CQ43" s="104"/>
      <c r="CR43" s="152" t="s">
        <v>2657</v>
      </c>
      <c r="CS43" s="152" t="s">
        <v>2658</v>
      </c>
      <c r="CT43" s="104" t="s">
        <v>2659</v>
      </c>
      <c r="DF43" t="s">
        <v>1623</v>
      </c>
    </row>
    <row r="44" spans="1:114" x14ac:dyDescent="0.25">
      <c r="A44" s="104">
        <v>2019</v>
      </c>
      <c r="B44" s="308" t="s">
        <v>3715</v>
      </c>
      <c r="C44" s="338" t="s">
        <v>1623</v>
      </c>
      <c r="D44" s="152"/>
      <c r="E44" s="152"/>
      <c r="F44" s="152" t="s">
        <v>1623</v>
      </c>
      <c r="G44" s="152"/>
      <c r="H44" s="152" t="s">
        <v>1623</v>
      </c>
      <c r="I44" s="104"/>
      <c r="J44" s="152"/>
      <c r="K44" s="166" t="s">
        <v>1623</v>
      </c>
      <c r="L44" s="152"/>
      <c r="M44" s="166"/>
      <c r="N44" s="222"/>
      <c r="O44" s="222"/>
      <c r="P44" s="222"/>
      <c r="Q44" s="104"/>
      <c r="R44" s="152" t="s">
        <v>1623</v>
      </c>
      <c r="S44" s="152"/>
      <c r="T44" s="128"/>
      <c r="U44" s="152"/>
      <c r="V44" s="152" t="s">
        <v>1623</v>
      </c>
      <c r="W44" s="128"/>
      <c r="X44" s="152" t="s">
        <v>1623</v>
      </c>
      <c r="Y44" s="152"/>
      <c r="Z44" s="128"/>
      <c r="AA44" s="152" t="s">
        <v>1623</v>
      </c>
      <c r="AB44" s="152"/>
      <c r="AC44" s="128"/>
      <c r="AD44" s="324"/>
      <c r="AE44" s="324" t="s">
        <v>1623</v>
      </c>
      <c r="AF44" s="325"/>
      <c r="AG44" s="152" t="s">
        <v>1623</v>
      </c>
      <c r="AH44" s="152"/>
      <c r="AI44" s="152"/>
      <c r="AJ44" s="128"/>
      <c r="AK44" s="152" t="s">
        <v>1623</v>
      </c>
      <c r="AL44" s="152"/>
      <c r="AM44" s="152"/>
      <c r="AN44" s="128"/>
      <c r="AO44" s="152" t="s">
        <v>1623</v>
      </c>
      <c r="AP44" s="152"/>
      <c r="AQ44" s="128"/>
      <c r="AR44" s="126"/>
      <c r="AS44" s="126"/>
      <c r="AT44" s="126" t="s">
        <v>1623</v>
      </c>
      <c r="AU44" s="128"/>
      <c r="AV44" s="152" t="s">
        <v>1623</v>
      </c>
      <c r="AW44" s="152"/>
      <c r="AX44" s="104"/>
      <c r="AY44" s="152"/>
      <c r="AZ44" s="152"/>
      <c r="BA44" s="152" t="s">
        <v>1623</v>
      </c>
      <c r="BB44" s="314"/>
      <c r="BC44" s="128"/>
      <c r="BD44" s="152"/>
      <c r="BE44" s="275"/>
      <c r="BF44" s="277"/>
      <c r="BG44" s="152"/>
      <c r="BH44" s="152"/>
      <c r="BI44" s="128" t="s">
        <v>2674</v>
      </c>
      <c r="BJ44" s="152" t="s">
        <v>1623</v>
      </c>
      <c r="BK44" s="152"/>
      <c r="BL44" s="152"/>
      <c r="BM44" s="152"/>
      <c r="BN44" s="128"/>
      <c r="BO44" s="152"/>
      <c r="BP44" s="152" t="s">
        <v>1623</v>
      </c>
      <c r="BQ44" s="152"/>
      <c r="BR44" s="128"/>
      <c r="BS44" s="152" t="s">
        <v>1623</v>
      </c>
      <c r="BT44" s="152"/>
      <c r="BU44" s="128"/>
      <c r="BV44" s="152"/>
      <c r="BW44" s="152" t="s">
        <v>1623</v>
      </c>
      <c r="BX44" s="325"/>
      <c r="BY44" s="152"/>
      <c r="BZ44" s="152" t="s">
        <v>1623</v>
      </c>
      <c r="CA44" s="152"/>
      <c r="CB44" s="104"/>
      <c r="CC44" s="152"/>
      <c r="CD44" s="152"/>
      <c r="CE44" s="152" t="s">
        <v>1623</v>
      </c>
      <c r="CF44" s="128"/>
      <c r="CG44" s="152" t="s">
        <v>1623</v>
      </c>
      <c r="CH44" s="152"/>
      <c r="CI44" s="278"/>
      <c r="CJ44" s="128"/>
      <c r="CK44" s="152" t="s">
        <v>1623</v>
      </c>
      <c r="CL44" s="152"/>
      <c r="CM44" s="128"/>
      <c r="CN44" s="152" t="s">
        <v>1623</v>
      </c>
      <c r="CO44" s="152"/>
      <c r="CP44" s="152"/>
      <c r="CQ44" s="104"/>
      <c r="CR44" s="152" t="s">
        <v>2658</v>
      </c>
      <c r="CS44" s="152" t="s">
        <v>2657</v>
      </c>
      <c r="CT44" s="104" t="s">
        <v>2659</v>
      </c>
      <c r="DF44" t="s">
        <v>1623</v>
      </c>
      <c r="DH44" t="s">
        <v>1623</v>
      </c>
      <c r="DI44" t="s">
        <v>1623</v>
      </c>
      <c r="DJ44" t="s">
        <v>1623</v>
      </c>
    </row>
    <row r="45" spans="1:114" x14ac:dyDescent="0.25">
      <c r="A45" s="104">
        <v>2005</v>
      </c>
      <c r="B45" s="308" t="s">
        <v>3716</v>
      </c>
      <c r="C45" s="338" t="s">
        <v>1623</v>
      </c>
      <c r="D45" s="152"/>
      <c r="E45" s="152"/>
      <c r="F45" s="152"/>
      <c r="G45" s="152"/>
      <c r="H45" s="152" t="s">
        <v>1623</v>
      </c>
      <c r="I45" s="104"/>
      <c r="J45" s="152"/>
      <c r="K45" s="166" t="s">
        <v>1623</v>
      </c>
      <c r="L45" s="152" t="s">
        <v>1623</v>
      </c>
      <c r="M45" s="166"/>
      <c r="N45" s="222"/>
      <c r="O45" s="222"/>
      <c r="P45" s="222"/>
      <c r="Q45" s="104"/>
      <c r="R45" s="152"/>
      <c r="S45" s="152" t="s">
        <v>1623</v>
      </c>
      <c r="T45" s="128"/>
      <c r="U45" s="152"/>
      <c r="V45" s="152" t="s">
        <v>1623</v>
      </c>
      <c r="W45" s="128"/>
      <c r="X45" s="152" t="s">
        <v>1623</v>
      </c>
      <c r="Y45" s="152"/>
      <c r="Z45" s="128"/>
      <c r="AA45" s="152" t="s">
        <v>1623</v>
      </c>
      <c r="AB45" s="152"/>
      <c r="AC45" s="128"/>
      <c r="AD45" s="324"/>
      <c r="AE45" s="324" t="s">
        <v>1623</v>
      </c>
      <c r="AF45" s="325"/>
      <c r="AG45" s="152"/>
      <c r="AH45" s="152" t="s">
        <v>1623</v>
      </c>
      <c r="AI45" s="152"/>
      <c r="AJ45" s="128"/>
      <c r="AK45" s="152"/>
      <c r="AL45" s="152"/>
      <c r="AM45" s="152" t="s">
        <v>1623</v>
      </c>
      <c r="AN45" s="128"/>
      <c r="AO45" s="152"/>
      <c r="AP45" s="152" t="s">
        <v>1623</v>
      </c>
      <c r="AQ45" s="128"/>
      <c r="AR45" s="126"/>
      <c r="AS45" s="126" t="s">
        <v>1623</v>
      </c>
      <c r="AT45" s="126"/>
      <c r="AU45" s="128"/>
      <c r="AV45" s="152"/>
      <c r="AW45" s="152" t="s">
        <v>1623</v>
      </c>
      <c r="AX45" s="104"/>
      <c r="AY45" s="152" t="s">
        <v>1623</v>
      </c>
      <c r="AZ45" s="152"/>
      <c r="BA45" s="152"/>
      <c r="BB45" s="314"/>
      <c r="BC45" s="128"/>
      <c r="BD45" s="152"/>
      <c r="BE45" s="275"/>
      <c r="BF45" s="277"/>
      <c r="BG45" s="152"/>
      <c r="BH45" s="152"/>
      <c r="BI45" s="128" t="s">
        <v>2674</v>
      </c>
      <c r="BJ45" s="152"/>
      <c r="BK45" s="152" t="s">
        <v>1623</v>
      </c>
      <c r="BL45" s="152"/>
      <c r="BM45" s="152"/>
      <c r="BN45" s="128"/>
      <c r="BO45" s="152"/>
      <c r="BP45" s="152" t="s">
        <v>1623</v>
      </c>
      <c r="BQ45" s="152"/>
      <c r="BR45" s="128"/>
      <c r="BS45" s="152"/>
      <c r="BT45" s="152" t="s">
        <v>1623</v>
      </c>
      <c r="BU45" s="128"/>
      <c r="BV45" s="196" t="s">
        <v>1623</v>
      </c>
      <c r="BW45" s="152"/>
      <c r="BX45" s="325"/>
      <c r="BY45" s="152"/>
      <c r="BZ45" s="152"/>
      <c r="CA45" s="152" t="s">
        <v>1623</v>
      </c>
      <c r="CB45" s="104"/>
      <c r="CC45" s="152"/>
      <c r="CD45" s="152" t="s">
        <v>1623</v>
      </c>
      <c r="CE45" s="152"/>
      <c r="CF45" s="128"/>
      <c r="CG45" s="152" t="s">
        <v>1623</v>
      </c>
      <c r="CH45" s="152"/>
      <c r="CI45" s="278"/>
      <c r="CJ45" s="128"/>
      <c r="CK45" s="152"/>
      <c r="CL45" s="152"/>
      <c r="CM45" s="128" t="s">
        <v>2671</v>
      </c>
      <c r="CN45" s="152"/>
      <c r="CO45" s="152"/>
      <c r="CP45" s="152" t="s">
        <v>1623</v>
      </c>
      <c r="CQ45" s="104"/>
      <c r="CR45" s="314" t="s">
        <v>2658</v>
      </c>
      <c r="CS45" s="314" t="s">
        <v>2657</v>
      </c>
      <c r="CT45" s="104" t="s">
        <v>2659</v>
      </c>
      <c r="DF45" t="s">
        <v>1623</v>
      </c>
      <c r="DH45" t="s">
        <v>1623</v>
      </c>
      <c r="DI45" t="s">
        <v>1623</v>
      </c>
      <c r="DJ45" t="s">
        <v>1623</v>
      </c>
    </row>
    <row r="46" spans="1:114" x14ac:dyDescent="0.25">
      <c r="A46" s="104">
        <v>2015</v>
      </c>
      <c r="B46" s="308" t="s">
        <v>3717</v>
      </c>
      <c r="C46" s="338" t="s">
        <v>1623</v>
      </c>
      <c r="D46" s="152"/>
      <c r="E46" s="152" t="s">
        <v>1623</v>
      </c>
      <c r="F46" s="152"/>
      <c r="G46" s="152"/>
      <c r="H46" s="152"/>
      <c r="I46" s="104"/>
      <c r="J46" s="152"/>
      <c r="K46" s="166" t="s">
        <v>1623</v>
      </c>
      <c r="L46" s="152" t="s">
        <v>1623</v>
      </c>
      <c r="M46" s="166"/>
      <c r="N46" s="222"/>
      <c r="O46" s="222"/>
      <c r="P46" s="222"/>
      <c r="Q46" s="104"/>
      <c r="R46" s="152"/>
      <c r="S46" s="152" t="s">
        <v>1623</v>
      </c>
      <c r="T46" s="128"/>
      <c r="U46" s="152"/>
      <c r="V46" s="152" t="s">
        <v>1623</v>
      </c>
      <c r="W46" s="128"/>
      <c r="X46" s="152" t="s">
        <v>1623</v>
      </c>
      <c r="Y46" s="152"/>
      <c r="Z46" s="128"/>
      <c r="AA46" s="152" t="s">
        <v>1623</v>
      </c>
      <c r="AB46" s="152"/>
      <c r="AC46" s="128"/>
      <c r="AD46" s="324"/>
      <c r="AE46" s="324" t="s">
        <v>1623</v>
      </c>
      <c r="AF46" s="325"/>
      <c r="AG46" s="152"/>
      <c r="AH46" s="152" t="s">
        <v>1623</v>
      </c>
      <c r="AI46" s="152"/>
      <c r="AJ46" s="128"/>
      <c r="AK46" s="152"/>
      <c r="AL46" s="152"/>
      <c r="AM46" s="152" t="s">
        <v>1623</v>
      </c>
      <c r="AN46" s="128"/>
      <c r="AO46" s="152"/>
      <c r="AP46" s="152" t="s">
        <v>1623</v>
      </c>
      <c r="AQ46" s="128"/>
      <c r="AR46" s="126"/>
      <c r="AS46" s="126"/>
      <c r="AT46" s="126" t="s">
        <v>1623</v>
      </c>
      <c r="AU46" s="128"/>
      <c r="AV46" s="152"/>
      <c r="AW46" s="152" t="s">
        <v>1623</v>
      </c>
      <c r="AX46" s="104"/>
      <c r="AY46" s="152" t="s">
        <v>1623</v>
      </c>
      <c r="AZ46" s="152"/>
      <c r="BA46" s="152"/>
      <c r="BB46" s="314"/>
      <c r="BC46" s="128"/>
      <c r="BD46" s="152"/>
      <c r="BE46" s="275"/>
      <c r="BF46" s="277"/>
      <c r="BG46" s="152"/>
      <c r="BH46" s="152"/>
      <c r="BI46" s="128" t="s">
        <v>2674</v>
      </c>
      <c r="BJ46" s="152"/>
      <c r="BK46" s="152" t="s">
        <v>1623</v>
      </c>
      <c r="BL46" s="152" t="s">
        <v>1623</v>
      </c>
      <c r="BM46" s="152"/>
      <c r="BN46" s="128"/>
      <c r="BO46" s="177" t="s">
        <v>1623</v>
      </c>
      <c r="BP46" s="152"/>
      <c r="BQ46" s="152"/>
      <c r="BR46" s="128"/>
      <c r="BS46" s="152" t="s">
        <v>1623</v>
      </c>
      <c r="BT46" s="152"/>
      <c r="BU46" s="128"/>
      <c r="BV46" s="152"/>
      <c r="BW46" s="152" t="s">
        <v>1623</v>
      </c>
      <c r="BX46" s="325"/>
      <c r="BY46" s="152"/>
      <c r="BZ46" s="152"/>
      <c r="CA46" s="152" t="s">
        <v>1623</v>
      </c>
      <c r="CB46" s="104"/>
      <c r="CC46" s="152"/>
      <c r="CD46" s="152" t="s">
        <v>1623</v>
      </c>
      <c r="CE46" s="152"/>
      <c r="CF46" s="128"/>
      <c r="CG46" s="152"/>
      <c r="CH46" s="152"/>
      <c r="CI46" s="278"/>
      <c r="CJ46" s="128" t="s">
        <v>2671</v>
      </c>
      <c r="CK46" s="152"/>
      <c r="CL46" s="152"/>
      <c r="CM46" s="128" t="s">
        <v>2671</v>
      </c>
      <c r="CN46" s="152"/>
      <c r="CO46" s="152"/>
      <c r="CP46" s="152"/>
      <c r="CQ46" s="104" t="s">
        <v>2671</v>
      </c>
      <c r="CR46" s="314" t="s">
        <v>2658</v>
      </c>
      <c r="CS46" s="314" t="s">
        <v>2657</v>
      </c>
      <c r="CT46" s="104" t="s">
        <v>2659</v>
      </c>
      <c r="DF46" t="s">
        <v>1623</v>
      </c>
      <c r="DH46" t="s">
        <v>1623</v>
      </c>
      <c r="DJ46" t="s">
        <v>1623</v>
      </c>
    </row>
    <row r="47" spans="1:114" x14ac:dyDescent="0.25">
      <c r="A47" s="104">
        <v>2013</v>
      </c>
      <c r="B47" s="308" t="s">
        <v>3718</v>
      </c>
      <c r="C47" s="338" t="s">
        <v>1623</v>
      </c>
      <c r="D47" s="152"/>
      <c r="E47" s="152" t="s">
        <v>1623</v>
      </c>
      <c r="F47" s="152"/>
      <c r="G47" s="152"/>
      <c r="H47" s="152"/>
      <c r="I47" s="104"/>
      <c r="J47" s="152"/>
      <c r="K47" s="166"/>
      <c r="L47" s="152"/>
      <c r="M47" s="166" t="s">
        <v>1623</v>
      </c>
      <c r="N47" s="222"/>
      <c r="O47" s="222"/>
      <c r="P47" s="222" t="s">
        <v>1623</v>
      </c>
      <c r="Q47" s="104"/>
      <c r="R47" s="152"/>
      <c r="S47" s="152" t="s">
        <v>1623</v>
      </c>
      <c r="T47" s="128"/>
      <c r="U47" s="152"/>
      <c r="V47" s="152" t="s">
        <v>1623</v>
      </c>
      <c r="W47" s="128"/>
      <c r="X47" s="152" t="s">
        <v>1623</v>
      </c>
      <c r="Y47" s="152"/>
      <c r="Z47" s="128"/>
      <c r="AA47" s="152" t="s">
        <v>1623</v>
      </c>
      <c r="AB47" s="152"/>
      <c r="AC47" s="128"/>
      <c r="AD47" s="324"/>
      <c r="AE47" s="324" t="s">
        <v>1623</v>
      </c>
      <c r="AF47" s="325"/>
      <c r="AG47" s="152" t="s">
        <v>1623</v>
      </c>
      <c r="AH47" s="152"/>
      <c r="AI47" s="152"/>
      <c r="AJ47" s="128"/>
      <c r="AK47" s="152"/>
      <c r="AL47" s="152"/>
      <c r="AM47" s="152" t="s">
        <v>1623</v>
      </c>
      <c r="AN47" s="128"/>
      <c r="AO47" s="152"/>
      <c r="AP47" s="152" t="s">
        <v>1623</v>
      </c>
      <c r="AQ47" s="128"/>
      <c r="AR47" s="126"/>
      <c r="AS47" s="126"/>
      <c r="AT47" s="126" t="s">
        <v>1623</v>
      </c>
      <c r="AU47" s="128"/>
      <c r="AV47" s="152"/>
      <c r="AW47" s="152" t="s">
        <v>1623</v>
      </c>
      <c r="AX47" s="104"/>
      <c r="AY47" s="152" t="s">
        <v>1623</v>
      </c>
      <c r="AZ47" s="152"/>
      <c r="BA47" s="152"/>
      <c r="BB47" s="314"/>
      <c r="BC47" s="128"/>
      <c r="BD47" s="152"/>
      <c r="BE47" s="275"/>
      <c r="BF47" s="277"/>
      <c r="BG47" s="152"/>
      <c r="BH47" s="152"/>
      <c r="BI47" s="128" t="s">
        <v>2674</v>
      </c>
      <c r="BJ47" s="152"/>
      <c r="BK47" s="152"/>
      <c r="BL47" s="152"/>
      <c r="BM47" s="152" t="s">
        <v>1623</v>
      </c>
      <c r="BN47" s="128"/>
      <c r="BO47" s="152" t="s">
        <v>1623</v>
      </c>
      <c r="BP47" s="152"/>
      <c r="BQ47" s="152"/>
      <c r="BR47" s="128"/>
      <c r="BS47" s="152" t="s">
        <v>1623</v>
      </c>
      <c r="BT47" s="152"/>
      <c r="BU47" s="128"/>
      <c r="BV47" s="152"/>
      <c r="BW47" s="152" t="s">
        <v>1623</v>
      </c>
      <c r="BX47" s="325"/>
      <c r="BY47" s="152"/>
      <c r="BZ47" s="152"/>
      <c r="CA47" s="152" t="s">
        <v>1623</v>
      </c>
      <c r="CB47" s="104"/>
      <c r="CC47" s="152"/>
      <c r="CD47" s="152" t="s">
        <v>1623</v>
      </c>
      <c r="CE47" s="152"/>
      <c r="CF47" s="128"/>
      <c r="CG47" s="152" t="s">
        <v>1623</v>
      </c>
      <c r="CH47" s="152"/>
      <c r="CI47" s="278"/>
      <c r="CJ47" s="128"/>
      <c r="CK47" s="152"/>
      <c r="CL47" s="152"/>
      <c r="CM47" s="128" t="s">
        <v>2671</v>
      </c>
      <c r="CN47" s="152"/>
      <c r="CO47" s="152"/>
      <c r="CP47" s="152"/>
      <c r="CQ47" s="104" t="s">
        <v>2671</v>
      </c>
      <c r="CR47" s="314" t="s">
        <v>2658</v>
      </c>
      <c r="CS47" s="314" t="s">
        <v>2657</v>
      </c>
      <c r="CT47" s="104" t="s">
        <v>2659</v>
      </c>
      <c r="DF47" t="s">
        <v>1623</v>
      </c>
      <c r="DH47" t="s">
        <v>1623</v>
      </c>
      <c r="DJ47" t="s">
        <v>1623</v>
      </c>
    </row>
    <row r="48" spans="1:114" x14ac:dyDescent="0.25">
      <c r="A48" s="104">
        <v>2018</v>
      </c>
      <c r="B48" s="308" t="s">
        <v>3719</v>
      </c>
      <c r="C48" s="338" t="s">
        <v>1623</v>
      </c>
      <c r="D48" s="152"/>
      <c r="E48" s="152" t="s">
        <v>1623</v>
      </c>
      <c r="F48" s="152" t="s">
        <v>1623</v>
      </c>
      <c r="G48" s="152"/>
      <c r="H48" s="152"/>
      <c r="I48" s="104"/>
      <c r="J48" s="152" t="s">
        <v>1623</v>
      </c>
      <c r="K48" s="166" t="s">
        <v>1623</v>
      </c>
      <c r="L48" s="152"/>
      <c r="M48" s="166"/>
      <c r="N48" s="222"/>
      <c r="O48" s="222"/>
      <c r="P48" s="222"/>
      <c r="Q48" s="104"/>
      <c r="R48" s="152"/>
      <c r="S48" s="152" t="s">
        <v>1623</v>
      </c>
      <c r="T48" s="128"/>
      <c r="U48" s="152"/>
      <c r="V48" s="152" t="s">
        <v>1623</v>
      </c>
      <c r="W48" s="128"/>
      <c r="X48" s="152" t="s">
        <v>1623</v>
      </c>
      <c r="Y48" s="152"/>
      <c r="Z48" s="128"/>
      <c r="AA48" s="152" t="s">
        <v>1623</v>
      </c>
      <c r="AB48" s="152"/>
      <c r="AC48" s="128"/>
      <c r="AD48" s="324"/>
      <c r="AE48" s="324" t="s">
        <v>1623</v>
      </c>
      <c r="AF48" s="325"/>
      <c r="AG48" s="152"/>
      <c r="AH48" s="152"/>
      <c r="AI48" s="152" t="s">
        <v>1623</v>
      </c>
      <c r="AJ48" s="128"/>
      <c r="AK48" s="152" t="s">
        <v>1623</v>
      </c>
      <c r="AL48" s="152"/>
      <c r="AM48" s="152"/>
      <c r="AN48" s="128"/>
      <c r="AO48" s="152" t="s">
        <v>1623</v>
      </c>
      <c r="AP48" s="152"/>
      <c r="AQ48" s="128"/>
      <c r="AR48" s="126"/>
      <c r="AS48" s="126"/>
      <c r="AT48" s="126" t="s">
        <v>1623</v>
      </c>
      <c r="AU48" s="152"/>
      <c r="AV48" s="142"/>
      <c r="AW48" s="152" t="s">
        <v>1623</v>
      </c>
      <c r="AX48" s="104"/>
      <c r="AY48" s="152"/>
      <c r="AZ48" s="152" t="s">
        <v>1623</v>
      </c>
      <c r="BA48" s="152"/>
      <c r="BB48" s="314"/>
      <c r="BC48" s="128"/>
      <c r="BD48" s="152"/>
      <c r="BE48" s="275"/>
      <c r="BF48" s="277"/>
      <c r="BG48" s="152"/>
      <c r="BH48" s="152"/>
      <c r="BI48" s="128" t="s">
        <v>2674</v>
      </c>
      <c r="BJ48" s="152"/>
      <c r="BK48" s="152"/>
      <c r="BL48" s="152" t="s">
        <v>1623</v>
      </c>
      <c r="BM48" s="152"/>
      <c r="BN48" s="128"/>
      <c r="BO48" s="152" t="s">
        <v>1623</v>
      </c>
      <c r="BP48" s="152"/>
      <c r="BQ48" s="152"/>
      <c r="BR48" s="128"/>
      <c r="BS48" s="152"/>
      <c r="BT48" s="152" t="s">
        <v>1623</v>
      </c>
      <c r="BU48" s="128"/>
      <c r="BV48" s="196" t="s">
        <v>1623</v>
      </c>
      <c r="BW48" s="152"/>
      <c r="BX48" s="325"/>
      <c r="BY48" s="152"/>
      <c r="BZ48" s="152" t="s">
        <v>1623</v>
      </c>
      <c r="CA48" s="152"/>
      <c r="CB48" s="104"/>
      <c r="CC48" s="152" t="s">
        <v>1623</v>
      </c>
      <c r="CD48" s="152"/>
      <c r="CE48" s="152"/>
      <c r="CF48" s="128"/>
      <c r="CG48" s="152"/>
      <c r="CH48" s="152"/>
      <c r="CI48" s="278"/>
      <c r="CJ48" s="128" t="s">
        <v>2671</v>
      </c>
      <c r="CK48" s="152"/>
      <c r="CL48" s="152"/>
      <c r="CM48" s="128" t="s">
        <v>2671</v>
      </c>
      <c r="CN48" s="152" t="s">
        <v>1623</v>
      </c>
      <c r="CO48" s="152"/>
      <c r="CP48" s="152"/>
      <c r="CQ48" s="104"/>
      <c r="CR48" s="314" t="s">
        <v>2658</v>
      </c>
      <c r="CS48" s="314" t="s">
        <v>2657</v>
      </c>
      <c r="CT48" s="104" t="s">
        <v>2659</v>
      </c>
      <c r="DF48" t="s">
        <v>1623</v>
      </c>
      <c r="DH48" t="s">
        <v>1623</v>
      </c>
      <c r="DJ48" t="s">
        <v>1623</v>
      </c>
    </row>
    <row r="49" spans="1:114" x14ac:dyDescent="0.25">
      <c r="A49" s="104">
        <v>2014</v>
      </c>
      <c r="B49" s="308" t="s">
        <v>3720</v>
      </c>
      <c r="C49" s="338" t="s">
        <v>1623</v>
      </c>
      <c r="D49" s="126"/>
      <c r="E49" s="126" t="s">
        <v>1623</v>
      </c>
      <c r="F49" s="126"/>
      <c r="G49" s="126"/>
      <c r="H49" s="126"/>
      <c r="I49" s="104"/>
      <c r="J49" s="126"/>
      <c r="K49" s="306" t="s">
        <v>1623</v>
      </c>
      <c r="L49" s="126"/>
      <c r="M49" s="306"/>
      <c r="N49" s="126"/>
      <c r="O49" s="126"/>
      <c r="P49" s="126"/>
      <c r="Q49" s="104"/>
      <c r="R49" s="126"/>
      <c r="S49" s="126" t="s">
        <v>1623</v>
      </c>
      <c r="T49" s="128"/>
      <c r="U49" s="126"/>
      <c r="V49" s="126" t="s">
        <v>1623</v>
      </c>
      <c r="W49" s="128"/>
      <c r="X49" s="126" t="s">
        <v>1623</v>
      </c>
      <c r="Y49" s="126"/>
      <c r="Z49" s="128"/>
      <c r="AA49" s="126" t="s">
        <v>1623</v>
      </c>
      <c r="AB49" s="126"/>
      <c r="AC49" s="128"/>
      <c r="AD49" s="326"/>
      <c r="AE49" s="326" t="s">
        <v>1623</v>
      </c>
      <c r="AF49" s="325"/>
      <c r="AG49" s="126"/>
      <c r="AH49" s="126" t="s">
        <v>1623</v>
      </c>
      <c r="AI49" s="126"/>
      <c r="AJ49" s="128"/>
      <c r="AK49" s="126" t="s">
        <v>1623</v>
      </c>
      <c r="AL49" s="126"/>
      <c r="AM49" s="126"/>
      <c r="AN49" s="128"/>
      <c r="AO49" s="126" t="s">
        <v>1623</v>
      </c>
      <c r="AP49" s="126"/>
      <c r="AQ49" s="128"/>
      <c r="AR49" s="126"/>
      <c r="AS49" s="126"/>
      <c r="AT49" s="126" t="s">
        <v>1623</v>
      </c>
      <c r="AU49" s="128"/>
      <c r="AV49" s="126"/>
      <c r="AW49" s="126" t="s">
        <v>1623</v>
      </c>
      <c r="AX49" s="104"/>
      <c r="AY49" s="126"/>
      <c r="AZ49" s="126"/>
      <c r="BA49" s="126"/>
      <c r="BB49" s="126" t="s">
        <v>1623</v>
      </c>
      <c r="BC49" s="128"/>
      <c r="BD49" s="126"/>
      <c r="BE49" s="126"/>
      <c r="BF49" s="126"/>
      <c r="BG49" s="126"/>
      <c r="BH49" s="126"/>
      <c r="BI49" s="128" t="s">
        <v>2674</v>
      </c>
      <c r="BJ49" s="126"/>
      <c r="BK49" s="126" t="s">
        <v>1623</v>
      </c>
      <c r="BL49" s="126"/>
      <c r="BM49" s="126"/>
      <c r="BN49" s="128"/>
      <c r="BO49" s="126"/>
      <c r="BP49" s="126"/>
      <c r="BQ49" s="126" t="s">
        <v>1623</v>
      </c>
      <c r="BR49" s="128"/>
      <c r="BS49" s="126" t="s">
        <v>1623</v>
      </c>
      <c r="BT49" s="126"/>
      <c r="BU49" s="128"/>
      <c r="BV49" s="126"/>
      <c r="BW49" s="126" t="s">
        <v>1623</v>
      </c>
      <c r="BX49" s="325"/>
      <c r="BY49" s="126"/>
      <c r="BZ49" s="126"/>
      <c r="CA49" s="126"/>
      <c r="CB49" s="104" t="s">
        <v>2671</v>
      </c>
      <c r="CC49" s="126"/>
      <c r="CD49" s="126" t="s">
        <v>1623</v>
      </c>
      <c r="CE49" s="126"/>
      <c r="CF49" s="128"/>
      <c r="CG49" s="126" t="s">
        <v>1623</v>
      </c>
      <c r="CH49" s="126"/>
      <c r="CI49" s="126"/>
      <c r="CJ49" s="128"/>
      <c r="CK49" s="126"/>
      <c r="CL49" s="126"/>
      <c r="CM49" s="128" t="s">
        <v>2671</v>
      </c>
      <c r="CN49" s="126"/>
      <c r="CO49" s="126" t="s">
        <v>1623</v>
      </c>
      <c r="CP49" s="126"/>
      <c r="CQ49" s="104"/>
      <c r="CR49" s="314" t="s">
        <v>2658</v>
      </c>
      <c r="CS49" s="314" t="s">
        <v>2657</v>
      </c>
      <c r="CT49" s="104" t="s">
        <v>2659</v>
      </c>
      <c r="DH49" t="s">
        <v>1623</v>
      </c>
      <c r="DI49" t="s">
        <v>1623</v>
      </c>
    </row>
    <row r="50" spans="1:114" x14ac:dyDescent="0.25">
      <c r="A50" s="104">
        <v>2020</v>
      </c>
      <c r="B50" s="308" t="s">
        <v>3721</v>
      </c>
      <c r="C50" s="338" t="s">
        <v>1621</v>
      </c>
      <c r="D50" s="126"/>
      <c r="E50" s="126" t="s">
        <v>1623</v>
      </c>
      <c r="F50" s="126" t="s">
        <v>1623</v>
      </c>
      <c r="G50" s="126"/>
      <c r="H50" s="126"/>
      <c r="I50" s="104"/>
      <c r="J50" s="126"/>
      <c r="K50" s="306" t="s">
        <v>1623</v>
      </c>
      <c r="L50" s="126" t="s">
        <v>1623</v>
      </c>
      <c r="M50" s="306" t="s">
        <v>1623</v>
      </c>
      <c r="N50" s="126" t="s">
        <v>1623</v>
      </c>
      <c r="O50" s="126"/>
      <c r="P50" s="126"/>
      <c r="Q50" s="104"/>
      <c r="R50" s="126"/>
      <c r="S50" s="126" t="s">
        <v>1623</v>
      </c>
      <c r="T50" s="128"/>
      <c r="U50" s="126" t="s">
        <v>1623</v>
      </c>
      <c r="V50" s="126"/>
      <c r="W50" s="128"/>
      <c r="X50" s="126" t="s">
        <v>1623</v>
      </c>
      <c r="Y50" s="126"/>
      <c r="Z50" s="128"/>
      <c r="AA50" s="126"/>
      <c r="AB50" s="126" t="s">
        <v>1623</v>
      </c>
      <c r="AC50" s="128"/>
      <c r="AD50" s="326"/>
      <c r="AE50" s="326" t="s">
        <v>1623</v>
      </c>
      <c r="AF50" s="325"/>
      <c r="AG50" s="126" t="s">
        <v>1623</v>
      </c>
      <c r="AH50" s="126"/>
      <c r="AI50" s="126"/>
      <c r="AJ50" s="128"/>
      <c r="AK50" s="126"/>
      <c r="AL50" s="126"/>
      <c r="AM50" s="126" t="s">
        <v>1623</v>
      </c>
      <c r="AN50" s="128"/>
      <c r="AO50" s="126" t="s">
        <v>1623</v>
      </c>
      <c r="AP50" s="126"/>
      <c r="AQ50" s="128"/>
      <c r="AR50" s="126"/>
      <c r="AS50" s="126" t="s">
        <v>1623</v>
      </c>
      <c r="AT50" s="126"/>
      <c r="AU50" s="128"/>
      <c r="AV50" s="126"/>
      <c r="AW50" s="126" t="s">
        <v>1623</v>
      </c>
      <c r="AX50" s="104"/>
      <c r="AY50" s="126"/>
      <c r="AZ50" s="126"/>
      <c r="BA50" s="126"/>
      <c r="BB50" s="126"/>
      <c r="BC50" s="128" t="s">
        <v>2674</v>
      </c>
      <c r="BD50" s="126" t="s">
        <v>1623</v>
      </c>
      <c r="BE50" s="126"/>
      <c r="BF50" s="126"/>
      <c r="BG50" s="126"/>
      <c r="BH50" s="126"/>
      <c r="BI50" s="128"/>
      <c r="BJ50" s="126"/>
      <c r="BK50" s="126"/>
      <c r="BL50" s="126"/>
      <c r="BM50" s="126"/>
      <c r="BN50" s="128" t="s">
        <v>2674</v>
      </c>
      <c r="BO50" s="322"/>
      <c r="BP50" s="126"/>
      <c r="BQ50" s="126"/>
      <c r="BR50" s="128" t="s">
        <v>2671</v>
      </c>
      <c r="BS50" s="126"/>
      <c r="BT50" s="126"/>
      <c r="BU50" s="128" t="s">
        <v>2671</v>
      </c>
      <c r="BV50" s="126"/>
      <c r="BW50" s="126" t="s">
        <v>1623</v>
      </c>
      <c r="BX50" s="325"/>
      <c r="BY50" s="126"/>
      <c r="BZ50" s="126"/>
      <c r="CA50" s="126"/>
      <c r="CB50" s="104" t="s">
        <v>2671</v>
      </c>
      <c r="CC50" s="126"/>
      <c r="CD50" s="126" t="s">
        <v>1623</v>
      </c>
      <c r="CE50" s="126"/>
      <c r="CF50" s="128"/>
      <c r="CG50" s="126" t="s">
        <v>1623</v>
      </c>
      <c r="CH50" s="126"/>
      <c r="CI50" s="126"/>
      <c r="CJ50" s="128"/>
      <c r="CK50" s="126" t="s">
        <v>1623</v>
      </c>
      <c r="CL50" s="126"/>
      <c r="CM50" s="128"/>
      <c r="CN50" s="126" t="s">
        <v>1623</v>
      </c>
      <c r="CO50" s="126"/>
      <c r="CP50" s="126"/>
      <c r="CQ50" s="104"/>
      <c r="CR50" s="314" t="s">
        <v>2658</v>
      </c>
      <c r="CS50" s="314" t="s">
        <v>2657</v>
      </c>
      <c r="CT50" s="104" t="s">
        <v>2659</v>
      </c>
      <c r="DG50" t="s">
        <v>1623</v>
      </c>
    </row>
    <row r="51" spans="1:114" x14ac:dyDescent="0.25">
      <c r="A51" s="104">
        <v>2020</v>
      </c>
      <c r="B51" s="308" t="s">
        <v>3722</v>
      </c>
      <c r="C51" s="338" t="s">
        <v>1623</v>
      </c>
      <c r="D51" s="126"/>
      <c r="E51" s="126"/>
      <c r="F51" s="126"/>
      <c r="G51" s="126" t="s">
        <v>1623</v>
      </c>
      <c r="H51" s="126"/>
      <c r="I51" s="104"/>
      <c r="J51" s="126"/>
      <c r="K51" s="306"/>
      <c r="L51" s="126"/>
      <c r="M51" s="306" t="s">
        <v>1623</v>
      </c>
      <c r="N51" s="126" t="s">
        <v>1623</v>
      </c>
      <c r="O51" s="126"/>
      <c r="P51" s="126"/>
      <c r="Q51" s="104"/>
      <c r="R51" s="126"/>
      <c r="S51" s="126" t="s">
        <v>1623</v>
      </c>
      <c r="T51" s="128"/>
      <c r="U51" s="126"/>
      <c r="V51" s="126" t="s">
        <v>1623</v>
      </c>
      <c r="W51" s="128"/>
      <c r="X51" s="126" t="s">
        <v>1623</v>
      </c>
      <c r="Y51" s="126"/>
      <c r="Z51" s="128"/>
      <c r="AA51" s="126" t="s">
        <v>1623</v>
      </c>
      <c r="AB51" s="126"/>
      <c r="AC51" s="128"/>
      <c r="AD51" s="326"/>
      <c r="AE51" s="326" t="s">
        <v>1623</v>
      </c>
      <c r="AF51" s="325"/>
      <c r="AG51" s="126" t="s">
        <v>1623</v>
      </c>
      <c r="AH51" s="126"/>
      <c r="AI51" s="126"/>
      <c r="AJ51" s="128"/>
      <c r="AK51" s="126"/>
      <c r="AL51" s="126"/>
      <c r="AM51" s="126" t="s">
        <v>1623</v>
      </c>
      <c r="AN51" s="128"/>
      <c r="AO51" s="126"/>
      <c r="AP51" s="126" t="s">
        <v>1623</v>
      </c>
      <c r="AQ51" s="128"/>
      <c r="AR51" s="126"/>
      <c r="AS51" s="126" t="s">
        <v>1623</v>
      </c>
      <c r="AT51" s="126"/>
      <c r="AU51" s="128"/>
      <c r="AV51" s="126"/>
      <c r="AW51" s="126" t="s">
        <v>1623</v>
      </c>
      <c r="AX51" s="104"/>
      <c r="AY51" s="126"/>
      <c r="AZ51" s="126"/>
      <c r="BA51" s="126" t="s">
        <v>1623</v>
      </c>
      <c r="BB51" s="126"/>
      <c r="BC51" s="128"/>
      <c r="BD51" s="126"/>
      <c r="BE51" s="126"/>
      <c r="BF51" s="126"/>
      <c r="BG51" s="126"/>
      <c r="BH51" s="126"/>
      <c r="BI51" s="128" t="s">
        <v>2674</v>
      </c>
      <c r="BJ51" s="126" t="s">
        <v>1623</v>
      </c>
      <c r="BK51" s="126"/>
      <c r="BL51" s="126"/>
      <c r="BM51" s="126"/>
      <c r="BN51" s="128"/>
      <c r="BO51" s="326"/>
      <c r="BP51" s="126"/>
      <c r="BQ51" s="126" t="s">
        <v>1623</v>
      </c>
      <c r="BR51" s="128"/>
      <c r="BS51" s="126" t="s">
        <v>1623</v>
      </c>
      <c r="BT51" s="126"/>
      <c r="BU51" s="128"/>
      <c r="BV51" s="126"/>
      <c r="BW51" s="126" t="s">
        <v>1623</v>
      </c>
      <c r="BX51" s="325"/>
      <c r="BY51" s="126"/>
      <c r="BZ51" s="126"/>
      <c r="CA51" s="126"/>
      <c r="CB51" s="104" t="s">
        <v>2671</v>
      </c>
      <c r="CC51" s="126" t="s">
        <v>1623</v>
      </c>
      <c r="CD51" s="126"/>
      <c r="CE51" s="126"/>
      <c r="CF51" s="128"/>
      <c r="CG51" s="126"/>
      <c r="CH51" s="126"/>
      <c r="CI51" s="126"/>
      <c r="CJ51" s="128" t="s">
        <v>2671</v>
      </c>
      <c r="CK51" s="126"/>
      <c r="CL51" s="126"/>
      <c r="CM51" s="128" t="s">
        <v>2671</v>
      </c>
      <c r="CN51" s="126"/>
      <c r="CO51" s="126"/>
      <c r="CP51" s="126"/>
      <c r="CQ51" s="104" t="s">
        <v>2671</v>
      </c>
      <c r="CR51" s="314" t="s">
        <v>2658</v>
      </c>
      <c r="CS51" s="314" t="s">
        <v>2657</v>
      </c>
      <c r="CT51" s="104" t="s">
        <v>2659</v>
      </c>
      <c r="DF51" t="s">
        <v>1623</v>
      </c>
      <c r="DH51" t="s">
        <v>1623</v>
      </c>
      <c r="DI51" t="s">
        <v>1623</v>
      </c>
    </row>
    <row r="52" spans="1:114" x14ac:dyDescent="0.25">
      <c r="A52" s="104">
        <v>2020</v>
      </c>
      <c r="B52" s="308" t="s">
        <v>3723</v>
      </c>
      <c r="C52" s="338" t="s">
        <v>1623</v>
      </c>
      <c r="D52" s="126"/>
      <c r="E52" s="126"/>
      <c r="F52" s="126"/>
      <c r="G52" s="126"/>
      <c r="H52" s="126" t="s">
        <v>1623</v>
      </c>
      <c r="I52" s="104"/>
      <c r="J52" s="126"/>
      <c r="K52" s="306" t="s">
        <v>1623</v>
      </c>
      <c r="L52" s="126"/>
      <c r="M52" s="306"/>
      <c r="N52" s="126"/>
      <c r="O52" s="126"/>
      <c r="P52" s="126"/>
      <c r="Q52" s="104"/>
      <c r="R52" s="126"/>
      <c r="S52" s="126" t="s">
        <v>1623</v>
      </c>
      <c r="T52" s="128"/>
      <c r="U52" s="126"/>
      <c r="V52" s="126" t="s">
        <v>1623</v>
      </c>
      <c r="W52" s="128"/>
      <c r="X52" s="126" t="s">
        <v>1623</v>
      </c>
      <c r="Y52" s="126"/>
      <c r="Z52" s="128"/>
      <c r="AA52" s="126" t="s">
        <v>1623</v>
      </c>
      <c r="AB52" s="126"/>
      <c r="AC52" s="128"/>
      <c r="AD52" s="326"/>
      <c r="AE52" s="326" t="s">
        <v>1623</v>
      </c>
      <c r="AF52" s="325"/>
      <c r="AG52" s="126" t="s">
        <v>1623</v>
      </c>
      <c r="AH52" s="126"/>
      <c r="AI52" s="126"/>
      <c r="AJ52" s="128"/>
      <c r="AK52" s="126"/>
      <c r="AL52" s="126"/>
      <c r="AM52" s="126" t="s">
        <v>1623</v>
      </c>
      <c r="AN52" s="128"/>
      <c r="AO52" s="126"/>
      <c r="AP52" s="126" t="s">
        <v>1623</v>
      </c>
      <c r="AQ52" s="128"/>
      <c r="AR52" s="126"/>
      <c r="AS52" s="126" t="s">
        <v>1623</v>
      </c>
      <c r="AT52" s="126"/>
      <c r="AU52" s="128"/>
      <c r="AV52" s="126" t="s">
        <v>1623</v>
      </c>
      <c r="AW52" s="126"/>
      <c r="AX52" s="104"/>
      <c r="AY52" s="126" t="s">
        <v>1623</v>
      </c>
      <c r="AZ52" s="126"/>
      <c r="BA52" s="126" t="s">
        <v>1623</v>
      </c>
      <c r="BB52" s="126"/>
      <c r="BC52" s="128"/>
      <c r="BD52" s="126"/>
      <c r="BE52" s="126"/>
      <c r="BF52" s="126"/>
      <c r="BG52" s="126"/>
      <c r="BH52" s="126"/>
      <c r="BI52" s="128" t="s">
        <v>2674</v>
      </c>
      <c r="BJ52" s="126" t="s">
        <v>1623</v>
      </c>
      <c r="BK52" s="126"/>
      <c r="BL52" s="126"/>
      <c r="BM52" s="126"/>
      <c r="BN52" s="128"/>
      <c r="BO52" s="326"/>
      <c r="BP52" s="126"/>
      <c r="BQ52" s="126" t="s">
        <v>1623</v>
      </c>
      <c r="BR52" s="128"/>
      <c r="BS52" s="126" t="s">
        <v>1623</v>
      </c>
      <c r="BT52" s="126"/>
      <c r="BU52" s="128"/>
      <c r="BV52" s="126"/>
      <c r="BW52" s="126" t="s">
        <v>1623</v>
      </c>
      <c r="BX52" s="325"/>
      <c r="BY52" s="126"/>
      <c r="BZ52" s="126"/>
      <c r="CA52" s="126" t="s">
        <v>1623</v>
      </c>
      <c r="CB52" s="104"/>
      <c r="CC52" s="126"/>
      <c r="CD52" s="126" t="s">
        <v>1623</v>
      </c>
      <c r="CE52" s="126"/>
      <c r="CF52" s="128"/>
      <c r="CG52" s="126"/>
      <c r="CH52" s="126" t="s">
        <v>1623</v>
      </c>
      <c r="CI52" s="126"/>
      <c r="CJ52" s="128"/>
      <c r="CK52" s="126" t="s">
        <v>1623</v>
      </c>
      <c r="CL52" s="126"/>
      <c r="CM52" s="128"/>
      <c r="CN52" s="126" t="s">
        <v>1623</v>
      </c>
      <c r="CO52" s="126"/>
      <c r="CP52" s="126"/>
      <c r="CQ52" s="104"/>
      <c r="CR52" s="314" t="s">
        <v>2658</v>
      </c>
      <c r="CS52" s="314" t="s">
        <v>2657</v>
      </c>
      <c r="CT52" s="104" t="s">
        <v>2659</v>
      </c>
      <c r="DF52" t="s">
        <v>1623</v>
      </c>
      <c r="DH52" t="s">
        <v>1623</v>
      </c>
      <c r="DI52" t="s">
        <v>1623</v>
      </c>
      <c r="DJ52" t="s">
        <v>1623</v>
      </c>
    </row>
    <row r="53" spans="1:114" x14ac:dyDescent="0.25">
      <c r="A53" s="104">
        <v>2019</v>
      </c>
      <c r="B53" s="308" t="s">
        <v>3257</v>
      </c>
      <c r="C53" s="338" t="s">
        <v>1623</v>
      </c>
      <c r="D53" s="126"/>
      <c r="E53" s="126" t="s">
        <v>1623</v>
      </c>
      <c r="F53" s="126"/>
      <c r="G53" s="126"/>
      <c r="H53" s="126"/>
      <c r="I53" s="104"/>
      <c r="J53" s="126"/>
      <c r="K53" s="306" t="s">
        <v>1623</v>
      </c>
      <c r="L53" s="126"/>
      <c r="M53" s="306" t="s">
        <v>1623</v>
      </c>
      <c r="N53" s="126" t="s">
        <v>1623</v>
      </c>
      <c r="O53" s="126"/>
      <c r="P53" s="126"/>
      <c r="Q53" s="104"/>
      <c r="R53" s="126"/>
      <c r="S53" s="126" t="s">
        <v>1623</v>
      </c>
      <c r="T53" s="128"/>
      <c r="U53" s="126"/>
      <c r="V53" s="126" t="s">
        <v>1623</v>
      </c>
      <c r="W53" s="128"/>
      <c r="X53" s="126"/>
      <c r="Y53" s="126" t="s">
        <v>1623</v>
      </c>
      <c r="Z53" s="128"/>
      <c r="AA53" s="126" t="s">
        <v>1623</v>
      </c>
      <c r="AB53" s="126"/>
      <c r="AC53" s="128"/>
      <c r="AD53" s="326"/>
      <c r="AE53" s="326" t="s">
        <v>1623</v>
      </c>
      <c r="AF53" s="325"/>
      <c r="AG53" s="126"/>
      <c r="AH53" s="126" t="s">
        <v>1623</v>
      </c>
      <c r="AI53" s="126"/>
      <c r="AJ53" s="128"/>
      <c r="AK53" s="126" t="s">
        <v>1623</v>
      </c>
      <c r="AL53" s="126"/>
      <c r="AM53" s="126"/>
      <c r="AN53" s="128"/>
      <c r="AO53" s="126" t="s">
        <v>1623</v>
      </c>
      <c r="AP53" s="126"/>
      <c r="AQ53" s="128"/>
      <c r="AR53" s="126"/>
      <c r="AS53" s="126" t="s">
        <v>1623</v>
      </c>
      <c r="AT53" s="126"/>
      <c r="AU53" s="128"/>
      <c r="AV53" s="126"/>
      <c r="AW53" s="126" t="s">
        <v>1623</v>
      </c>
      <c r="AX53" s="104"/>
      <c r="AY53" s="126"/>
      <c r="AZ53" s="126"/>
      <c r="BA53" s="126"/>
      <c r="BB53" s="126" t="s">
        <v>1623</v>
      </c>
      <c r="BC53" s="128"/>
      <c r="BD53" s="126"/>
      <c r="BE53" s="126"/>
      <c r="BF53" s="126"/>
      <c r="BG53" s="126"/>
      <c r="BH53" s="126"/>
      <c r="BI53" s="128" t="s">
        <v>2674</v>
      </c>
      <c r="BJ53" s="126"/>
      <c r="BK53" s="126" t="s">
        <v>1623</v>
      </c>
      <c r="BL53" s="126" t="s">
        <v>1623</v>
      </c>
      <c r="BM53" s="126"/>
      <c r="BN53" s="128"/>
      <c r="BO53" s="326" t="s">
        <v>1623</v>
      </c>
      <c r="BP53" s="126"/>
      <c r="BQ53" s="126"/>
      <c r="BR53" s="128"/>
      <c r="BS53" s="126"/>
      <c r="BT53" s="126" t="s">
        <v>1623</v>
      </c>
      <c r="BU53" s="128"/>
      <c r="BV53" s="126"/>
      <c r="BW53" s="126" t="s">
        <v>1623</v>
      </c>
      <c r="BX53" s="325"/>
      <c r="BY53" s="126"/>
      <c r="BZ53" s="126" t="s">
        <v>1623</v>
      </c>
      <c r="CA53" s="126"/>
      <c r="CB53" s="104"/>
      <c r="CC53" s="126"/>
      <c r="CD53" s="126" t="s">
        <v>1623</v>
      </c>
      <c r="CE53" s="126"/>
      <c r="CF53" s="128"/>
      <c r="CG53" s="126" t="s">
        <v>1623</v>
      </c>
      <c r="CH53" s="126"/>
      <c r="CI53" s="126"/>
      <c r="CJ53" s="128"/>
      <c r="CK53" s="126" t="s">
        <v>1623</v>
      </c>
      <c r="CL53" s="126"/>
      <c r="CM53" s="128"/>
      <c r="CN53" s="126" t="s">
        <v>1623</v>
      </c>
      <c r="CO53" s="126"/>
      <c r="CP53" s="126"/>
      <c r="CQ53" s="104"/>
      <c r="CR53" s="314" t="s">
        <v>2658</v>
      </c>
      <c r="CS53" s="314" t="s">
        <v>2657</v>
      </c>
      <c r="CT53" s="104" t="s">
        <v>2659</v>
      </c>
      <c r="DH53" t="s">
        <v>1623</v>
      </c>
      <c r="DJ53" t="s">
        <v>1623</v>
      </c>
    </row>
    <row r="54" spans="1:114" x14ac:dyDescent="0.25">
      <c r="A54" s="104">
        <v>2018</v>
      </c>
      <c r="B54" s="308" t="s">
        <v>3258</v>
      </c>
      <c r="C54" s="338" t="s">
        <v>1621</v>
      </c>
      <c r="D54" s="126" t="s">
        <v>1623</v>
      </c>
      <c r="E54" s="126"/>
      <c r="F54" s="126"/>
      <c r="G54" s="126"/>
      <c r="H54" s="126"/>
      <c r="I54" s="104"/>
      <c r="J54" s="126"/>
      <c r="K54" s="306" t="s">
        <v>1623</v>
      </c>
      <c r="L54" s="126"/>
      <c r="M54" s="306"/>
      <c r="N54" s="126"/>
      <c r="O54" s="126"/>
      <c r="P54" s="126"/>
      <c r="Q54" s="104"/>
      <c r="R54" s="126"/>
      <c r="S54" s="126" t="s">
        <v>1623</v>
      </c>
      <c r="T54" s="128"/>
      <c r="U54" s="126"/>
      <c r="V54" s="126" t="s">
        <v>1623</v>
      </c>
      <c r="W54" s="128"/>
      <c r="X54" s="126" t="s">
        <v>1623</v>
      </c>
      <c r="Y54" s="126"/>
      <c r="Z54" s="128"/>
      <c r="AA54" s="126"/>
      <c r="AB54" s="126" t="s">
        <v>1623</v>
      </c>
      <c r="AC54" s="128"/>
      <c r="AD54" s="326" t="s">
        <v>1623</v>
      </c>
      <c r="AE54" s="326"/>
      <c r="AF54" s="325"/>
      <c r="AG54" s="126"/>
      <c r="AH54" s="126" t="s">
        <v>1623</v>
      </c>
      <c r="AI54" s="126"/>
      <c r="AJ54" s="128"/>
      <c r="AK54" s="126" t="s">
        <v>1623</v>
      </c>
      <c r="AL54" s="126"/>
      <c r="AM54" s="126"/>
      <c r="AN54" s="128"/>
      <c r="AO54" s="126" t="s">
        <v>1623</v>
      </c>
      <c r="AP54" s="126"/>
      <c r="AQ54" s="128"/>
      <c r="AR54" s="126" t="s">
        <v>1623</v>
      </c>
      <c r="AS54" s="126"/>
      <c r="AT54" s="126"/>
      <c r="AU54" s="128"/>
      <c r="AV54" s="126" t="s">
        <v>1623</v>
      </c>
      <c r="AW54" s="126"/>
      <c r="AX54" s="104"/>
      <c r="AY54" s="126"/>
      <c r="AZ54" s="126"/>
      <c r="BA54" s="126" t="s">
        <v>1623</v>
      </c>
      <c r="BB54" s="126"/>
      <c r="BC54" s="128"/>
      <c r="BD54" s="126" t="s">
        <v>1623</v>
      </c>
      <c r="BE54" s="126" t="s">
        <v>1623</v>
      </c>
      <c r="BF54" s="126"/>
      <c r="BG54" s="126"/>
      <c r="BH54" s="126"/>
      <c r="BI54" s="128"/>
      <c r="BJ54" s="126"/>
      <c r="BK54" s="126"/>
      <c r="BL54" s="126"/>
      <c r="BM54" s="126"/>
      <c r="BN54" s="128" t="s">
        <v>2674</v>
      </c>
      <c r="BO54" s="126"/>
      <c r="BP54" s="126"/>
      <c r="BQ54" s="126"/>
      <c r="BR54" s="128" t="s">
        <v>2671</v>
      </c>
      <c r="BS54" s="126"/>
      <c r="BT54" s="126"/>
      <c r="BU54" s="128" t="s">
        <v>2671</v>
      </c>
      <c r="BV54" s="126"/>
      <c r="BW54" s="126" t="s">
        <v>1623</v>
      </c>
      <c r="BX54" s="325"/>
      <c r="BY54" s="126"/>
      <c r="BZ54" s="126"/>
      <c r="CA54" s="126"/>
      <c r="CB54" s="104" t="s">
        <v>2671</v>
      </c>
      <c r="CC54" s="126"/>
      <c r="CD54" s="126" t="s">
        <v>1623</v>
      </c>
      <c r="CE54" s="126"/>
      <c r="CF54" s="128"/>
      <c r="CG54" s="126" t="s">
        <v>1623</v>
      </c>
      <c r="CH54" s="126"/>
      <c r="CI54" s="126"/>
      <c r="CJ54" s="128"/>
      <c r="CK54" s="126"/>
      <c r="CL54" s="126" t="s">
        <v>1623</v>
      </c>
      <c r="CM54" s="128"/>
      <c r="CN54" s="126" t="s">
        <v>1623</v>
      </c>
      <c r="CO54" s="126"/>
      <c r="CP54" s="126"/>
      <c r="CQ54" s="104"/>
      <c r="CR54" s="314" t="s">
        <v>2658</v>
      </c>
      <c r="CS54" s="314" t="s">
        <v>2657</v>
      </c>
      <c r="CT54" s="104" t="s">
        <v>2659</v>
      </c>
      <c r="DF54" t="s">
        <v>1623</v>
      </c>
      <c r="DG54" t="s">
        <v>1623</v>
      </c>
    </row>
    <row r="55" spans="1:114" x14ac:dyDescent="0.25">
      <c r="A55" s="104">
        <v>2019</v>
      </c>
      <c r="B55" s="165" t="s">
        <v>3267</v>
      </c>
      <c r="C55" s="338" t="s">
        <v>1623</v>
      </c>
      <c r="D55" s="126"/>
      <c r="E55" s="126"/>
      <c r="F55" s="126"/>
      <c r="G55" s="126"/>
      <c r="H55" s="126" t="s">
        <v>1623</v>
      </c>
      <c r="I55" s="104"/>
      <c r="J55" s="126"/>
      <c r="K55" s="306" t="s">
        <v>1623</v>
      </c>
      <c r="L55" s="126"/>
      <c r="M55" s="306"/>
      <c r="N55" s="126"/>
      <c r="O55" s="126"/>
      <c r="P55" s="126"/>
      <c r="Q55" s="104"/>
      <c r="R55" s="126"/>
      <c r="S55" s="126" t="s">
        <v>1623</v>
      </c>
      <c r="T55" s="128"/>
      <c r="U55" s="126"/>
      <c r="V55" s="126" t="s">
        <v>1623</v>
      </c>
      <c r="W55" s="128"/>
      <c r="X55" s="126" t="s">
        <v>1623</v>
      </c>
      <c r="Y55" s="126"/>
      <c r="Z55" s="128"/>
      <c r="AA55" s="126" t="s">
        <v>1623</v>
      </c>
      <c r="AB55" s="126"/>
      <c r="AC55" s="128"/>
      <c r="AD55" s="326"/>
      <c r="AE55" s="326" t="s">
        <v>1623</v>
      </c>
      <c r="AF55" s="325"/>
      <c r="AG55" s="126" t="s">
        <v>1623</v>
      </c>
      <c r="AH55" s="126"/>
      <c r="AI55" s="126"/>
      <c r="AJ55" s="128"/>
      <c r="AK55" s="126"/>
      <c r="AL55" s="126"/>
      <c r="AM55" s="126" t="s">
        <v>1623</v>
      </c>
      <c r="AN55" s="128"/>
      <c r="AO55" s="126" t="s">
        <v>1623</v>
      </c>
      <c r="AP55" s="126"/>
      <c r="AQ55" s="128"/>
      <c r="AR55" s="126"/>
      <c r="AS55" s="126" t="s">
        <v>1623</v>
      </c>
      <c r="AT55" s="126"/>
      <c r="AU55" s="128"/>
      <c r="AV55" s="126"/>
      <c r="AW55" s="126" t="s">
        <v>1623</v>
      </c>
      <c r="AX55" s="104"/>
      <c r="AY55" s="126"/>
      <c r="AZ55" s="126"/>
      <c r="BA55" s="126" t="s">
        <v>1623</v>
      </c>
      <c r="BB55" s="126"/>
      <c r="BC55" s="128"/>
      <c r="BD55" s="126"/>
      <c r="BE55" s="126"/>
      <c r="BF55" s="126"/>
      <c r="BG55" s="126"/>
      <c r="BH55" s="126"/>
      <c r="BI55" s="128" t="s">
        <v>2674</v>
      </c>
      <c r="BJ55" s="126"/>
      <c r="BK55" s="126"/>
      <c r="BL55" s="126"/>
      <c r="BM55" s="126" t="s">
        <v>1623</v>
      </c>
      <c r="BN55" s="128"/>
      <c r="BO55" s="126" t="s">
        <v>1623</v>
      </c>
      <c r="BP55" s="126"/>
      <c r="BQ55" s="126"/>
      <c r="BR55" s="128"/>
      <c r="BS55" s="126"/>
      <c r="BT55" s="126" t="s">
        <v>1623</v>
      </c>
      <c r="BU55" s="128"/>
      <c r="BV55" s="126"/>
      <c r="BW55" s="126" t="s">
        <v>1623</v>
      </c>
      <c r="BX55" s="325"/>
      <c r="BY55" s="126"/>
      <c r="BZ55" s="126"/>
      <c r="CA55" s="126" t="s">
        <v>1623</v>
      </c>
      <c r="CB55" s="104"/>
      <c r="CC55" s="126"/>
      <c r="CD55" s="126" t="s">
        <v>1623</v>
      </c>
      <c r="CE55" s="126"/>
      <c r="CF55" s="128"/>
      <c r="CG55" s="126" t="s">
        <v>1623</v>
      </c>
      <c r="CH55" s="126"/>
      <c r="CI55" s="126"/>
      <c r="CJ55" s="128"/>
      <c r="CK55" s="126"/>
      <c r="CL55" s="126" t="s">
        <v>1623</v>
      </c>
      <c r="CM55" s="128"/>
      <c r="CN55" s="126" t="s">
        <v>1623</v>
      </c>
      <c r="CO55" s="126"/>
      <c r="CP55" s="126"/>
      <c r="CQ55" s="104"/>
      <c r="CR55" s="314" t="s">
        <v>2658</v>
      </c>
      <c r="CS55" s="314" t="s">
        <v>2657</v>
      </c>
      <c r="CT55" s="104" t="s">
        <v>2659</v>
      </c>
      <c r="DF55" t="s">
        <v>1623</v>
      </c>
      <c r="DH55" t="s">
        <v>1623</v>
      </c>
      <c r="DJ55" t="s">
        <v>1623</v>
      </c>
    </row>
    <row r="56" spans="1:114" x14ac:dyDescent="0.25">
      <c r="A56" s="104">
        <v>2013</v>
      </c>
      <c r="B56" s="165" t="s">
        <v>3287</v>
      </c>
      <c r="C56" s="338" t="s">
        <v>1623</v>
      </c>
      <c r="D56" s="126"/>
      <c r="E56" s="126" t="s">
        <v>1623</v>
      </c>
      <c r="F56" s="126"/>
      <c r="G56" s="126"/>
      <c r="H56" s="126"/>
      <c r="I56" s="104"/>
      <c r="J56" s="126"/>
      <c r="K56" s="306" t="s">
        <v>1623</v>
      </c>
      <c r="L56" s="126"/>
      <c r="M56" s="306"/>
      <c r="N56" s="126"/>
      <c r="O56" s="126"/>
      <c r="P56" s="126"/>
      <c r="Q56" s="104"/>
      <c r="R56" s="126"/>
      <c r="S56" s="126" t="s">
        <v>1623</v>
      </c>
      <c r="T56" s="128"/>
      <c r="U56" s="126"/>
      <c r="V56" s="126" t="s">
        <v>1623</v>
      </c>
      <c r="W56" s="128"/>
      <c r="X56" s="126" t="s">
        <v>1623</v>
      </c>
      <c r="Y56" s="126"/>
      <c r="Z56" s="128"/>
      <c r="AA56" s="126" t="s">
        <v>1623</v>
      </c>
      <c r="AB56" s="126"/>
      <c r="AC56" s="128"/>
      <c r="AD56" s="326"/>
      <c r="AE56" s="326" t="s">
        <v>1623</v>
      </c>
      <c r="AF56" s="325"/>
      <c r="AG56" s="126"/>
      <c r="AH56" s="126" t="s">
        <v>1623</v>
      </c>
      <c r="AI56" s="126"/>
      <c r="AJ56" s="128"/>
      <c r="AK56" s="126" t="s">
        <v>1623</v>
      </c>
      <c r="AL56" s="126"/>
      <c r="AM56" s="126"/>
      <c r="AN56" s="128"/>
      <c r="AO56" s="126" t="s">
        <v>1623</v>
      </c>
      <c r="AP56" s="126"/>
      <c r="AQ56" s="128"/>
      <c r="AR56" s="126"/>
      <c r="AS56" s="126"/>
      <c r="AT56" s="126" t="s">
        <v>1623</v>
      </c>
      <c r="AU56" s="128"/>
      <c r="AV56" s="126"/>
      <c r="AW56" s="126" t="s">
        <v>1623</v>
      </c>
      <c r="AX56" s="104"/>
      <c r="AY56" s="126"/>
      <c r="AZ56" s="126"/>
      <c r="BA56" s="126"/>
      <c r="BB56" s="126" t="s">
        <v>1623</v>
      </c>
      <c r="BC56" s="128"/>
      <c r="BD56" s="126"/>
      <c r="BE56" s="126"/>
      <c r="BF56" s="126"/>
      <c r="BG56" s="126"/>
      <c r="BH56" s="126"/>
      <c r="BI56" s="128" t="s">
        <v>2674</v>
      </c>
      <c r="BJ56" s="126"/>
      <c r="BK56" s="126" t="s">
        <v>1623</v>
      </c>
      <c r="BL56" s="126"/>
      <c r="BM56" s="126"/>
      <c r="BN56" s="128"/>
      <c r="BO56" s="126" t="s">
        <v>1623</v>
      </c>
      <c r="BP56" s="126"/>
      <c r="BQ56" s="126"/>
      <c r="BR56" s="128"/>
      <c r="BS56" s="126" t="s">
        <v>1623</v>
      </c>
      <c r="BT56" s="126"/>
      <c r="BU56" s="128"/>
      <c r="BV56" s="126"/>
      <c r="BW56" s="126" t="s">
        <v>1623</v>
      </c>
      <c r="BX56" s="325"/>
      <c r="BY56" s="126" t="s">
        <v>1623</v>
      </c>
      <c r="BZ56" s="126"/>
      <c r="CA56" s="126"/>
      <c r="CB56" s="104"/>
      <c r="CC56" s="126"/>
      <c r="CD56" s="126" t="s">
        <v>1623</v>
      </c>
      <c r="CE56" s="126"/>
      <c r="CF56" s="128"/>
      <c r="CG56" s="126" t="s">
        <v>1623</v>
      </c>
      <c r="CH56" s="126"/>
      <c r="CI56" s="126"/>
      <c r="CJ56" s="128"/>
      <c r="CK56" s="126" t="s">
        <v>1623</v>
      </c>
      <c r="CL56" s="126"/>
      <c r="CM56" s="128"/>
      <c r="CN56" s="126"/>
      <c r="CO56" s="126" t="s">
        <v>1623</v>
      </c>
      <c r="CP56" s="126"/>
      <c r="CQ56" s="104"/>
      <c r="CR56" s="314" t="s">
        <v>2658</v>
      </c>
      <c r="CS56" s="314" t="s">
        <v>2657</v>
      </c>
      <c r="CT56" s="104" t="s">
        <v>2659</v>
      </c>
      <c r="DH56" t="s">
        <v>1623</v>
      </c>
      <c r="DJ56" t="s">
        <v>1623</v>
      </c>
    </row>
    <row r="57" spans="1:114" x14ac:dyDescent="0.25">
      <c r="A57" s="104">
        <v>2019</v>
      </c>
      <c r="B57" s="165" t="s">
        <v>3288</v>
      </c>
      <c r="C57" s="338" t="s">
        <v>1623</v>
      </c>
      <c r="D57" s="126" t="s">
        <v>1623</v>
      </c>
      <c r="E57" s="126"/>
      <c r="F57" s="126"/>
      <c r="G57" s="126"/>
      <c r="H57" s="126"/>
      <c r="I57" s="104"/>
      <c r="J57" s="126"/>
      <c r="K57" s="306" t="s">
        <v>1623</v>
      </c>
      <c r="L57" s="126"/>
      <c r="M57" s="306"/>
      <c r="N57" s="126"/>
      <c r="O57" s="126"/>
      <c r="P57" s="126"/>
      <c r="Q57" s="104"/>
      <c r="R57" s="126"/>
      <c r="S57" s="126" t="s">
        <v>1623</v>
      </c>
      <c r="T57" s="128"/>
      <c r="U57" s="126"/>
      <c r="V57" s="126" t="s">
        <v>1623</v>
      </c>
      <c r="W57" s="128"/>
      <c r="X57" s="126"/>
      <c r="Y57" s="126" t="s">
        <v>1623</v>
      </c>
      <c r="Z57" s="128"/>
      <c r="AA57" s="126" t="s">
        <v>1623</v>
      </c>
      <c r="AB57" s="126"/>
      <c r="AC57" s="128"/>
      <c r="AD57" s="326" t="s">
        <v>1623</v>
      </c>
      <c r="AE57" s="326"/>
      <c r="AF57" s="325"/>
      <c r="AG57" s="126"/>
      <c r="AH57" s="126" t="s">
        <v>1623</v>
      </c>
      <c r="AI57" s="126"/>
      <c r="AJ57" s="128"/>
      <c r="AK57" s="126" t="s">
        <v>1623</v>
      </c>
      <c r="AL57" s="126"/>
      <c r="AM57" s="126"/>
      <c r="AN57" s="128"/>
      <c r="AO57" s="126" t="s">
        <v>1623</v>
      </c>
      <c r="AP57" s="126"/>
      <c r="AQ57" s="128"/>
      <c r="AR57" s="126" t="s">
        <v>1623</v>
      </c>
      <c r="AS57" s="126"/>
      <c r="AT57" s="126"/>
      <c r="AU57" s="128"/>
      <c r="AV57" s="126" t="s">
        <v>1623</v>
      </c>
      <c r="AW57" s="126"/>
      <c r="AX57" s="104"/>
      <c r="AY57" s="126"/>
      <c r="AZ57" s="126"/>
      <c r="BA57" s="126"/>
      <c r="BB57" s="126" t="s">
        <v>1623</v>
      </c>
      <c r="BC57" s="128"/>
      <c r="BD57" s="126"/>
      <c r="BE57" s="126" t="s">
        <v>1623</v>
      </c>
      <c r="BF57" s="126"/>
      <c r="BG57" s="126"/>
      <c r="BH57" s="126"/>
      <c r="BI57" s="128"/>
      <c r="BJ57" s="126" t="s">
        <v>1623</v>
      </c>
      <c r="BK57" s="126"/>
      <c r="BL57" s="126"/>
      <c r="BM57" s="126"/>
      <c r="BN57" s="128"/>
      <c r="BO57" s="126" t="s">
        <v>1623</v>
      </c>
      <c r="BP57" s="126"/>
      <c r="BQ57" s="126"/>
      <c r="BR57" s="128"/>
      <c r="BS57" s="126" t="s">
        <v>1623</v>
      </c>
      <c r="BT57" s="126"/>
      <c r="BU57" s="128"/>
      <c r="BV57" s="126" t="s">
        <v>1623</v>
      </c>
      <c r="BW57" s="126"/>
      <c r="BX57" s="128" t="s">
        <v>1624</v>
      </c>
      <c r="BY57" s="126" t="s">
        <v>1623</v>
      </c>
      <c r="BZ57" s="126"/>
      <c r="CA57" s="126"/>
      <c r="CB57" s="104"/>
      <c r="CC57" s="126"/>
      <c r="CD57" s="126" t="s">
        <v>1623</v>
      </c>
      <c r="CE57" s="126"/>
      <c r="CF57" s="128"/>
      <c r="CG57" s="126" t="s">
        <v>1623</v>
      </c>
      <c r="CH57" s="126" t="s">
        <v>1623</v>
      </c>
      <c r="CI57" s="126" t="s">
        <v>1623</v>
      </c>
      <c r="CJ57" s="128"/>
      <c r="CK57" s="126"/>
      <c r="CL57" s="126" t="s">
        <v>1623</v>
      </c>
      <c r="CM57" s="128"/>
      <c r="CN57" s="126" t="s">
        <v>1623</v>
      </c>
      <c r="CO57" s="126"/>
      <c r="CP57" s="126"/>
      <c r="CQ57" s="104"/>
      <c r="CR57" s="314" t="s">
        <v>2658</v>
      </c>
      <c r="CS57" s="314" t="s">
        <v>2657</v>
      </c>
      <c r="CT57" s="104" t="s">
        <v>2659</v>
      </c>
      <c r="DG57" t="s">
        <v>1623</v>
      </c>
      <c r="DH57" t="s">
        <v>1623</v>
      </c>
      <c r="DJ57" t="s">
        <v>1623</v>
      </c>
    </row>
    <row r="58" spans="1:114" x14ac:dyDescent="0.25">
      <c r="A58" s="104">
        <v>2003</v>
      </c>
      <c r="B58" s="165" t="s">
        <v>3298</v>
      </c>
      <c r="C58" s="338" t="s">
        <v>1623</v>
      </c>
      <c r="D58" s="126" t="s">
        <v>1623</v>
      </c>
      <c r="E58" s="126"/>
      <c r="F58" s="126"/>
      <c r="G58" s="126"/>
      <c r="H58" s="126"/>
      <c r="I58" s="104"/>
      <c r="J58" s="126"/>
      <c r="K58" s="306" t="s">
        <v>1623</v>
      </c>
      <c r="L58" s="126"/>
      <c r="M58" s="306" t="s">
        <v>1623</v>
      </c>
      <c r="N58" s="126"/>
      <c r="O58" s="126"/>
      <c r="P58" s="126" t="s">
        <v>1623</v>
      </c>
      <c r="Q58" s="104"/>
      <c r="R58" s="126"/>
      <c r="S58" s="126" t="s">
        <v>1623</v>
      </c>
      <c r="T58" s="128"/>
      <c r="U58" s="126"/>
      <c r="V58" s="126" t="s">
        <v>1623</v>
      </c>
      <c r="W58" s="128"/>
      <c r="X58" s="126" t="s">
        <v>1623</v>
      </c>
      <c r="Y58" s="126"/>
      <c r="Z58" s="128"/>
      <c r="AA58" s="126" t="s">
        <v>1623</v>
      </c>
      <c r="AB58" s="126"/>
      <c r="AC58" s="128"/>
      <c r="AD58" s="126"/>
      <c r="AE58" s="126" t="s">
        <v>1623</v>
      </c>
      <c r="AF58" s="128"/>
      <c r="AG58" s="126" t="s">
        <v>1623</v>
      </c>
      <c r="AH58" s="126"/>
      <c r="AI58" s="126"/>
      <c r="AJ58" s="128"/>
      <c r="AK58" s="126"/>
      <c r="AL58" s="126"/>
      <c r="AM58" s="126" t="s">
        <v>1623</v>
      </c>
      <c r="AN58" s="128"/>
      <c r="AO58" s="126" t="s">
        <v>1623</v>
      </c>
      <c r="AP58" s="126"/>
      <c r="AQ58" s="128"/>
      <c r="AR58" s="126"/>
      <c r="AS58" s="126" t="s">
        <v>1623</v>
      </c>
      <c r="AT58" s="126"/>
      <c r="AU58" s="128"/>
      <c r="AV58" s="126"/>
      <c r="AW58" s="126" t="s">
        <v>1623</v>
      </c>
      <c r="AX58" s="104"/>
      <c r="AY58" s="126"/>
      <c r="AZ58" s="126"/>
      <c r="BA58" s="126" t="s">
        <v>1623</v>
      </c>
      <c r="BB58" s="126"/>
      <c r="BC58" s="128"/>
      <c r="BD58" s="126"/>
      <c r="BE58" s="126"/>
      <c r="BF58" s="126"/>
      <c r="BG58" s="126"/>
      <c r="BH58" s="126"/>
      <c r="BI58" s="128" t="s">
        <v>2674</v>
      </c>
      <c r="BJ58" s="126" t="s">
        <v>1623</v>
      </c>
      <c r="BK58" s="126"/>
      <c r="BL58" s="126"/>
      <c r="BM58" s="126"/>
      <c r="BN58" s="128"/>
      <c r="BO58" s="126"/>
      <c r="BP58" s="126" t="s">
        <v>1623</v>
      </c>
      <c r="BQ58" s="126"/>
      <c r="BR58" s="128"/>
      <c r="BS58" s="126" t="s">
        <v>1623</v>
      </c>
      <c r="BT58" s="126"/>
      <c r="BU58" s="128"/>
      <c r="BV58" s="126"/>
      <c r="BW58" s="126" t="s">
        <v>1623</v>
      </c>
      <c r="BX58" s="128"/>
      <c r="BY58" s="126"/>
      <c r="BZ58" s="126"/>
      <c r="CA58" s="126" t="s">
        <v>1623</v>
      </c>
      <c r="CB58" s="104"/>
      <c r="CC58" s="126"/>
      <c r="CD58" s="126" t="s">
        <v>1623</v>
      </c>
      <c r="CE58" s="126"/>
      <c r="CF58" s="128"/>
      <c r="CG58" s="126" t="s">
        <v>1623</v>
      </c>
      <c r="CH58" s="126"/>
      <c r="CI58" s="126"/>
      <c r="CJ58" s="128"/>
      <c r="CK58" s="126"/>
      <c r="CL58" s="126"/>
      <c r="CM58" s="128" t="s">
        <v>2671</v>
      </c>
      <c r="CN58" s="126"/>
      <c r="CO58" s="126"/>
      <c r="CP58" s="126"/>
      <c r="CQ58" s="104" t="s">
        <v>2671</v>
      </c>
      <c r="CR58" s="314" t="s">
        <v>2658</v>
      </c>
      <c r="CS58" s="314" t="s">
        <v>2657</v>
      </c>
      <c r="CT58" s="104" t="s">
        <v>2659</v>
      </c>
      <c r="DF58" t="s">
        <v>1623</v>
      </c>
      <c r="DH58" t="s">
        <v>1623</v>
      </c>
      <c r="DI58" t="s">
        <v>1623</v>
      </c>
      <c r="DJ58" t="s">
        <v>1623</v>
      </c>
    </row>
    <row r="59" spans="1:114" x14ac:dyDescent="0.25">
      <c r="A59" s="104">
        <v>2020</v>
      </c>
      <c r="B59" s="165" t="s">
        <v>3297</v>
      </c>
      <c r="C59" s="338" t="s">
        <v>1623</v>
      </c>
      <c r="D59" s="126" t="s">
        <v>1623</v>
      </c>
      <c r="E59" s="126"/>
      <c r="F59" s="126"/>
      <c r="G59" s="126"/>
      <c r="H59" s="126"/>
      <c r="I59" s="104"/>
      <c r="J59" s="126"/>
      <c r="K59" s="306"/>
      <c r="L59" s="126" t="s">
        <v>1623</v>
      </c>
      <c r="M59" s="306" t="s">
        <v>1623</v>
      </c>
      <c r="N59" s="126" t="s">
        <v>1623</v>
      </c>
      <c r="O59" s="126"/>
      <c r="P59" s="126"/>
      <c r="Q59" s="104"/>
      <c r="R59" s="126"/>
      <c r="S59" s="126" t="s">
        <v>1623</v>
      </c>
      <c r="T59" s="128"/>
      <c r="U59" s="126"/>
      <c r="V59" s="126" t="s">
        <v>1623</v>
      </c>
      <c r="W59" s="128"/>
      <c r="X59" s="126" t="s">
        <v>1623</v>
      </c>
      <c r="Y59" s="126"/>
      <c r="Z59" s="128"/>
      <c r="AA59" s="126" t="s">
        <v>1623</v>
      </c>
      <c r="AB59" s="126"/>
      <c r="AC59" s="128"/>
      <c r="AD59" s="126"/>
      <c r="AE59" s="126" t="s">
        <v>1623</v>
      </c>
      <c r="AF59" s="128"/>
      <c r="AG59" s="126" t="s">
        <v>1623</v>
      </c>
      <c r="AH59" s="126"/>
      <c r="AI59" s="126"/>
      <c r="AJ59" s="128"/>
      <c r="AK59" s="126" t="s">
        <v>1623</v>
      </c>
      <c r="AL59" s="126"/>
      <c r="AM59" s="126"/>
      <c r="AN59" s="128"/>
      <c r="AO59" s="126" t="s">
        <v>1623</v>
      </c>
      <c r="AP59" s="126"/>
      <c r="AQ59" s="128"/>
      <c r="AR59" s="126"/>
      <c r="AS59" s="126" t="s">
        <v>1623</v>
      </c>
      <c r="AT59" s="126"/>
      <c r="AU59" s="128"/>
      <c r="AV59" s="126" t="s">
        <v>1623</v>
      </c>
      <c r="AW59" s="126"/>
      <c r="AX59" s="104"/>
      <c r="AY59" s="126" t="s">
        <v>1623</v>
      </c>
      <c r="AZ59" s="126"/>
      <c r="BA59" s="126"/>
      <c r="BB59" s="126"/>
      <c r="BC59" s="128"/>
      <c r="BD59" s="126"/>
      <c r="BE59" s="126"/>
      <c r="BF59" s="126"/>
      <c r="BG59" s="126"/>
      <c r="BH59" s="126"/>
      <c r="BI59" s="128" t="s">
        <v>2674</v>
      </c>
      <c r="BJ59" s="126" t="s">
        <v>1623</v>
      </c>
      <c r="BK59" s="126"/>
      <c r="BL59" s="126"/>
      <c r="BM59" s="126" t="s">
        <v>1623</v>
      </c>
      <c r="BN59" s="128"/>
      <c r="BO59" s="126" t="s">
        <v>1623</v>
      </c>
      <c r="BP59" s="126"/>
      <c r="BQ59" s="126"/>
      <c r="BR59" s="128"/>
      <c r="BS59" s="126"/>
      <c r="BT59" s="126" t="s">
        <v>1623</v>
      </c>
      <c r="BU59" s="128"/>
      <c r="BV59" s="126"/>
      <c r="BW59" s="126" t="s">
        <v>1623</v>
      </c>
      <c r="BX59" s="128"/>
      <c r="BY59" s="126"/>
      <c r="BZ59" s="126"/>
      <c r="CA59" s="126" t="s">
        <v>1623</v>
      </c>
      <c r="CB59" s="104"/>
      <c r="CC59" s="126" t="s">
        <v>1623</v>
      </c>
      <c r="CD59" s="126"/>
      <c r="CE59" s="126"/>
      <c r="CF59" s="128"/>
      <c r="CG59" s="126"/>
      <c r="CH59" s="126"/>
      <c r="CI59" s="126"/>
      <c r="CJ59" s="128" t="s">
        <v>2671</v>
      </c>
      <c r="CK59" s="126"/>
      <c r="CL59" s="126"/>
      <c r="CM59" s="128" t="s">
        <v>2671</v>
      </c>
      <c r="CN59" s="126"/>
      <c r="CO59" s="126"/>
      <c r="CP59" s="126"/>
      <c r="CQ59" s="104" t="s">
        <v>2671</v>
      </c>
      <c r="CR59" s="314" t="s">
        <v>2658</v>
      </c>
      <c r="CS59" s="314" t="s">
        <v>2657</v>
      </c>
      <c r="CT59" s="104" t="s">
        <v>2659</v>
      </c>
      <c r="DF59" t="s">
        <v>1623</v>
      </c>
      <c r="DH59" t="s">
        <v>1623</v>
      </c>
      <c r="DJ59" t="s">
        <v>1623</v>
      </c>
    </row>
    <row r="60" spans="1:114" x14ac:dyDescent="0.25">
      <c r="A60" s="104">
        <v>2017</v>
      </c>
      <c r="B60" s="165" t="s">
        <v>3308</v>
      </c>
      <c r="C60" s="338" t="s">
        <v>1621</v>
      </c>
      <c r="D60" s="126"/>
      <c r="E60" s="126" t="s">
        <v>1623</v>
      </c>
      <c r="F60" s="126"/>
      <c r="G60" s="126"/>
      <c r="H60" s="126"/>
      <c r="I60" s="104"/>
      <c r="J60" s="126"/>
      <c r="K60" s="306" t="s">
        <v>1623</v>
      </c>
      <c r="L60" s="126"/>
      <c r="M60" s="306"/>
      <c r="N60" s="126"/>
      <c r="O60" s="126"/>
      <c r="P60" s="126"/>
      <c r="Q60" s="104"/>
      <c r="R60" s="126"/>
      <c r="S60" s="126" t="s">
        <v>1623</v>
      </c>
      <c r="T60" s="128"/>
      <c r="U60" s="126"/>
      <c r="V60" s="126" t="s">
        <v>1623</v>
      </c>
      <c r="W60" s="128"/>
      <c r="X60" s="126" t="s">
        <v>1623</v>
      </c>
      <c r="Y60" s="126"/>
      <c r="Z60" s="128"/>
      <c r="AA60" s="126" t="s">
        <v>1623</v>
      </c>
      <c r="AB60" s="126"/>
      <c r="AC60" s="128"/>
      <c r="AD60" s="126"/>
      <c r="AE60" s="126" t="s">
        <v>1623</v>
      </c>
      <c r="AF60" s="128"/>
      <c r="AG60" s="126" t="s">
        <v>1623</v>
      </c>
      <c r="AH60" s="126"/>
      <c r="AI60" s="126"/>
      <c r="AJ60" s="128"/>
      <c r="AK60" s="126"/>
      <c r="AL60" s="126"/>
      <c r="AM60" s="126" t="s">
        <v>1623</v>
      </c>
      <c r="AN60" s="128"/>
      <c r="AO60" s="126"/>
      <c r="AP60" s="126" t="s">
        <v>1623</v>
      </c>
      <c r="AQ60" s="128"/>
      <c r="AR60" s="126"/>
      <c r="AS60" s="126" t="s">
        <v>1623</v>
      </c>
      <c r="AT60" s="126"/>
      <c r="AU60" s="128"/>
      <c r="AV60" s="126" t="s">
        <v>1623</v>
      </c>
      <c r="AW60" s="126"/>
      <c r="AX60" s="104"/>
      <c r="AY60" s="126"/>
      <c r="AZ60" s="126"/>
      <c r="BA60" s="126"/>
      <c r="BB60" s="126" t="s">
        <v>1623</v>
      </c>
      <c r="BC60" s="128"/>
      <c r="BD60" s="126"/>
      <c r="BE60" s="126"/>
      <c r="BF60" s="126"/>
      <c r="BG60" s="126"/>
      <c r="BH60" s="126" t="s">
        <v>1623</v>
      </c>
      <c r="BI60" s="128"/>
      <c r="BJ60" s="126"/>
      <c r="BK60" s="126"/>
      <c r="BL60" s="126"/>
      <c r="BM60" s="126"/>
      <c r="BN60" s="128" t="s">
        <v>2674</v>
      </c>
      <c r="BO60" s="126"/>
      <c r="BP60" s="126"/>
      <c r="BQ60" s="126"/>
      <c r="BR60" s="128" t="s">
        <v>2671</v>
      </c>
      <c r="BS60" s="126"/>
      <c r="BT60" s="126"/>
      <c r="BU60" s="128" t="s">
        <v>2671</v>
      </c>
      <c r="BV60" s="126"/>
      <c r="BW60" s="126" t="s">
        <v>1623</v>
      </c>
      <c r="BX60" s="128"/>
      <c r="BY60" s="126"/>
      <c r="BZ60" s="126"/>
      <c r="CA60" s="126"/>
      <c r="CB60" s="104" t="s">
        <v>2671</v>
      </c>
      <c r="CC60" s="126"/>
      <c r="CD60" s="126" t="s">
        <v>1623</v>
      </c>
      <c r="CE60" s="126"/>
      <c r="CF60" s="128"/>
      <c r="CG60" s="126" t="s">
        <v>1623</v>
      </c>
      <c r="CH60" s="126"/>
      <c r="CI60" s="126"/>
      <c r="CJ60" s="128"/>
      <c r="CK60" s="126"/>
      <c r="CL60" s="126" t="s">
        <v>1623</v>
      </c>
      <c r="CM60" s="128"/>
      <c r="CN60" s="126"/>
      <c r="CO60" s="126" t="s">
        <v>1623</v>
      </c>
      <c r="CP60" s="126"/>
      <c r="CQ60" s="104"/>
      <c r="CR60" s="314" t="s">
        <v>2658</v>
      </c>
      <c r="CS60" s="314" t="s">
        <v>2657</v>
      </c>
      <c r="CT60" s="104" t="s">
        <v>2659</v>
      </c>
      <c r="DG60" t="s">
        <v>1623</v>
      </c>
    </row>
    <row r="61" spans="1:114" x14ac:dyDescent="0.25">
      <c r="A61" s="104">
        <v>2009</v>
      </c>
      <c r="B61" s="165" t="s">
        <v>3316</v>
      </c>
      <c r="C61" s="338" t="s">
        <v>1623</v>
      </c>
      <c r="D61" s="126"/>
      <c r="E61" s="126"/>
      <c r="F61" s="126"/>
      <c r="G61" s="126"/>
      <c r="H61" s="126" t="s">
        <v>1623</v>
      </c>
      <c r="I61" s="104"/>
      <c r="J61" s="126"/>
      <c r="K61" s="306"/>
      <c r="L61" s="126" t="s">
        <v>1623</v>
      </c>
      <c r="M61" s="306" t="s">
        <v>1623</v>
      </c>
      <c r="N61" s="126" t="s">
        <v>1623</v>
      </c>
      <c r="O61" s="126"/>
      <c r="P61" s="126"/>
      <c r="Q61" s="104"/>
      <c r="R61" s="126"/>
      <c r="S61" s="126" t="s">
        <v>1623</v>
      </c>
      <c r="T61" s="128"/>
      <c r="U61" s="126"/>
      <c r="V61" s="126" t="s">
        <v>1623</v>
      </c>
      <c r="W61" s="128"/>
      <c r="X61" s="126" t="s">
        <v>1623</v>
      </c>
      <c r="Y61" s="126"/>
      <c r="Z61" s="128"/>
      <c r="AA61" s="126" t="s">
        <v>1623</v>
      </c>
      <c r="AB61" s="126"/>
      <c r="AC61" s="128"/>
      <c r="AD61" s="126"/>
      <c r="AE61" s="126" t="s">
        <v>1623</v>
      </c>
      <c r="AF61" s="128"/>
      <c r="AG61" s="126" t="s">
        <v>1623</v>
      </c>
      <c r="AH61" s="126"/>
      <c r="AI61" s="126"/>
      <c r="AJ61" s="128"/>
      <c r="AK61" s="126"/>
      <c r="AL61" s="126"/>
      <c r="AM61" s="126" t="s">
        <v>1623</v>
      </c>
      <c r="AN61" s="128"/>
      <c r="AO61" s="126"/>
      <c r="AP61" s="126" t="s">
        <v>1623</v>
      </c>
      <c r="AQ61" s="128"/>
      <c r="AR61" s="126"/>
      <c r="AS61" s="126" t="s">
        <v>1623</v>
      </c>
      <c r="AT61" s="126"/>
      <c r="AU61" s="128"/>
      <c r="AV61" s="126" t="s">
        <v>1623</v>
      </c>
      <c r="AW61" s="126"/>
      <c r="AX61" s="104"/>
      <c r="AY61" s="126"/>
      <c r="AZ61" s="126"/>
      <c r="BA61" s="126"/>
      <c r="BB61" s="126" t="s">
        <v>1623</v>
      </c>
      <c r="BC61" s="128"/>
      <c r="BD61" s="126"/>
      <c r="BE61" s="126"/>
      <c r="BF61" s="126"/>
      <c r="BG61" s="126"/>
      <c r="BH61" s="126"/>
      <c r="BI61" s="128" t="s">
        <v>2674</v>
      </c>
      <c r="BJ61" s="126" t="s">
        <v>1623</v>
      </c>
      <c r="BK61" s="126"/>
      <c r="BL61" s="126"/>
      <c r="BM61" s="126"/>
      <c r="BN61" s="128"/>
      <c r="BO61" s="126"/>
      <c r="BP61" s="126"/>
      <c r="BQ61" s="126" t="s">
        <v>1623</v>
      </c>
      <c r="BR61" s="128"/>
      <c r="BS61" s="126" t="s">
        <v>1623</v>
      </c>
      <c r="BT61" s="126"/>
      <c r="BU61" s="128"/>
      <c r="BV61" s="126"/>
      <c r="BW61" s="126" t="s">
        <v>1623</v>
      </c>
      <c r="BX61" s="128"/>
      <c r="BY61" s="126"/>
      <c r="BZ61" s="126"/>
      <c r="CA61" s="126"/>
      <c r="CB61" s="104" t="s">
        <v>2671</v>
      </c>
      <c r="CC61" s="126"/>
      <c r="CD61" s="126" t="s">
        <v>1623</v>
      </c>
      <c r="CE61" s="126"/>
      <c r="CF61" s="128"/>
      <c r="CG61" s="126" t="s">
        <v>1623</v>
      </c>
      <c r="CH61" s="126"/>
      <c r="CI61" s="126"/>
      <c r="CJ61" s="128"/>
      <c r="CK61" s="126"/>
      <c r="CL61" s="126" t="s">
        <v>1623</v>
      </c>
      <c r="CM61" s="128"/>
      <c r="CN61" s="126"/>
      <c r="CO61" s="126"/>
      <c r="CP61" s="126" t="s">
        <v>1623</v>
      </c>
      <c r="CQ61" s="104"/>
      <c r="CR61" s="314" t="s">
        <v>2658</v>
      </c>
      <c r="CS61" s="314" t="s">
        <v>2657</v>
      </c>
      <c r="CT61" s="104" t="s">
        <v>2659</v>
      </c>
      <c r="DH61" t="s">
        <v>1623</v>
      </c>
      <c r="DI61" t="s">
        <v>1623</v>
      </c>
    </row>
    <row r="62" spans="1:114" x14ac:dyDescent="0.25">
      <c r="A62" s="104">
        <v>2005</v>
      </c>
      <c r="B62" s="165" t="s">
        <v>3327</v>
      </c>
      <c r="C62" s="338" t="s">
        <v>1623</v>
      </c>
      <c r="D62" s="126"/>
      <c r="E62" s="126" t="s">
        <v>1623</v>
      </c>
      <c r="F62" s="126"/>
      <c r="G62" s="126"/>
      <c r="H62" s="126"/>
      <c r="I62" s="104"/>
      <c r="J62" s="126"/>
      <c r="K62" s="306" t="s">
        <v>1623</v>
      </c>
      <c r="L62" s="126"/>
      <c r="M62" s="306" t="s">
        <v>1623</v>
      </c>
      <c r="N62" s="126"/>
      <c r="O62" s="126"/>
      <c r="P62" s="126" t="s">
        <v>1623</v>
      </c>
      <c r="Q62" s="104"/>
      <c r="R62" s="126"/>
      <c r="S62" s="126" t="s">
        <v>1623</v>
      </c>
      <c r="T62" s="128"/>
      <c r="U62" s="126"/>
      <c r="V62" s="126" t="s">
        <v>1623</v>
      </c>
      <c r="W62" s="128"/>
      <c r="X62" s="126" t="s">
        <v>1623</v>
      </c>
      <c r="Y62" s="126"/>
      <c r="Z62" s="128"/>
      <c r="AA62" s="126" t="s">
        <v>1623</v>
      </c>
      <c r="AB62" s="126"/>
      <c r="AC62" s="128"/>
      <c r="AD62" s="126"/>
      <c r="AE62" s="126" t="s">
        <v>1623</v>
      </c>
      <c r="AF62" s="128"/>
      <c r="AG62" s="126" t="s">
        <v>1623</v>
      </c>
      <c r="AH62" s="126"/>
      <c r="AI62" s="126"/>
      <c r="AJ62" s="128"/>
      <c r="AK62" s="126"/>
      <c r="AL62" s="126"/>
      <c r="AM62" s="126" t="s">
        <v>1623</v>
      </c>
      <c r="AN62" s="128"/>
      <c r="AO62" s="126"/>
      <c r="AP62" s="126" t="s">
        <v>1623</v>
      </c>
      <c r="AQ62" s="128"/>
      <c r="AR62" s="126"/>
      <c r="AS62" s="126" t="s">
        <v>1623</v>
      </c>
      <c r="AT62" s="126"/>
      <c r="AU62" s="128"/>
      <c r="AV62" s="126"/>
      <c r="AW62" s="126" t="s">
        <v>1623</v>
      </c>
      <c r="AX62" s="104"/>
      <c r="AY62" s="126"/>
      <c r="AZ62" s="126"/>
      <c r="BA62" s="126"/>
      <c r="BB62" s="126" t="s">
        <v>1623</v>
      </c>
      <c r="BC62" s="128"/>
      <c r="BD62" s="126"/>
      <c r="BE62" s="126"/>
      <c r="BF62" s="126"/>
      <c r="BG62" s="126"/>
      <c r="BH62" s="126"/>
      <c r="BI62" s="128" t="s">
        <v>2674</v>
      </c>
      <c r="BJ62" s="126"/>
      <c r="BK62" s="126" t="s">
        <v>1623</v>
      </c>
      <c r="BL62" s="126"/>
      <c r="BM62" s="126" t="s">
        <v>1623</v>
      </c>
      <c r="BN62" s="128"/>
      <c r="BO62" s="126"/>
      <c r="BP62" s="126" t="s">
        <v>1623</v>
      </c>
      <c r="BQ62" s="126"/>
      <c r="BR62" s="128"/>
      <c r="BS62" s="126" t="s">
        <v>1623</v>
      </c>
      <c r="BT62" s="126"/>
      <c r="BU62" s="128"/>
      <c r="BV62" s="126"/>
      <c r="BW62" s="126" t="s">
        <v>1623</v>
      </c>
      <c r="BX62" s="128"/>
      <c r="BY62" s="126"/>
      <c r="BZ62" s="126"/>
      <c r="CA62" s="126" t="s">
        <v>1623</v>
      </c>
      <c r="CB62" s="104"/>
      <c r="CC62" s="126"/>
      <c r="CD62" s="126" t="s">
        <v>1623</v>
      </c>
      <c r="CE62" s="126"/>
      <c r="CF62" s="128"/>
      <c r="CG62" s="126" t="s">
        <v>1623</v>
      </c>
      <c r="CH62" s="126"/>
      <c r="CI62" s="126"/>
      <c r="CJ62" s="128"/>
      <c r="CK62" s="126"/>
      <c r="CL62" s="126" t="s">
        <v>1623</v>
      </c>
      <c r="CM62" s="128"/>
      <c r="CN62" s="126"/>
      <c r="CO62" s="126"/>
      <c r="CP62" s="126" t="s">
        <v>1623</v>
      </c>
      <c r="CQ62" s="104"/>
      <c r="CR62" s="314" t="s">
        <v>2658</v>
      </c>
      <c r="CS62" s="314" t="s">
        <v>2657</v>
      </c>
      <c r="CT62" s="104" t="s">
        <v>2659</v>
      </c>
      <c r="DH62" t="s">
        <v>1623</v>
      </c>
      <c r="DI62" t="s">
        <v>1623</v>
      </c>
      <c r="DJ62" t="s">
        <v>1623</v>
      </c>
    </row>
    <row r="63" spans="1:114" x14ac:dyDescent="0.25">
      <c r="A63" s="104">
        <v>2016</v>
      </c>
      <c r="B63" s="165" t="s">
        <v>3514</v>
      </c>
      <c r="C63" s="338" t="s">
        <v>1623</v>
      </c>
      <c r="D63" s="126"/>
      <c r="E63" s="126" t="s">
        <v>1623</v>
      </c>
      <c r="F63" s="126"/>
      <c r="G63" s="126"/>
      <c r="H63" s="126"/>
      <c r="I63" s="104"/>
      <c r="J63" s="126"/>
      <c r="K63" s="306" t="s">
        <v>1623</v>
      </c>
      <c r="L63" s="126"/>
      <c r="M63" s="306"/>
      <c r="N63" s="126"/>
      <c r="O63" s="126"/>
      <c r="P63" s="126"/>
      <c r="Q63" s="104"/>
      <c r="R63" s="126"/>
      <c r="S63" s="126" t="s">
        <v>1623</v>
      </c>
      <c r="T63" s="128"/>
      <c r="U63" s="126" t="s">
        <v>1623</v>
      </c>
      <c r="V63" s="126"/>
      <c r="W63" s="128"/>
      <c r="X63" s="126" t="s">
        <v>1623</v>
      </c>
      <c r="Y63" s="126"/>
      <c r="Z63" s="128"/>
      <c r="AA63" s="126" t="s">
        <v>1623</v>
      </c>
      <c r="AB63" s="126"/>
      <c r="AC63" s="128"/>
      <c r="AD63" s="126"/>
      <c r="AE63" s="126" t="s">
        <v>1623</v>
      </c>
      <c r="AF63" s="128"/>
      <c r="AG63" s="126"/>
      <c r="AH63" s="126" t="s">
        <v>1623</v>
      </c>
      <c r="AI63" s="126"/>
      <c r="AJ63" s="128"/>
      <c r="AK63" s="126" t="s">
        <v>1623</v>
      </c>
      <c r="AL63" s="126"/>
      <c r="AM63" s="126"/>
      <c r="AN63" s="128"/>
      <c r="AO63" s="126" t="s">
        <v>1623</v>
      </c>
      <c r="AP63" s="126"/>
      <c r="AQ63" s="128"/>
      <c r="AR63" s="126" t="s">
        <v>1623</v>
      </c>
      <c r="AS63" s="126"/>
      <c r="AT63" s="126"/>
      <c r="AU63" s="128"/>
      <c r="AV63" s="126"/>
      <c r="AW63" s="126" t="s">
        <v>1623</v>
      </c>
      <c r="AX63" s="104"/>
      <c r="AY63" s="126" t="s">
        <v>1623</v>
      </c>
      <c r="AZ63" s="126"/>
      <c r="BA63" s="126" t="s">
        <v>1623</v>
      </c>
      <c r="BB63" s="126"/>
      <c r="BC63" s="128"/>
      <c r="BD63" s="126"/>
      <c r="BE63" s="126"/>
      <c r="BF63" s="126"/>
      <c r="BG63" s="126"/>
      <c r="BH63" s="126"/>
      <c r="BI63" s="128" t="s">
        <v>2674</v>
      </c>
      <c r="BJ63" s="126" t="s">
        <v>1623</v>
      </c>
      <c r="BK63" s="126"/>
      <c r="BL63" s="126"/>
      <c r="BM63" s="126"/>
      <c r="BN63" s="128"/>
      <c r="BO63" s="126" t="s">
        <v>1623</v>
      </c>
      <c r="BP63" s="126"/>
      <c r="BQ63" s="126"/>
      <c r="BR63" s="128"/>
      <c r="BS63" s="126"/>
      <c r="BT63" s="126" t="s">
        <v>1623</v>
      </c>
      <c r="BU63" s="128"/>
      <c r="BV63" s="126"/>
      <c r="BW63" s="126" t="s">
        <v>1623</v>
      </c>
      <c r="BX63" s="128"/>
      <c r="BY63" s="126"/>
      <c r="BZ63" s="126"/>
      <c r="CA63" s="126" t="s">
        <v>1623</v>
      </c>
      <c r="CB63" s="104"/>
      <c r="CC63" s="126"/>
      <c r="CD63" s="126" t="s">
        <v>1623</v>
      </c>
      <c r="CE63" s="126"/>
      <c r="CF63" s="128"/>
      <c r="CG63" s="126" t="s">
        <v>1623</v>
      </c>
      <c r="CH63" s="126"/>
      <c r="CI63" s="126"/>
      <c r="CJ63" s="128"/>
      <c r="CK63" s="126"/>
      <c r="CL63" s="126" t="s">
        <v>1623</v>
      </c>
      <c r="CM63" s="128"/>
      <c r="CN63" s="126"/>
      <c r="CO63" s="126" t="s">
        <v>1623</v>
      </c>
      <c r="CP63" s="126"/>
      <c r="CQ63" s="104"/>
      <c r="CR63" s="314" t="s">
        <v>2658</v>
      </c>
      <c r="CS63" s="314" t="s">
        <v>2657</v>
      </c>
      <c r="CT63" s="104" t="s">
        <v>2659</v>
      </c>
      <c r="DF63" t="s">
        <v>1623</v>
      </c>
      <c r="DH63" t="s">
        <v>1623</v>
      </c>
      <c r="DJ63" t="s">
        <v>1623</v>
      </c>
    </row>
    <row r="64" spans="1:114" x14ac:dyDescent="0.25">
      <c r="A64" s="104">
        <v>2011</v>
      </c>
      <c r="B64" s="165" t="s">
        <v>3345</v>
      </c>
      <c r="C64" s="338" t="s">
        <v>1623</v>
      </c>
      <c r="D64" s="126"/>
      <c r="E64" s="126" t="s">
        <v>1623</v>
      </c>
      <c r="F64" s="126"/>
      <c r="G64" s="126"/>
      <c r="H64" s="126"/>
      <c r="I64" s="104"/>
      <c r="J64" s="126"/>
      <c r="K64" s="306" t="s">
        <v>1623</v>
      </c>
      <c r="L64" s="126"/>
      <c r="M64" s="306"/>
      <c r="N64" s="126"/>
      <c r="O64" s="126"/>
      <c r="P64" s="126"/>
      <c r="Q64" s="104"/>
      <c r="R64" s="126"/>
      <c r="S64" s="126" t="s">
        <v>1623</v>
      </c>
      <c r="T64" s="128"/>
      <c r="U64" s="126"/>
      <c r="V64" s="126" t="s">
        <v>1623</v>
      </c>
      <c r="W64" s="128"/>
      <c r="X64" s="126" t="s">
        <v>1623</v>
      </c>
      <c r="Y64" s="126"/>
      <c r="Z64" s="128"/>
      <c r="AA64" s="126" t="s">
        <v>1623</v>
      </c>
      <c r="AB64" s="126"/>
      <c r="AC64" s="128"/>
      <c r="AD64" s="126" t="s">
        <v>1623</v>
      </c>
      <c r="AE64" s="126"/>
      <c r="AF64" s="128"/>
      <c r="AG64" s="126"/>
      <c r="AH64" s="126" t="s">
        <v>1623</v>
      </c>
      <c r="AI64" s="126"/>
      <c r="AJ64" s="128"/>
      <c r="AK64" s="126" t="s">
        <v>1623</v>
      </c>
      <c r="AL64" s="126"/>
      <c r="AM64" s="126"/>
      <c r="AN64" s="128"/>
      <c r="AO64" s="126" t="s">
        <v>1623</v>
      </c>
      <c r="AP64" s="126"/>
      <c r="AQ64" s="128"/>
      <c r="AR64" s="126" t="s">
        <v>1623</v>
      </c>
      <c r="AS64" s="126"/>
      <c r="AT64" s="126"/>
      <c r="AU64" s="128"/>
      <c r="AV64" s="126"/>
      <c r="AW64" s="126" t="s">
        <v>1623</v>
      </c>
      <c r="AX64" s="104"/>
      <c r="AY64" s="126"/>
      <c r="AZ64" s="126"/>
      <c r="BA64" s="126"/>
      <c r="BB64" s="126" t="s">
        <v>1623</v>
      </c>
      <c r="BC64" s="128"/>
      <c r="BD64" s="126"/>
      <c r="BE64" s="126"/>
      <c r="BF64" s="126"/>
      <c r="BG64" s="126"/>
      <c r="BH64" s="126"/>
      <c r="BI64" s="128" t="s">
        <v>2674</v>
      </c>
      <c r="BJ64" s="126" t="s">
        <v>1623</v>
      </c>
      <c r="BK64" s="126"/>
      <c r="BL64" s="126"/>
      <c r="BM64" s="126"/>
      <c r="BN64" s="128"/>
      <c r="BO64" s="126"/>
      <c r="BP64" s="126"/>
      <c r="BQ64" s="126" t="s">
        <v>1623</v>
      </c>
      <c r="BR64" s="128"/>
      <c r="BS64" s="126" t="s">
        <v>1623</v>
      </c>
      <c r="BT64" s="126"/>
      <c r="BU64" s="128"/>
      <c r="BV64" s="126"/>
      <c r="BW64" s="126" t="s">
        <v>1623</v>
      </c>
      <c r="BX64" s="128"/>
      <c r="BY64" s="126"/>
      <c r="BZ64" s="126"/>
      <c r="CA64" s="126"/>
      <c r="CB64" s="104" t="s">
        <v>2671</v>
      </c>
      <c r="CC64" s="126" t="s">
        <v>1623</v>
      </c>
      <c r="CD64" s="126"/>
      <c r="CE64" s="126"/>
      <c r="CF64" s="128"/>
      <c r="CG64" s="126"/>
      <c r="CH64" s="126"/>
      <c r="CI64" s="126"/>
      <c r="CJ64" s="128" t="s">
        <v>2671</v>
      </c>
      <c r="CK64" s="126"/>
      <c r="CL64" s="126"/>
      <c r="CM64" s="128" t="s">
        <v>2671</v>
      </c>
      <c r="CN64" s="126"/>
      <c r="CO64" s="126"/>
      <c r="CP64" s="126"/>
      <c r="CQ64" s="104" t="s">
        <v>2671</v>
      </c>
      <c r="CR64" s="314" t="s">
        <v>2658</v>
      </c>
      <c r="CS64" s="314" t="s">
        <v>2657</v>
      </c>
      <c r="CT64" s="104" t="s">
        <v>2659</v>
      </c>
      <c r="DH64" t="s">
        <v>1623</v>
      </c>
      <c r="DI64" t="s">
        <v>1623</v>
      </c>
    </row>
    <row r="65" spans="1:114" x14ac:dyDescent="0.25">
      <c r="A65" s="104">
        <v>2006</v>
      </c>
      <c r="B65" s="165" t="s">
        <v>3363</v>
      </c>
      <c r="C65" s="338" t="s">
        <v>1623</v>
      </c>
      <c r="D65" s="126"/>
      <c r="E65" s="126"/>
      <c r="F65" s="126"/>
      <c r="G65" s="126"/>
      <c r="H65" s="126" t="s">
        <v>1623</v>
      </c>
      <c r="I65" s="104"/>
      <c r="J65" s="126"/>
      <c r="K65" s="306" t="s">
        <v>1623</v>
      </c>
      <c r="L65" s="126"/>
      <c r="M65" s="306"/>
      <c r="N65" s="126"/>
      <c r="O65" s="126"/>
      <c r="P65" s="126"/>
      <c r="Q65" s="104"/>
      <c r="R65" s="126" t="s">
        <v>1623</v>
      </c>
      <c r="S65" s="126"/>
      <c r="T65" s="128"/>
      <c r="U65" s="126"/>
      <c r="V65" s="126" t="s">
        <v>1623</v>
      </c>
      <c r="W65" s="128"/>
      <c r="X65" s="126" t="s">
        <v>1623</v>
      </c>
      <c r="Y65" s="126"/>
      <c r="Z65" s="128"/>
      <c r="AA65" s="126" t="s">
        <v>1623</v>
      </c>
      <c r="AB65" s="126"/>
      <c r="AC65" s="128"/>
      <c r="AD65" s="126"/>
      <c r="AE65" s="126" t="s">
        <v>1623</v>
      </c>
      <c r="AF65" s="128"/>
      <c r="AG65" s="126" t="s">
        <v>1623</v>
      </c>
      <c r="AH65" s="126"/>
      <c r="AI65" s="126"/>
      <c r="AJ65" s="128"/>
      <c r="AK65" s="126"/>
      <c r="AL65" s="126"/>
      <c r="AM65" s="126" t="s">
        <v>1623</v>
      </c>
      <c r="AN65" s="128"/>
      <c r="AO65" s="126"/>
      <c r="AP65" s="126" t="s">
        <v>1623</v>
      </c>
      <c r="AQ65" s="128"/>
      <c r="AR65" s="126"/>
      <c r="AS65" s="126"/>
      <c r="AT65" s="126" t="s">
        <v>1623</v>
      </c>
      <c r="AU65" s="128"/>
      <c r="AV65" s="126" t="s">
        <v>1623</v>
      </c>
      <c r="AW65" s="126"/>
      <c r="AX65" s="104"/>
      <c r="AY65" s="126" t="s">
        <v>1623</v>
      </c>
      <c r="AZ65" s="126"/>
      <c r="BA65" s="126"/>
      <c r="BB65" s="126"/>
      <c r="BC65" s="128"/>
      <c r="BD65" s="126"/>
      <c r="BE65" s="126"/>
      <c r="BF65" s="126"/>
      <c r="BG65" s="126"/>
      <c r="BH65" s="126"/>
      <c r="BI65" s="128" t="s">
        <v>2674</v>
      </c>
      <c r="BJ65" s="126"/>
      <c r="BK65" s="126" t="s">
        <v>1623</v>
      </c>
      <c r="BL65" s="126"/>
      <c r="BM65" s="126" t="s">
        <v>1623</v>
      </c>
      <c r="BN65" s="128"/>
      <c r="BO65" s="126" t="s">
        <v>1623</v>
      </c>
      <c r="BP65" s="126"/>
      <c r="BQ65" s="126"/>
      <c r="BR65" s="128"/>
      <c r="BS65" s="126"/>
      <c r="BT65" s="126" t="s">
        <v>1623</v>
      </c>
      <c r="BU65" s="128"/>
      <c r="BV65" s="126"/>
      <c r="BW65" s="126" t="s">
        <v>1623</v>
      </c>
      <c r="BX65" s="128"/>
      <c r="BY65" s="126"/>
      <c r="BZ65" s="126"/>
      <c r="CA65" s="126" t="s">
        <v>1623</v>
      </c>
      <c r="CB65" s="104"/>
      <c r="CC65" s="126"/>
      <c r="CD65" s="126" t="s">
        <v>1623</v>
      </c>
      <c r="CE65" s="126"/>
      <c r="CF65" s="128"/>
      <c r="CG65" s="126" t="s">
        <v>1623</v>
      </c>
      <c r="CH65" s="126"/>
      <c r="CI65" s="126"/>
      <c r="CJ65" s="128"/>
      <c r="CK65" s="126"/>
      <c r="CL65" s="126"/>
      <c r="CM65" s="128" t="s">
        <v>2671</v>
      </c>
      <c r="CN65" s="126"/>
      <c r="CO65" s="126"/>
      <c r="CP65" s="126" t="s">
        <v>1623</v>
      </c>
      <c r="CQ65" s="104"/>
      <c r="CR65" s="314" t="s">
        <v>2658</v>
      </c>
      <c r="CS65" s="314" t="s">
        <v>2657</v>
      </c>
      <c r="CT65" s="104" t="s">
        <v>2659</v>
      </c>
      <c r="DF65" t="s">
        <v>1623</v>
      </c>
      <c r="DH65" t="s">
        <v>1623</v>
      </c>
      <c r="DJ65" t="s">
        <v>1623</v>
      </c>
    </row>
    <row r="66" spans="1:114" x14ac:dyDescent="0.25">
      <c r="A66" s="104">
        <v>2020</v>
      </c>
      <c r="B66" s="165" t="s">
        <v>3364</v>
      </c>
      <c r="C66" s="338" t="s">
        <v>1623</v>
      </c>
      <c r="D66" s="126"/>
      <c r="E66" s="126" t="s">
        <v>1623</v>
      </c>
      <c r="F66" s="126"/>
      <c r="G66" s="126"/>
      <c r="H66" s="126"/>
      <c r="I66" s="104"/>
      <c r="J66" s="126"/>
      <c r="K66" s="306" t="s">
        <v>1623</v>
      </c>
      <c r="L66" s="126"/>
      <c r="M66" s="306"/>
      <c r="N66" s="126"/>
      <c r="O66" s="126"/>
      <c r="P66" s="126"/>
      <c r="Q66" s="104"/>
      <c r="R66" s="126"/>
      <c r="S66" s="126" t="s">
        <v>1623</v>
      </c>
      <c r="T66" s="128"/>
      <c r="U66" s="126"/>
      <c r="V66" s="126" t="s">
        <v>1623</v>
      </c>
      <c r="W66" s="128"/>
      <c r="X66" s="126" t="s">
        <v>1623</v>
      </c>
      <c r="Y66" s="126"/>
      <c r="Z66" s="128"/>
      <c r="AA66" s="126" t="s">
        <v>1623</v>
      </c>
      <c r="AB66" s="126"/>
      <c r="AC66" s="128"/>
      <c r="AD66" s="126"/>
      <c r="AE66" s="126" t="s">
        <v>1623</v>
      </c>
      <c r="AF66" s="128"/>
      <c r="AG66" s="126"/>
      <c r="AH66" s="126" t="s">
        <v>1623</v>
      </c>
      <c r="AI66" s="126"/>
      <c r="AJ66" s="128"/>
      <c r="AK66" s="126"/>
      <c r="AL66" s="126"/>
      <c r="AM66" s="126" t="s">
        <v>1623</v>
      </c>
      <c r="AN66" s="128"/>
      <c r="AO66" s="126" t="s">
        <v>1623</v>
      </c>
      <c r="AP66" s="126"/>
      <c r="AQ66" s="128"/>
      <c r="AR66" s="126"/>
      <c r="AS66" s="126" t="s">
        <v>1623</v>
      </c>
      <c r="AT66" s="126"/>
      <c r="AU66" s="128"/>
      <c r="AV66" s="126"/>
      <c r="AW66" s="126" t="s">
        <v>1623</v>
      </c>
      <c r="AX66" s="104"/>
      <c r="AY66" s="126"/>
      <c r="AZ66" s="126"/>
      <c r="BA66" s="126"/>
      <c r="BB66" s="126" t="s">
        <v>1623</v>
      </c>
      <c r="BC66" s="128"/>
      <c r="BD66" s="126"/>
      <c r="BE66" s="126"/>
      <c r="BF66" s="126"/>
      <c r="BG66" s="126"/>
      <c r="BH66" s="126"/>
      <c r="BI66" s="128" t="s">
        <v>2674</v>
      </c>
      <c r="BJ66" s="126"/>
      <c r="BK66" s="126" t="s">
        <v>1623</v>
      </c>
      <c r="BL66" s="126"/>
      <c r="BM66" s="126"/>
      <c r="BN66" s="128"/>
      <c r="BO66" s="126" t="s">
        <v>1623</v>
      </c>
      <c r="BP66" s="126"/>
      <c r="BQ66" s="126"/>
      <c r="BR66" s="128"/>
      <c r="BS66" s="126" t="s">
        <v>1623</v>
      </c>
      <c r="BT66" s="126"/>
      <c r="BU66" s="128"/>
      <c r="BV66" s="126"/>
      <c r="BW66" s="126" t="s">
        <v>1623</v>
      </c>
      <c r="BX66" s="128"/>
      <c r="BY66" s="126"/>
      <c r="BZ66" s="126"/>
      <c r="CA66" s="126" t="s">
        <v>1623</v>
      </c>
      <c r="CB66" s="104"/>
      <c r="CC66" s="126"/>
      <c r="CD66" s="126" t="s">
        <v>1623</v>
      </c>
      <c r="CE66" s="126"/>
      <c r="CF66" s="128"/>
      <c r="CG66" s="126" t="s">
        <v>1623</v>
      </c>
      <c r="CH66" s="126"/>
      <c r="CI66" s="126"/>
      <c r="CJ66" s="128"/>
      <c r="CK66" s="126"/>
      <c r="CL66" s="126" t="s">
        <v>1623</v>
      </c>
      <c r="CM66" s="128"/>
      <c r="CN66" s="126" t="s">
        <v>1623</v>
      </c>
      <c r="CO66" s="126"/>
      <c r="CP66" s="126"/>
      <c r="CQ66" s="104"/>
      <c r="CR66" s="314" t="s">
        <v>2658</v>
      </c>
      <c r="CS66" s="314" t="s">
        <v>2657</v>
      </c>
      <c r="CT66" s="104" t="s">
        <v>2659</v>
      </c>
      <c r="DH66" t="s">
        <v>1623</v>
      </c>
      <c r="DJ66" t="s">
        <v>1623</v>
      </c>
    </row>
    <row r="67" spans="1:114" x14ac:dyDescent="0.25">
      <c r="A67" s="104">
        <v>2008</v>
      </c>
      <c r="B67" s="165" t="s">
        <v>3372</v>
      </c>
      <c r="C67" s="338" t="s">
        <v>1623</v>
      </c>
      <c r="D67" s="126"/>
      <c r="E67" s="126" t="s">
        <v>1623</v>
      </c>
      <c r="F67" s="126"/>
      <c r="G67" s="126"/>
      <c r="H67" s="126"/>
      <c r="I67" s="104"/>
      <c r="J67" s="126"/>
      <c r="K67" s="306" t="s">
        <v>1623</v>
      </c>
      <c r="L67" s="126" t="s">
        <v>1623</v>
      </c>
      <c r="M67" s="306"/>
      <c r="N67" s="126"/>
      <c r="O67" s="126"/>
      <c r="P67" s="126"/>
      <c r="Q67" s="104"/>
      <c r="R67" s="126"/>
      <c r="S67" s="126" t="s">
        <v>1623</v>
      </c>
      <c r="T67" s="128"/>
      <c r="U67" s="126"/>
      <c r="V67" s="126" t="s">
        <v>1623</v>
      </c>
      <c r="W67" s="128"/>
      <c r="X67" s="126" t="s">
        <v>1623</v>
      </c>
      <c r="Y67" s="126"/>
      <c r="Z67" s="128"/>
      <c r="AA67" s="126" t="s">
        <v>1623</v>
      </c>
      <c r="AB67" s="126"/>
      <c r="AC67" s="128"/>
      <c r="AD67" s="126"/>
      <c r="AE67" s="126" t="s">
        <v>1623</v>
      </c>
      <c r="AF67" s="128"/>
      <c r="AG67" s="126" t="s">
        <v>1623</v>
      </c>
      <c r="AH67" s="126"/>
      <c r="AI67" s="126"/>
      <c r="AJ67" s="128"/>
      <c r="AK67" s="126"/>
      <c r="AL67" s="126"/>
      <c r="AM67" s="126" t="s">
        <v>1623</v>
      </c>
      <c r="AN67" s="128"/>
      <c r="AO67" s="126" t="s">
        <v>1623</v>
      </c>
      <c r="AP67" s="126"/>
      <c r="AQ67" s="128"/>
      <c r="AR67" s="126"/>
      <c r="AS67" s="126" t="s">
        <v>1623</v>
      </c>
      <c r="AT67" s="126"/>
      <c r="AU67" s="128"/>
      <c r="AV67" s="126" t="s">
        <v>1623</v>
      </c>
      <c r="AW67" s="126"/>
      <c r="AX67" s="104"/>
      <c r="AY67" s="126"/>
      <c r="AZ67" s="126" t="s">
        <v>1623</v>
      </c>
      <c r="BA67" s="126"/>
      <c r="BB67" s="126"/>
      <c r="BC67" s="128"/>
      <c r="BD67" s="126"/>
      <c r="BE67" s="126"/>
      <c r="BF67" s="126"/>
      <c r="BG67" s="126"/>
      <c r="BH67" s="126"/>
      <c r="BI67" s="128" t="s">
        <v>2674</v>
      </c>
      <c r="BJ67" s="126"/>
      <c r="BK67" s="126" t="s">
        <v>1623</v>
      </c>
      <c r="BL67" s="126"/>
      <c r="BM67" s="126" t="s">
        <v>1623</v>
      </c>
      <c r="BN67" s="128"/>
      <c r="BO67" s="126" t="s">
        <v>1623</v>
      </c>
      <c r="BP67" s="126"/>
      <c r="BQ67" s="126"/>
      <c r="BR67" s="128"/>
      <c r="BS67" s="126" t="s">
        <v>1623</v>
      </c>
      <c r="BT67" s="126"/>
      <c r="BU67" s="128"/>
      <c r="BV67" s="126"/>
      <c r="BW67" s="126" t="s">
        <v>1623</v>
      </c>
      <c r="BX67" s="128"/>
      <c r="BY67" s="126"/>
      <c r="BZ67" s="126"/>
      <c r="CA67" s="126" t="s">
        <v>1623</v>
      </c>
      <c r="CB67" s="104"/>
      <c r="CC67" s="126"/>
      <c r="CD67" s="126" t="s">
        <v>1623</v>
      </c>
      <c r="CE67" s="126"/>
      <c r="CF67" s="128"/>
      <c r="CG67" s="126" t="s">
        <v>1623</v>
      </c>
      <c r="CH67" s="126"/>
      <c r="CI67" s="126"/>
      <c r="CJ67" s="128"/>
      <c r="CK67" s="126"/>
      <c r="CL67" s="126" t="s">
        <v>1623</v>
      </c>
      <c r="CM67" s="128"/>
      <c r="CN67" s="126"/>
      <c r="CO67" s="126"/>
      <c r="CP67" s="126" t="s">
        <v>1623</v>
      </c>
      <c r="CQ67" s="104"/>
      <c r="CR67" s="314" t="s">
        <v>2658</v>
      </c>
      <c r="CS67" s="314" t="s">
        <v>2657</v>
      </c>
      <c r="CT67" s="104" t="s">
        <v>2659</v>
      </c>
      <c r="DF67" t="s">
        <v>1623</v>
      </c>
      <c r="DH67" t="s">
        <v>1623</v>
      </c>
      <c r="DJ67" t="s">
        <v>1623</v>
      </c>
    </row>
    <row r="68" spans="1:114" x14ac:dyDescent="0.25">
      <c r="A68" s="104">
        <v>2017</v>
      </c>
      <c r="B68" s="165" t="s">
        <v>3500</v>
      </c>
      <c r="C68" s="338" t="s">
        <v>1621</v>
      </c>
      <c r="D68" s="126" t="s">
        <v>1623</v>
      </c>
      <c r="E68" s="126"/>
      <c r="F68" s="126"/>
      <c r="G68" s="126"/>
      <c r="H68" s="126"/>
      <c r="I68" s="104"/>
      <c r="J68" s="126"/>
      <c r="K68" s="306" t="s">
        <v>1623</v>
      </c>
      <c r="L68" s="126"/>
      <c r="M68" s="306"/>
      <c r="N68" s="126"/>
      <c r="O68" s="126"/>
      <c r="P68" s="126"/>
      <c r="Q68" s="104"/>
      <c r="R68" s="126"/>
      <c r="S68" s="126" t="s">
        <v>1623</v>
      </c>
      <c r="T68" s="128"/>
      <c r="U68" s="126"/>
      <c r="V68" s="126" t="s">
        <v>1623</v>
      </c>
      <c r="W68" s="128"/>
      <c r="X68" s="126" t="s">
        <v>1623</v>
      </c>
      <c r="Y68" s="126"/>
      <c r="Z68" s="128"/>
      <c r="AA68" s="126" t="s">
        <v>1623</v>
      </c>
      <c r="AB68" s="126"/>
      <c r="AC68" s="128"/>
      <c r="AD68" s="126"/>
      <c r="AE68" s="126" t="s">
        <v>1623</v>
      </c>
      <c r="AF68" s="128"/>
      <c r="AG68" s="126" t="s">
        <v>1623</v>
      </c>
      <c r="AH68" s="126"/>
      <c r="AI68" s="126"/>
      <c r="AJ68" s="128"/>
      <c r="AK68" s="126"/>
      <c r="AL68" s="126"/>
      <c r="AM68" s="126" t="s">
        <v>1623</v>
      </c>
      <c r="AN68" s="128"/>
      <c r="AO68" s="126" t="s">
        <v>1623</v>
      </c>
      <c r="AP68" s="126"/>
      <c r="AQ68" s="128"/>
      <c r="AR68" s="126"/>
      <c r="AS68" s="126" t="s">
        <v>1623</v>
      </c>
      <c r="AT68" s="126"/>
      <c r="AU68" s="128"/>
      <c r="AV68" s="126" t="s">
        <v>1623</v>
      </c>
      <c r="AW68" s="126"/>
      <c r="AX68" s="104"/>
      <c r="AY68" s="126" t="s">
        <v>1623</v>
      </c>
      <c r="AZ68" s="126"/>
      <c r="BA68" s="126"/>
      <c r="BB68" s="126"/>
      <c r="BC68" s="128"/>
      <c r="BD68" s="126"/>
      <c r="BE68" s="126"/>
      <c r="BF68" s="126" t="s">
        <v>1623</v>
      </c>
      <c r="BG68" s="126"/>
      <c r="BH68" s="126"/>
      <c r="BI68" s="128"/>
      <c r="BJ68" s="126"/>
      <c r="BK68" s="126"/>
      <c r="BL68" s="126"/>
      <c r="BM68" s="126"/>
      <c r="BN68" s="128" t="s">
        <v>2674</v>
      </c>
      <c r="BO68" s="126"/>
      <c r="BP68" s="126"/>
      <c r="BQ68" s="126"/>
      <c r="BR68" s="128" t="s">
        <v>2671</v>
      </c>
      <c r="BS68" s="126"/>
      <c r="BT68" s="126"/>
      <c r="BU68" s="128" t="s">
        <v>2671</v>
      </c>
      <c r="BV68" s="126" t="s">
        <v>1623</v>
      </c>
      <c r="BW68" s="126"/>
      <c r="BX68" s="128"/>
      <c r="BY68" s="126"/>
      <c r="BZ68" s="126"/>
      <c r="CA68" s="126"/>
      <c r="CB68" s="104" t="s">
        <v>2671</v>
      </c>
      <c r="CC68" s="126" t="s">
        <v>1623</v>
      </c>
      <c r="CD68" s="126"/>
      <c r="CE68" s="126"/>
      <c r="CF68" s="128"/>
      <c r="CG68" s="126"/>
      <c r="CH68" s="126"/>
      <c r="CI68" s="126"/>
      <c r="CJ68" s="128" t="s">
        <v>2671</v>
      </c>
      <c r="CK68" s="126"/>
      <c r="CL68" s="126"/>
      <c r="CM68" s="128" t="s">
        <v>2671</v>
      </c>
      <c r="CN68" s="126"/>
      <c r="CO68" s="126"/>
      <c r="CP68" s="126"/>
      <c r="CQ68" s="104" t="s">
        <v>2671</v>
      </c>
      <c r="CR68" s="314" t="s">
        <v>2658</v>
      </c>
      <c r="CS68" s="314" t="s">
        <v>2657</v>
      </c>
      <c r="CT68" s="104" t="s">
        <v>2659</v>
      </c>
      <c r="DF68" t="s">
        <v>1623</v>
      </c>
      <c r="DG68" t="s">
        <v>1623</v>
      </c>
    </row>
    <row r="69" spans="1:114" x14ac:dyDescent="0.25">
      <c r="A69" s="104">
        <v>2008</v>
      </c>
      <c r="B69" s="165" t="s">
        <v>3556</v>
      </c>
      <c r="C69" s="338" t="s">
        <v>1623</v>
      </c>
      <c r="D69" s="126"/>
      <c r="E69" s="126"/>
      <c r="F69" s="126"/>
      <c r="G69" s="126"/>
      <c r="H69" s="126" t="s">
        <v>1623</v>
      </c>
      <c r="I69" s="104"/>
      <c r="J69" s="126"/>
      <c r="K69" s="306" t="s">
        <v>1623</v>
      </c>
      <c r="L69" s="126"/>
      <c r="M69" s="306"/>
      <c r="N69" s="126"/>
      <c r="O69" s="126"/>
      <c r="P69" s="126"/>
      <c r="Q69" s="104"/>
      <c r="R69" s="126"/>
      <c r="S69" s="126" t="s">
        <v>1623</v>
      </c>
      <c r="T69" s="128"/>
      <c r="U69" s="126"/>
      <c r="V69" s="126" t="s">
        <v>1623</v>
      </c>
      <c r="W69" s="128"/>
      <c r="X69" s="126" t="s">
        <v>1623</v>
      </c>
      <c r="Y69" s="126"/>
      <c r="Z69" s="128"/>
      <c r="AA69" s="126" t="s">
        <v>1623</v>
      </c>
      <c r="AB69" s="126"/>
      <c r="AC69" s="128"/>
      <c r="AD69" s="126"/>
      <c r="AE69" s="126" t="s">
        <v>1623</v>
      </c>
      <c r="AF69" s="128"/>
      <c r="AG69" s="126" t="s">
        <v>1623</v>
      </c>
      <c r="AH69" s="126"/>
      <c r="AI69" s="126"/>
      <c r="AJ69" s="128"/>
      <c r="AK69" s="126"/>
      <c r="AL69" s="126"/>
      <c r="AM69" s="126" t="s">
        <v>1623</v>
      </c>
      <c r="AN69" s="128"/>
      <c r="AO69" s="126"/>
      <c r="AP69" s="126" t="s">
        <v>1623</v>
      </c>
      <c r="AQ69" s="128"/>
      <c r="AR69" s="126"/>
      <c r="AS69" s="126" t="s">
        <v>1623</v>
      </c>
      <c r="AT69" s="126"/>
      <c r="AU69" s="128"/>
      <c r="AV69" s="126"/>
      <c r="AW69" s="126" t="s">
        <v>1623</v>
      </c>
      <c r="AX69" s="104"/>
      <c r="AY69" s="126" t="s">
        <v>1623</v>
      </c>
      <c r="AZ69" s="126"/>
      <c r="BA69" s="126"/>
      <c r="BB69" s="126"/>
      <c r="BC69" s="128"/>
      <c r="BD69" s="126"/>
      <c r="BE69" s="126"/>
      <c r="BF69" s="126"/>
      <c r="BG69" s="126"/>
      <c r="BH69" s="126"/>
      <c r="BI69" s="128" t="s">
        <v>2674</v>
      </c>
      <c r="BJ69" s="126"/>
      <c r="BK69" s="126"/>
      <c r="BL69" s="126"/>
      <c r="BM69" s="126" t="s">
        <v>1623</v>
      </c>
      <c r="BN69" s="128"/>
      <c r="BO69" s="126" t="s">
        <v>1623</v>
      </c>
      <c r="BP69" s="126"/>
      <c r="BQ69" s="126"/>
      <c r="BR69" s="128"/>
      <c r="BS69" s="126"/>
      <c r="BT69" s="126" t="s">
        <v>1623</v>
      </c>
      <c r="BU69" s="128"/>
      <c r="BV69" s="126"/>
      <c r="BW69" s="126" t="s">
        <v>1623</v>
      </c>
      <c r="BX69" s="128"/>
      <c r="BY69" s="126"/>
      <c r="BZ69" s="126"/>
      <c r="CA69" s="126" t="s">
        <v>1623</v>
      </c>
      <c r="CB69" s="104"/>
      <c r="CC69" s="126" t="s">
        <v>1623</v>
      </c>
      <c r="CD69" s="126"/>
      <c r="CE69" s="126"/>
      <c r="CF69" s="128"/>
      <c r="CG69" s="126"/>
      <c r="CH69" s="126"/>
      <c r="CI69" s="126"/>
      <c r="CJ69" s="128" t="s">
        <v>2671</v>
      </c>
      <c r="CK69" s="126"/>
      <c r="CL69" s="126"/>
      <c r="CM69" s="128" t="s">
        <v>2671</v>
      </c>
      <c r="CN69" s="126"/>
      <c r="CO69" s="126"/>
      <c r="CP69" s="126"/>
      <c r="CQ69" s="104" t="s">
        <v>2671</v>
      </c>
      <c r="CR69" s="314" t="s">
        <v>2658</v>
      </c>
      <c r="CS69" s="314" t="s">
        <v>2657</v>
      </c>
      <c r="CT69" s="104" t="s">
        <v>2659</v>
      </c>
      <c r="DF69" t="s">
        <v>1623</v>
      </c>
      <c r="DH69" t="s">
        <v>1623</v>
      </c>
      <c r="DJ69" t="s">
        <v>1623</v>
      </c>
    </row>
    <row r="70" spans="1:114" x14ac:dyDescent="0.25">
      <c r="A70" s="104">
        <v>2001</v>
      </c>
      <c r="B70" s="165" t="s">
        <v>3569</v>
      </c>
      <c r="C70" s="338" t="s">
        <v>1623</v>
      </c>
      <c r="D70" s="126"/>
      <c r="E70" s="126"/>
      <c r="F70" s="126"/>
      <c r="G70" s="126"/>
      <c r="H70" s="126" t="s">
        <v>1623</v>
      </c>
      <c r="I70" s="104"/>
      <c r="J70" s="126"/>
      <c r="K70" s="306" t="s">
        <v>1623</v>
      </c>
      <c r="L70" s="126" t="s">
        <v>1623</v>
      </c>
      <c r="M70" s="306"/>
      <c r="N70" s="126"/>
      <c r="O70" s="126"/>
      <c r="P70" s="126"/>
      <c r="Q70" s="104"/>
      <c r="R70" s="126"/>
      <c r="S70" s="126" t="s">
        <v>1623</v>
      </c>
      <c r="T70" s="128"/>
      <c r="U70" s="126"/>
      <c r="V70" s="126" t="s">
        <v>1623</v>
      </c>
      <c r="W70" s="128"/>
      <c r="X70" s="126" t="s">
        <v>1623</v>
      </c>
      <c r="Y70" s="126"/>
      <c r="Z70" s="128"/>
      <c r="AA70" s="126" t="s">
        <v>1623</v>
      </c>
      <c r="AB70" s="126"/>
      <c r="AC70" s="128"/>
      <c r="AD70" s="126"/>
      <c r="AE70" s="126" t="s">
        <v>1623</v>
      </c>
      <c r="AF70" s="128"/>
      <c r="AG70" s="126" t="s">
        <v>1623</v>
      </c>
      <c r="AH70" s="126"/>
      <c r="AI70" s="126"/>
      <c r="AJ70" s="128"/>
      <c r="AK70" s="126"/>
      <c r="AL70" s="126" t="s">
        <v>1623</v>
      </c>
      <c r="AM70" s="126"/>
      <c r="AN70" s="128"/>
      <c r="AO70" s="126"/>
      <c r="AP70" s="126" t="s">
        <v>1623</v>
      </c>
      <c r="AQ70" s="128"/>
      <c r="AR70" s="126"/>
      <c r="AS70" s="126" t="s">
        <v>1623</v>
      </c>
      <c r="AT70" s="126"/>
      <c r="AU70" s="128"/>
      <c r="AV70" s="126"/>
      <c r="AW70" s="126" t="s">
        <v>1623</v>
      </c>
      <c r="AX70" s="104"/>
      <c r="AY70" s="126" t="s">
        <v>1623</v>
      </c>
      <c r="AZ70" s="126"/>
      <c r="BA70" s="126"/>
      <c r="BB70" s="126"/>
      <c r="BC70" s="128"/>
      <c r="BD70" s="126"/>
      <c r="BE70" s="126"/>
      <c r="BF70" s="126"/>
      <c r="BG70" s="126"/>
      <c r="BH70" s="126"/>
      <c r="BI70" s="128" t="s">
        <v>2674</v>
      </c>
      <c r="BJ70" s="126"/>
      <c r="BK70" s="126"/>
      <c r="BL70" s="126"/>
      <c r="BM70" s="126" t="s">
        <v>1623</v>
      </c>
      <c r="BN70" s="128"/>
      <c r="BO70" s="126" t="s">
        <v>1623</v>
      </c>
      <c r="BP70" s="126"/>
      <c r="BQ70" s="126"/>
      <c r="BR70" s="128"/>
      <c r="BS70" s="126"/>
      <c r="BT70" s="126" t="s">
        <v>1623</v>
      </c>
      <c r="BU70" s="128"/>
      <c r="BV70" s="126"/>
      <c r="BW70" s="126" t="s">
        <v>1623</v>
      </c>
      <c r="BX70" s="128"/>
      <c r="BY70" s="126"/>
      <c r="BZ70" s="126"/>
      <c r="CA70" s="126" t="s">
        <v>1623</v>
      </c>
      <c r="CB70" s="104"/>
      <c r="CC70" s="126"/>
      <c r="CD70" s="126" t="s">
        <v>1623</v>
      </c>
      <c r="CE70" s="126"/>
      <c r="CF70" s="128"/>
      <c r="CG70" s="126" t="s">
        <v>1623</v>
      </c>
      <c r="CH70" s="126"/>
      <c r="CI70" s="126"/>
      <c r="CJ70" s="128"/>
      <c r="CK70" s="126" t="s">
        <v>1623</v>
      </c>
      <c r="CL70" s="126"/>
      <c r="CM70" s="128"/>
      <c r="CN70" s="126"/>
      <c r="CO70" s="126"/>
      <c r="CP70" s="126" t="s">
        <v>1623</v>
      </c>
      <c r="CQ70" s="104"/>
      <c r="CR70" s="314" t="s">
        <v>2658</v>
      </c>
      <c r="CS70" s="314" t="s">
        <v>2657</v>
      </c>
      <c r="CT70" s="104" t="s">
        <v>2659</v>
      </c>
      <c r="DF70" t="s">
        <v>1623</v>
      </c>
      <c r="DH70" t="s">
        <v>1623</v>
      </c>
      <c r="DJ70" t="s">
        <v>1623</v>
      </c>
    </row>
    <row r="71" spans="1:114" x14ac:dyDescent="0.25">
      <c r="A71" s="104">
        <v>2020</v>
      </c>
      <c r="B71" s="165" t="s">
        <v>3613</v>
      </c>
      <c r="C71" s="338" t="s">
        <v>1623</v>
      </c>
      <c r="D71" s="126"/>
      <c r="E71" s="126"/>
      <c r="F71" s="126"/>
      <c r="G71" s="126"/>
      <c r="H71" s="126" t="s">
        <v>1623</v>
      </c>
      <c r="I71" s="104"/>
      <c r="J71" s="126"/>
      <c r="K71" s="306" t="s">
        <v>1623</v>
      </c>
      <c r="L71" s="126"/>
      <c r="M71" s="306"/>
      <c r="N71" s="126"/>
      <c r="O71" s="126"/>
      <c r="P71" s="126"/>
      <c r="Q71" s="104"/>
      <c r="R71" s="126"/>
      <c r="S71" s="126" t="s">
        <v>1623</v>
      </c>
      <c r="T71" s="128"/>
      <c r="U71" s="126" t="s">
        <v>1623</v>
      </c>
      <c r="V71" s="126"/>
      <c r="W71" s="128"/>
      <c r="X71" s="126"/>
      <c r="Y71" s="126" t="s">
        <v>1623</v>
      </c>
      <c r="Z71" s="128"/>
      <c r="AA71" s="126" t="s">
        <v>1623</v>
      </c>
      <c r="AB71" s="126"/>
      <c r="AC71" s="128"/>
      <c r="AD71" s="126" t="s">
        <v>1623</v>
      </c>
      <c r="AE71" s="126"/>
      <c r="AF71" s="128"/>
      <c r="AG71" s="126"/>
      <c r="AH71" s="126" t="s">
        <v>1623</v>
      </c>
      <c r="AI71" s="126"/>
      <c r="AJ71" s="128"/>
      <c r="AK71" s="126"/>
      <c r="AL71" s="126" t="s">
        <v>1623</v>
      </c>
      <c r="AM71" s="126"/>
      <c r="AN71" s="128"/>
      <c r="AO71" s="126"/>
      <c r="AP71" s="126" t="s">
        <v>1623</v>
      </c>
      <c r="AQ71" s="128"/>
      <c r="AR71" s="126"/>
      <c r="AS71" s="126" t="s">
        <v>1623</v>
      </c>
      <c r="AT71" s="126"/>
      <c r="AU71" s="128"/>
      <c r="AV71" s="126"/>
      <c r="AW71" s="126" t="s">
        <v>1623</v>
      </c>
      <c r="AX71" s="104"/>
      <c r="AY71" s="126"/>
      <c r="AZ71" s="126" t="s">
        <v>1623</v>
      </c>
      <c r="BA71" s="126"/>
      <c r="BB71" s="126"/>
      <c r="BC71" s="128"/>
      <c r="BD71" s="126"/>
      <c r="BE71" s="126"/>
      <c r="BF71" s="126"/>
      <c r="BG71" s="126"/>
      <c r="BH71" s="126"/>
      <c r="BI71" s="128" t="s">
        <v>2674</v>
      </c>
      <c r="BJ71" s="126"/>
      <c r="BK71" s="126"/>
      <c r="BL71" s="126" t="s">
        <v>1623</v>
      </c>
      <c r="BM71" s="126"/>
      <c r="BN71" s="128"/>
      <c r="BO71" s="126"/>
      <c r="BP71" s="126"/>
      <c r="BQ71" s="126" t="s">
        <v>1623</v>
      </c>
      <c r="BR71" s="128"/>
      <c r="BS71" s="126" t="s">
        <v>1623</v>
      </c>
      <c r="BT71" s="126"/>
      <c r="BU71" s="128"/>
      <c r="BV71" s="126"/>
      <c r="BW71" s="126" t="s">
        <v>1623</v>
      </c>
      <c r="BX71" s="128"/>
      <c r="BY71" s="126"/>
      <c r="BZ71" s="126"/>
      <c r="CA71" s="126"/>
      <c r="CB71" s="104" t="s">
        <v>2671</v>
      </c>
      <c r="CC71" s="126"/>
      <c r="CD71" s="126" t="s">
        <v>1623</v>
      </c>
      <c r="CE71" s="126"/>
      <c r="CF71" s="128"/>
      <c r="CG71" s="126" t="s">
        <v>1623</v>
      </c>
      <c r="CH71" s="126"/>
      <c r="CI71" s="126"/>
      <c r="CJ71" s="128"/>
      <c r="CK71" s="126" t="s">
        <v>1623</v>
      </c>
      <c r="CL71" s="126"/>
      <c r="CM71" s="128"/>
      <c r="CN71" s="126" t="s">
        <v>1623</v>
      </c>
      <c r="CO71" s="126"/>
      <c r="CP71" s="126"/>
      <c r="CQ71" s="104"/>
      <c r="CR71" s="314" t="s">
        <v>2658</v>
      </c>
      <c r="CS71" s="314" t="s">
        <v>2657</v>
      </c>
      <c r="CT71" s="104" t="s">
        <v>2659</v>
      </c>
      <c r="DF71" t="s">
        <v>1623</v>
      </c>
      <c r="DH71" t="s">
        <v>1623</v>
      </c>
      <c r="DI71" t="s">
        <v>1623</v>
      </c>
    </row>
    <row r="72" spans="1:114" s="90" customFormat="1" x14ac:dyDescent="0.25">
      <c r="B72" s="203"/>
      <c r="C72" s="336"/>
      <c r="D72" s="126"/>
      <c r="E72" s="126"/>
      <c r="F72" s="126"/>
      <c r="G72" s="126"/>
      <c r="H72" s="126"/>
      <c r="I72" s="104"/>
      <c r="J72" s="126"/>
      <c r="K72" s="306"/>
      <c r="L72" s="126"/>
      <c r="M72" s="306"/>
      <c r="N72" s="126"/>
      <c r="O72" s="126"/>
      <c r="P72" s="126"/>
      <c r="Q72" s="104"/>
      <c r="R72" s="126"/>
      <c r="S72" s="126"/>
      <c r="T72" s="126"/>
      <c r="U72" s="142"/>
      <c r="V72" s="126"/>
      <c r="W72" s="126"/>
      <c r="X72" s="142"/>
      <c r="Y72" s="126"/>
      <c r="Z72" s="126"/>
      <c r="AA72" s="142"/>
      <c r="AB72" s="126"/>
      <c r="AC72" s="126"/>
      <c r="AD72" s="142"/>
      <c r="AE72" s="126"/>
      <c r="AF72" s="128"/>
      <c r="AG72" s="126"/>
      <c r="AH72" s="126"/>
      <c r="AI72" s="126"/>
      <c r="AJ72" s="126"/>
      <c r="AK72" s="142"/>
      <c r="AL72" s="126"/>
      <c r="AM72" s="126"/>
      <c r="AN72" s="126"/>
      <c r="AO72" s="142"/>
      <c r="AP72" s="126"/>
      <c r="AQ72" s="128"/>
      <c r="AR72" s="126"/>
      <c r="AS72" s="126"/>
      <c r="AT72" s="126"/>
      <c r="AU72" s="126"/>
      <c r="AV72" s="142"/>
      <c r="AW72" s="126"/>
      <c r="AX72" s="104"/>
      <c r="AY72" s="126"/>
      <c r="AZ72" s="126"/>
      <c r="BA72" s="126"/>
      <c r="BB72" s="126"/>
      <c r="BC72" s="128"/>
      <c r="BD72" s="126"/>
      <c r="BE72" s="126"/>
      <c r="BF72" s="126"/>
      <c r="BG72" s="126"/>
      <c r="BH72" s="126"/>
      <c r="BI72" s="128"/>
      <c r="BJ72" s="126"/>
      <c r="BK72" s="126"/>
      <c r="BL72" s="126"/>
      <c r="BM72" s="126"/>
      <c r="BN72" s="128"/>
      <c r="BO72" s="126"/>
      <c r="BP72" s="126"/>
      <c r="BQ72" s="126"/>
      <c r="BR72" s="126"/>
      <c r="BS72" s="142"/>
      <c r="BT72" s="126"/>
      <c r="BU72" s="126"/>
      <c r="BV72" s="142"/>
      <c r="BW72" s="126"/>
      <c r="BX72" s="126"/>
      <c r="BY72" s="142"/>
      <c r="BZ72" s="126"/>
      <c r="CA72" s="126"/>
      <c r="CB72" s="104"/>
      <c r="CC72" s="126"/>
      <c r="CD72" s="126"/>
      <c r="CE72" s="126"/>
      <c r="CF72" s="126"/>
      <c r="CG72" s="142"/>
      <c r="CH72" s="126"/>
      <c r="CI72" s="126"/>
      <c r="CJ72" s="126"/>
      <c r="CK72" s="142"/>
      <c r="CL72" s="126"/>
      <c r="CM72" s="126"/>
      <c r="CN72" s="142"/>
      <c r="CO72" s="126"/>
      <c r="CP72" s="126"/>
      <c r="CQ72" s="104"/>
      <c r="CR72" s="126"/>
      <c r="CS72" s="126"/>
      <c r="CT72" s="104"/>
      <c r="CU72" s="162"/>
      <c r="DI72"/>
      <c r="DJ72"/>
    </row>
    <row r="73" spans="1:114" x14ac:dyDescent="0.25">
      <c r="A73" s="151"/>
      <c r="B73" s="151" t="s">
        <v>551</v>
      </c>
      <c r="C73" s="178">
        <f>COUNTIF('Approach Classification'!C3:C72,"Yes")</f>
        <v>57</v>
      </c>
      <c r="D73" s="178">
        <f>COUNTIF('Approach Classification'!D3:D72,"Yes")</f>
        <v>15</v>
      </c>
      <c r="E73" s="178">
        <f>COUNTIF('Approach Classification'!E3:E72,"Yes")</f>
        <v>28</v>
      </c>
      <c r="F73" s="178">
        <f>COUNTIF('Approach Classification'!F3:F72,"Yes")</f>
        <v>20</v>
      </c>
      <c r="G73" s="178">
        <f>COUNTIF('Approach Classification'!G3:G72,"Yes")</f>
        <v>5</v>
      </c>
      <c r="H73" s="178">
        <f>COUNTIF('Approach Classification'!H3:H72,"Yes")</f>
        <v>13</v>
      </c>
      <c r="I73" s="178"/>
      <c r="J73" s="180">
        <f>COUNTIF('Approach Classification'!J3:J72,"Yes")</f>
        <v>5</v>
      </c>
      <c r="K73" s="337">
        <f>COUNTIF('Approach Classification'!K3:K72,"Yes")</f>
        <v>64</v>
      </c>
      <c r="L73" s="178">
        <f>COUNTIF('Approach Classification'!L3:L72,"Yes")</f>
        <v>24</v>
      </c>
      <c r="M73" s="305">
        <f>COUNTIF('Approach Classification'!M3:M72,"Yes")</f>
        <v>31</v>
      </c>
      <c r="N73" s="178">
        <f>COUNTIF('Approach Classification'!N3:N72,"Yes")</f>
        <v>25</v>
      </c>
      <c r="O73" s="178">
        <f>COUNTIF('Approach Classification'!O3:O72,"Yes")</f>
        <v>4</v>
      </c>
      <c r="P73" s="178">
        <f>COUNTIF('Approach Classification'!P3:P72,"Yes")</f>
        <v>10</v>
      </c>
      <c r="Q73" s="178">
        <f>COUNTIF('Approach Classification'!Q3:Q72,"Yes")</f>
        <v>0</v>
      </c>
      <c r="R73" s="178">
        <f>COUNTIF('Approach Classification'!R3:R72,"Yes")</f>
        <v>14</v>
      </c>
      <c r="S73" s="178">
        <f>COUNTIF('Approach Classification'!S3:S72,"Yes")</f>
        <v>55</v>
      </c>
      <c r="T73" s="178">
        <f>COUNTIF('Approach Classification'!T3:T72,"Yes")</f>
        <v>0</v>
      </c>
      <c r="U73" s="181">
        <f>COUNTIF('Approach Classification'!U3:U72,"Yes")</f>
        <v>10</v>
      </c>
      <c r="V73" s="178">
        <f>COUNTIF('Approach Classification'!V3:V72,"Yes")</f>
        <v>59</v>
      </c>
      <c r="W73" s="178"/>
      <c r="X73" s="181">
        <f>COUNTIF('Approach Classification'!X3:X72,"Yes")</f>
        <v>60</v>
      </c>
      <c r="Y73" s="178">
        <f>COUNTIF('Approach Classification'!Y3:Y72,"Yes")</f>
        <v>9</v>
      </c>
      <c r="Z73" s="178"/>
      <c r="AA73" s="181">
        <f>COUNTIF('Approach Classification'!AA3:AA72,"Yes")</f>
        <v>65</v>
      </c>
      <c r="AB73" s="178">
        <f>COUNTIF('Approach Classification'!AB3:AB72,"Yes")</f>
        <v>5</v>
      </c>
      <c r="AC73" s="178"/>
      <c r="AD73" s="181">
        <f>COUNTIF('Approach Classification'!AD3:AD72,"Yes")</f>
        <v>15</v>
      </c>
      <c r="AE73" s="178">
        <f>COUNTIF('Approach Classification'!AE3:AE72,"Yes")</f>
        <v>59</v>
      </c>
      <c r="AF73" s="179">
        <f>COUNTIF('Approach Classification'!AF3:AF72,"NA")</f>
        <v>3</v>
      </c>
      <c r="AG73" s="178">
        <f>COUNTIF('Approach Classification'!AG3:AG72,"Yes")</f>
        <v>32</v>
      </c>
      <c r="AH73" s="178">
        <f>COUNTIF('Approach Classification'!AH3:AH72,"Yes")</f>
        <v>35</v>
      </c>
      <c r="AI73" s="178">
        <f>COUNTIF('Approach Classification'!AI3:AI72,"Yes")</f>
        <v>4</v>
      </c>
      <c r="AJ73" s="178">
        <f>COUNTIF('Approach Classification'!AJ3:AJ72,"NA")</f>
        <v>0</v>
      </c>
      <c r="AK73" s="181">
        <f>COUNTIF('Approach Classification'!AK3:AK72,"Yes")</f>
        <v>34</v>
      </c>
      <c r="AL73" s="178">
        <f>COUNTIF('Approach Classification'!AL3:AL72,"Yes")</f>
        <v>3</v>
      </c>
      <c r="AM73" s="178">
        <f>COUNTIF('Approach Classification'!AM3:AM72,"Yes")</f>
        <v>35</v>
      </c>
      <c r="AN73" s="178">
        <f>COUNTIF('Approach Classification'!AN3:AN72,"NA")</f>
        <v>1</v>
      </c>
      <c r="AO73" s="181">
        <f>COUNTIF('Approach Classification'!AO3:AO72,"Yes")</f>
        <v>44</v>
      </c>
      <c r="AP73" s="178">
        <f>COUNTIF('Approach Classification'!AP3:AP72,"Yes")</f>
        <v>24</v>
      </c>
      <c r="AQ73" s="178">
        <f>COUNTIF('Approach Classification'!AQ3:AQ72,"NA")</f>
        <v>1</v>
      </c>
      <c r="AR73" s="181">
        <f>COUNTIF('Approach Classification'!AR3:AR72,"Yes")</f>
        <v>7</v>
      </c>
      <c r="AS73" s="178">
        <f>COUNTIF('Approach Classification'!AS3:AS72,"Yes")</f>
        <v>29</v>
      </c>
      <c r="AT73" s="178">
        <f>COUNTIF('Approach Classification'!AT3:AT72,"Yes")</f>
        <v>33</v>
      </c>
      <c r="AU73" s="178">
        <f>COUNTIF('Approach Classification'!AU3:AU72,"NA")</f>
        <v>1</v>
      </c>
      <c r="AV73" s="181">
        <f>COUNTIF('Approach Classification'!AV3:AV72,"Yes")</f>
        <v>18</v>
      </c>
      <c r="AW73" s="178">
        <f>COUNTIF('Approach Classification'!AW3:AW72,"Yes")</f>
        <v>50</v>
      </c>
      <c r="AX73" s="151">
        <f>COUNTIF('Approach Classification'!AX3:AX72,"NA")</f>
        <v>1</v>
      </c>
      <c r="AY73" s="178">
        <f>COUNTIF('Approach Classification'!AY3:AY72,"Yes")</f>
        <v>18</v>
      </c>
      <c r="AZ73" s="178">
        <f>COUNTIF('Approach Classification'!AZ3:AZ72,"Yes")</f>
        <v>10</v>
      </c>
      <c r="BA73" s="178">
        <f>COUNTIF('Approach Classification'!BA3:BA72,"Yes")</f>
        <v>17</v>
      </c>
      <c r="BB73" s="178">
        <f>COUNTIF('Approach Classification'!BB3:BB72,"Yes")</f>
        <v>25</v>
      </c>
      <c r="BC73" s="178">
        <f>COUNTIF('Approach Classification'!BC3:BC72,"Not supported")</f>
        <v>3</v>
      </c>
      <c r="BD73" s="181">
        <f>COUNTIF('Approach Classification'!BD3:BD72,"Yes")</f>
        <v>5</v>
      </c>
      <c r="BE73" s="181">
        <f>COUNTIF('Approach Classification'!BE3:BE72,"Yes")</f>
        <v>2</v>
      </c>
      <c r="BF73" s="181">
        <f>COUNTIF('Approach Classification'!BF3:BF72,"Yes")</f>
        <v>2</v>
      </c>
      <c r="BG73" s="178">
        <f>COUNTIF('Approach Classification'!BG3:BG72,"Yes")</f>
        <v>2</v>
      </c>
      <c r="BH73" s="178">
        <f>COUNTIF('Approach Classification'!BH3:BH72,"Yes")</f>
        <v>5</v>
      </c>
      <c r="BI73" s="179">
        <f>COUNTIF('Approach Classification'!BI3:BI72,"Not supported")</f>
        <v>54</v>
      </c>
      <c r="BJ73" s="178">
        <f>COUNTIF('Approach Classification'!BJ3:BJ72,"Yes")</f>
        <v>23</v>
      </c>
      <c r="BK73" s="178">
        <f>COUNTIF('Approach Classification'!BK3:BK72,"Yes")</f>
        <v>20</v>
      </c>
      <c r="BL73" s="178">
        <f>COUNTIF('Approach Classification'!BL3:BL72,"Yes")</f>
        <v>15</v>
      </c>
      <c r="BM73" s="178">
        <f>COUNTIF('Approach Classification'!BM3:BM72,"Yes")</f>
        <v>13</v>
      </c>
      <c r="BN73" s="178">
        <f>COUNTIF('Approach Classification'!BN3:BN72,"Not supported")</f>
        <v>12</v>
      </c>
      <c r="BO73" s="181">
        <f>COUNTIF('Approach Classification'!BO3:BO72,"Yes")</f>
        <v>25</v>
      </c>
      <c r="BP73" s="178">
        <f>COUNTIF('Approach Classification'!BP3:BP72,"Yes")</f>
        <v>18</v>
      </c>
      <c r="BQ73" s="178">
        <f>COUNTIF('Approach Classification'!BQ3:BQ72,"Yes")</f>
        <v>14</v>
      </c>
      <c r="BR73" s="178">
        <f>COUNTIF('Approach Classification'!BR3:BR72,"NA")</f>
        <v>12</v>
      </c>
      <c r="BS73" s="181">
        <f>COUNTIF('Approach Classification'!BS3:BS72,"Yes")</f>
        <v>35</v>
      </c>
      <c r="BT73" s="178">
        <f>COUNTIF('Approach Classification'!BT3:BT72,"Yes")</f>
        <v>22</v>
      </c>
      <c r="BU73" s="178">
        <f>COUNTIF('Approach Classification'!BU3:BU72,"NA")</f>
        <v>12</v>
      </c>
      <c r="BV73" s="181">
        <f>COUNTIF('Approach Classification'!BV3:BV72,"Yes")</f>
        <v>17</v>
      </c>
      <c r="BW73" s="178">
        <f>COUNTIF('Approach Classification'!BW3:BW72,"Yes")</f>
        <v>43</v>
      </c>
      <c r="BX73" s="178">
        <f>COUNTIF('Approach Classification'!BX3:BX72,"NA")</f>
        <v>9</v>
      </c>
      <c r="BY73" s="181">
        <f>COUNTIF('Approach Classification'!BY3:BY72,"Yes")</f>
        <v>11</v>
      </c>
      <c r="BZ73" s="178">
        <f>COUNTIF('Approach Classification'!BZ3:BZ72,"Yes")</f>
        <v>13</v>
      </c>
      <c r="CA73" s="178">
        <f>COUNTIF('Approach Classification'!CA3:CA72,"Yes")</f>
        <v>28</v>
      </c>
      <c r="CB73" s="151">
        <f>COUNTIF('Approach Classification'!CB3:CB72,"NA")</f>
        <v>22</v>
      </c>
      <c r="CC73" s="178">
        <f>COUNTIF('Approach Classification'!CC3:CC72,"Yes")</f>
        <v>9</v>
      </c>
      <c r="CD73" s="178">
        <f>COUNTIF('Approach Classification'!CD3:CD72,"Yes")</f>
        <v>50</v>
      </c>
      <c r="CE73" s="178">
        <f>COUNTIF('Approach Classification'!CE3:CE72,"Yes")</f>
        <v>10</v>
      </c>
      <c r="CF73" s="178">
        <f>COUNTIF('Approach Classification'!CF3:CF72,"Yes")</f>
        <v>0</v>
      </c>
      <c r="CG73" s="181">
        <f>COUNTIF('Approach Classification'!CG3:CG72,"Yes")</f>
        <v>53</v>
      </c>
      <c r="CH73" s="178">
        <f>COUNTIF('Approach Classification'!CH3:CH72,"Yes")</f>
        <v>6</v>
      </c>
      <c r="CI73" s="178">
        <f>COUNTIF('Approach Classification'!CI3:CI72,"Yes")</f>
        <v>1</v>
      </c>
      <c r="CJ73" s="178">
        <f>COUNTIF('Approach Classification'!CJ3:CJ72,"NA")</f>
        <v>11</v>
      </c>
      <c r="CK73" s="181">
        <f>COUNTIF('Approach Classification'!CK3:CK72,"Yes")</f>
        <v>33</v>
      </c>
      <c r="CL73" s="178">
        <f>COUNTIF('Approach Classification'!CL3:CL72,"Yes")</f>
        <v>16</v>
      </c>
      <c r="CM73" s="178">
        <f>COUNTIF('Approach Classification'!CM3:CM72,"NA")</f>
        <v>20</v>
      </c>
      <c r="CN73" s="181">
        <f>COUNTIF('Approach Classification'!CN3:CN72,"Yes")</f>
        <v>20</v>
      </c>
      <c r="CO73" s="178">
        <f>COUNTIF('Approach Classification'!CO3:CO72,"Yes")</f>
        <v>22</v>
      </c>
      <c r="CP73" s="178">
        <f>COUNTIF('Approach Classification'!CP3:CP72,"Yes")</f>
        <v>11</v>
      </c>
      <c r="CQ73" s="151">
        <f>COUNTIF('Approach Classification'!CQ3:CQ72,"NA")</f>
        <v>16</v>
      </c>
      <c r="CR73" s="180"/>
      <c r="CS73" s="178"/>
      <c r="CT73" s="151"/>
      <c r="CU73" s="162"/>
    </row>
    <row r="74" spans="1:114" x14ac:dyDescent="0.25">
      <c r="B74" s="1">
        <f>COUNTIF('Approach Classification'!B3:B72,"A*")</f>
        <v>69</v>
      </c>
      <c r="C74" s="1"/>
      <c r="D74" s="152"/>
      <c r="E74" s="152"/>
      <c r="F74" s="152"/>
      <c r="G74" s="152"/>
      <c r="H74" s="152"/>
      <c r="I74" s="152"/>
      <c r="J74" s="152"/>
      <c r="K74" s="166"/>
      <c r="L74" s="152"/>
      <c r="M74" s="166"/>
      <c r="N74" s="222"/>
      <c r="O74" s="222"/>
      <c r="P74" s="22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314"/>
      <c r="BC74" s="152"/>
      <c r="BD74" s="152"/>
      <c r="BE74" s="275"/>
      <c r="BF74" s="277"/>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152"/>
      <c r="CH74" s="152"/>
      <c r="CI74" s="278"/>
      <c r="CJ74" s="152"/>
      <c r="CK74" s="152"/>
      <c r="CL74" s="152"/>
      <c r="CM74" s="152"/>
      <c r="CN74" s="152"/>
      <c r="CO74" s="152"/>
      <c r="CP74" s="152"/>
      <c r="CQ74" s="152"/>
      <c r="CR74" s="152"/>
      <c r="CS74" s="152"/>
      <c r="CT74" s="152"/>
    </row>
    <row r="75" spans="1:114" x14ac:dyDescent="0.25">
      <c r="A75" s="202">
        <v>28</v>
      </c>
      <c r="B75" t="s">
        <v>3741</v>
      </c>
      <c r="C75" s="314">
        <f>SUM(COUNTIFS('Approach Classification'!C3:C72,"Yes",'Approach Classification'!$A$3:$A$72,{"2016","2017","2018","2019","2020","2021"}))</f>
        <v>21</v>
      </c>
      <c r="D75" s="152">
        <f>SUM(COUNTIFS('Approach Classification'!D3:D72,"Yes",'Approach Classification'!$A$3:$A$72,{"2016","2017","2018","2019","2020","2021"}))</f>
        <v>9</v>
      </c>
      <c r="E75" s="202">
        <f>SUM(COUNTIFS('Approach Classification'!E3:E72,"Yes",'Approach Classification'!$A$3:$A$72,{"2016","2017","2018","2019","2020","2021"}))</f>
        <v>11</v>
      </c>
      <c r="F75" s="202">
        <f>SUM(COUNTIFS('Approach Classification'!F3:F72,"Yes",'Approach Classification'!$A$3:$A$72,{"2016","2017","2018","2019","2020","2021"}))</f>
        <v>8</v>
      </c>
      <c r="G75" s="202">
        <f>SUM(COUNTIFS('Approach Classification'!G3:G72,"Yes",'Approach Classification'!$A$3:$A$72,{"2016","2017","2018","2019","2020","2021"}))</f>
        <v>1</v>
      </c>
      <c r="H75" s="202">
        <f>SUM(COUNTIFS('Approach Classification'!H3:H72,"Yes",'Approach Classification'!$A$3:$A$72,{"2016","2017","2018","2019","2020","2021"}))</f>
        <v>6</v>
      </c>
      <c r="I75" s="202">
        <f>SUM(COUNTIFS('Approach Classification'!I3:I72,"Yes",'Approach Classification'!$A$3:$A$72,{"2016","2017","2018","2019","2020","2021"}))</f>
        <v>0</v>
      </c>
      <c r="J75" s="202">
        <f>SUM(COUNTIFS('Approach Classification'!J3:J72,"Yes",'Approach Classification'!$A$3:$A$72,{"2016","2017","2018","2019","2020","2021"}))</f>
        <v>2</v>
      </c>
      <c r="K75" s="166">
        <f>SUM(COUNTIFS('Approach Classification'!K3:K72,"Yes",'Approach Classification'!$A$3:$A$72,{"2016","2017","2018","2019","2020","2021"}))</f>
        <v>27</v>
      </c>
      <c r="L75" s="202">
        <f>SUM(COUNTIFS('Approach Classification'!L3:L72,"Yes",'Approach Classification'!$A$3:$A$72,{"2016","2017","2018","2019","2020","2021"}))</f>
        <v>8</v>
      </c>
      <c r="M75" s="166">
        <f>SUM(COUNTIFS('Approach Classification'!M3:M72,"Yes",'Approach Classification'!$A$3:$A$72,{"2016","2017","2018","2019","2020","2021"}))</f>
        <v>13</v>
      </c>
      <c r="N75" s="222">
        <f>SUM(COUNTIFS('Approach Classification'!N3:N72,"Yes",'Approach Classification'!$A$3:$A$72,{"2016","2017","2018","2019","2020"}))</f>
        <v>13</v>
      </c>
      <c r="O75" s="222">
        <f>SUM(COUNTIFS('Approach Classification'!O3:O72,"Yes",'Approach Classification'!$A$3:$A$72,{"2016","2017","2018","2019","2020"}))</f>
        <v>1</v>
      </c>
      <c r="P75" s="222">
        <f>SUM(COUNTIFS('Approach Classification'!P3:P72,"Yes",'Approach Classification'!$A$3:$A$72,{"2016","2017","2018","2019","2020"}))</f>
        <v>3</v>
      </c>
      <c r="Q75" s="202">
        <f>SUM(COUNTIFS('Approach Classification'!Q3:Q72,"NA",'Approach Classification'!$A$3:$A$72,{"2016","2017","2018","2019","2020"}))</f>
        <v>0</v>
      </c>
      <c r="R75" s="202">
        <f>SUM(COUNTIFS('Approach Classification'!R3:R72,"Yes",'Approach Classification'!$A$3:$A$72,{"2016","2017","2018","2019","2020","2021"}))</f>
        <v>4</v>
      </c>
      <c r="S75" s="202">
        <f>SUM(COUNTIFS('Approach Classification'!S3:S72,"Yes",'Approach Classification'!$A$3:$A$72,{"2016","2017","2018","2019","2020","2021"}))</f>
        <v>25</v>
      </c>
      <c r="T75" s="202">
        <f>SUM(COUNTIFS('Approach Classification'!T3:T72,"Yes",'Approach Classification'!$A$3:$A$72,{"2016","2017","2018","2019","2020"}))</f>
        <v>0</v>
      </c>
      <c r="U75" s="202">
        <f>SUM(COUNTIFS('Approach Classification'!U3:U72,"Yes",'Approach Classification'!$A$3:$A$72,{"2016","2017","2018","2019","2020","2021"}))</f>
        <v>9</v>
      </c>
      <c r="V75" s="202">
        <f>SUM(COUNTIFS('Approach Classification'!V3:V72,"Yes",'Approach Classification'!$A$3:$A$72,{"2016","2017","2018","2019","2020","2021"}))</f>
        <v>20</v>
      </c>
      <c r="W75" s="202">
        <f>SUM(COUNTIFS('Approach Classification'!W3:W72,"Yes",'Approach Classification'!$A$3:$A$72,{"2016","2017","2018","2019","2020"}))</f>
        <v>0</v>
      </c>
      <c r="X75" s="202">
        <f>SUM(COUNTIFS('Approach Classification'!X3:X72,"Yes",'Approach Classification'!$A$3:$A$72,{"2016","2017","2018","2019","2020","2021"}))</f>
        <v>22</v>
      </c>
      <c r="Y75" s="202">
        <f>SUM(COUNTIFS('Approach Classification'!Y3:Y72,"Yes",'Approach Classification'!$A$3:$A$72,{"2016","2017","2018","2019","2020"}))</f>
        <v>7</v>
      </c>
      <c r="Z75" s="202">
        <f>SUM(COUNTIFS('Approach Classification'!Z3:Z72,"Yes",'Approach Classification'!$A$3:$A$72,{"2016","2017","2018","2019","2020"}))</f>
        <v>0</v>
      </c>
      <c r="AA75" s="202">
        <f>SUM(COUNTIFS('Approach Classification'!AA3:AA72,"Yes",'Approach Classification'!$A$3:$A$72,{"2016","2017","2018","2019","2020"}))</f>
        <v>26</v>
      </c>
      <c r="AB75" s="202">
        <f>SUM(COUNTIFS('Approach Classification'!AB3:AB72,"Yes",'Approach Classification'!$A$3:$A$72,{"2016","2017","2018","2019","2020"}))</f>
        <v>4</v>
      </c>
      <c r="AC75" s="202">
        <f>SUM(COUNTIFS('Approach Classification'!AC3:AC72,"Yes",'Approach Classification'!$A$3:$A$72,{"2016","2017","2018","2019","2020"}))</f>
        <v>0</v>
      </c>
      <c r="AD75" s="202">
        <f>SUM(COUNTIFS('Approach Classification'!AD3:AD72,"Yes",'Approach Classification'!$A$3:$A$72,{"2016","2017","2018","2019","2020"}))</f>
        <v>11</v>
      </c>
      <c r="AE75" s="202">
        <f>SUM(COUNTIFS('Approach Classification'!AE3:AE72,"Yes",'Approach Classification'!$A$3:$A$72,{"2016","2017","2018","2019","2020"}))</f>
        <v>21</v>
      </c>
      <c r="AF75" s="202">
        <f>SUM(COUNTIFS('Approach Classification'!AF3:AF72,"NA",'Approach Classification'!$A$3:$A$72,{"2016","2017","2018","2019","2020"}))</f>
        <v>2</v>
      </c>
      <c r="AG75" s="202">
        <f>SUM(COUNTIFS('Approach Classification'!AG3:AG72,"Yes",'Approach Classification'!$A$3:$A$72,{"2016","2017","2018","2019","2020"}))</f>
        <v>12</v>
      </c>
      <c r="AH75" s="202">
        <f>SUM(COUNTIFS('Approach Classification'!AH3:AH72,"Yes",'Approach Classification'!$A$3:$A$72,{"2016","2017","2018","2019","2020"}))</f>
        <v>15</v>
      </c>
      <c r="AI75" s="202">
        <f>SUM(COUNTIFS('Approach Classification'!AI3:AI72,"Yes",'Approach Classification'!$A$3:$A$72,{"2016","2017","2018","2019","2020"}))</f>
        <v>3</v>
      </c>
      <c r="AJ75" s="202">
        <f>SUM(COUNTIFS('Approach Classification'!AJ3:AJ72,"NA",'Approach Classification'!$A$3:$A$72,{"2016","2017","2018","2019","2020"}))</f>
        <v>0</v>
      </c>
      <c r="AK75" s="202">
        <f>SUM(COUNTIFS('Approach Classification'!AK3:AK72,"Yes",'Approach Classification'!$A$3:$A$72,{"2016","2017","2018","2019","2020"}))</f>
        <v>16</v>
      </c>
      <c r="AL75" s="202">
        <f>SUM(COUNTIFS('Approach Classification'!AL3:AL72,"Yes",'Approach Classification'!$A$3:$A$72,{"2016","2017","2018","2019","2020"}))</f>
        <v>1</v>
      </c>
      <c r="AM75" s="202">
        <f>SUM(COUNTIFS('Approach Classification'!AM3:AM72,"Yes",'Approach Classification'!$A$3:$A$72,{"2016","2017","2018","2019","2020"}))</f>
        <v>13</v>
      </c>
      <c r="AN75" s="202">
        <f>SUM(COUNTIFS('Approach Classification'!AN3:AN72,"NA",'Approach Classification'!$A$3:$A$72,{"2016","2017","2018","2019","2020"}))</f>
        <v>0</v>
      </c>
      <c r="AO75" s="202">
        <f>SUM(COUNTIFS('Approach Classification'!AO3:AO72,"Yes",'Approach Classification'!$A$3:$A$72,{"2016","2017","2018","2019","2020"}))</f>
        <v>20</v>
      </c>
      <c r="AP75" s="202">
        <f>SUM(COUNTIFS('Approach Classification'!AP3:AP72,"Yes",'Approach Classification'!$A$3:$A$72,{"2016","2017","2018","2019","2020"}))</f>
        <v>9</v>
      </c>
      <c r="AQ75" s="202">
        <f>SUM(COUNTIFS('Approach Classification'!AQ3:AQ72,"NA",'Approach Classification'!$A$3:$A$72,{"2016","2017","2018","2019","2020"}))</f>
        <v>0</v>
      </c>
      <c r="AR75" s="202">
        <f>SUM(COUNTIFS('Approach Classification'!AR3:AR72,"Yes",'Approach Classification'!$A$3:$A$72,{"2016","2017","2018","2019","2020"}))</f>
        <v>5</v>
      </c>
      <c r="AS75" s="202">
        <f>SUM(COUNTIFS('Approach Classification'!AS3:AS72,"Yes",'Approach Classification'!$A$3:$A$72,{"2016","2017","2018","2019","2020"}))</f>
        <v>15</v>
      </c>
      <c r="AT75" s="202">
        <f>SUM(COUNTIFS('Approach Classification'!AT3:AT72,"Yes",'Approach Classification'!$A$3:$A$72,{"2016","2017","2018","2019","2020"}))</f>
        <v>9</v>
      </c>
      <c r="AU75" s="202">
        <f>SUM(COUNTIFS('Approach Classification'!AU3:AU72,"NA",'Approach Classification'!$A$3:$A$72,{"2016","2017","2018","2019","2020"}))</f>
        <v>0</v>
      </c>
      <c r="AV75" s="202">
        <f>SUM(COUNTIFS('Approach Classification'!AV3:AV72,"Yes",'Approach Classification'!$A$3:$A$72,{"2016","2017","2018","2019","2020"}))</f>
        <v>13</v>
      </c>
      <c r="AW75" s="202">
        <f>SUM(COUNTIFS('Approach Classification'!AW3:AW72,"Yes",'Approach Classification'!$A$3:$A$72,{"2016","2017","2018","2019","2020"}))</f>
        <v>16</v>
      </c>
      <c r="AX75" s="202">
        <f>SUM(COUNTIFS('Approach Classification'!AX3:AX72,"NA",'Approach Classification'!$A$3:$A$72,{"2016","2017","2018","2019","2020"}))</f>
        <v>0</v>
      </c>
      <c r="AY75" s="202">
        <f>SUM(COUNTIFS('Approach Classification'!AY3:AY72,"Yes",'Approach Classification'!$A$3:$A$72,{"2016","2017","2018","2019","2020"}))</f>
        <v>8</v>
      </c>
      <c r="AZ75" s="202">
        <f>SUM(COUNTIFS('Approach Classification'!AZ3:AZ72,"Yes",'Approach Classification'!$A$3:$A$72,{"2016","2017","2018","2019","2020"}))</f>
        <v>5</v>
      </c>
      <c r="BA75" s="202">
        <f>SUM(COUNTIFS('Approach Classification'!BA3:BA72,"Yes",'Approach Classification'!$A$3:$A$72,{"2016","2017","2018","2019","2020"}))</f>
        <v>6</v>
      </c>
      <c r="BB75" s="314">
        <f>SUM(COUNTIFS('Approach Classification'!BB3:BB72,"Yes",'Approach Classification'!$A$3:$A$72,{"2016","2017","2018","2019","2020"}))</f>
        <v>11</v>
      </c>
      <c r="BC75" s="202">
        <f>SUM(COUNTIFS('Approach Classification'!BC3:BC72,"Not Supported",'Approach Classification'!$A$3:$A$72,{"2016","2017","2018","2019","2020"}))</f>
        <v>2</v>
      </c>
      <c r="BD75" s="202">
        <f>SUM(COUNTIFS('Approach Classification'!BD3:BD72,"Yes",'Approach Classification'!$A$3:$A$72,{"2016","2017","2018","2019","2020"}))</f>
        <v>4</v>
      </c>
      <c r="BE75" s="303">
        <f>SUM(COUNTIFS('Approach Classification'!BE3:BE72,"Yes",'Approach Classification'!$A$3:$A$72,{"2016","2017","2018","2019","2020"}))</f>
        <v>2</v>
      </c>
      <c r="BF75" s="303">
        <f>SUM(COUNTIFS('Approach Classification'!BF3:BF72,"Yes",'Approach Classification'!$A$3:$A$72,{"2016","2017","2018","2019","2020"}))</f>
        <v>2</v>
      </c>
      <c r="BG75" s="202">
        <f>SUM(COUNTIFS('Approach Classification'!BG3:BG72,"Yes",'Approach Classification'!$A$3:$A$72,{"2016","2017","2018","2019","2020"}))</f>
        <v>1</v>
      </c>
      <c r="BH75" s="202">
        <f>SUM(COUNTIFS('Approach Classification'!BH3:BH72,"Yes",'Approach Classification'!$A$3:$A$72,{"2016","2017","2018","2019","2020"}))</f>
        <v>3</v>
      </c>
      <c r="BI75" s="202">
        <f>SUM(COUNTIFS('Approach Classification'!BI3:BI72,"Not Supported",'Approach Classification'!$A$3:$A$72,{"2016","2017","2018","2019","2020"}))</f>
        <v>18</v>
      </c>
      <c r="BJ75" s="202">
        <f>SUM(COUNTIFS('Approach Classification'!BJ3:BJ72,"Yes",'Approach Classification'!$A$3:$A$72,{"2016","2017","2018","2019","2020"}))</f>
        <v>11</v>
      </c>
      <c r="BK75" s="202">
        <f>SUM(COUNTIFS('Approach Classification'!BK3:BK72,"Yes",'Approach Classification'!$A$3:$A$72,{"2016","2017","2018","2019","2020"}))</f>
        <v>4</v>
      </c>
      <c r="BL75" s="202">
        <f>SUM(COUNTIFS('Approach Classification'!BL3:BL72,"Yes",'Approach Classification'!$A$3:$A$72,{"2016","2017","2018","2019","2020"}))</f>
        <v>5</v>
      </c>
      <c r="BM75" s="202">
        <f>SUM(COUNTIFS('Approach Classification'!BM3:BM72,"Yes",'Approach Classification'!$A$3:$A$72,{"2016","2017","2018","2019","2020"}))</f>
        <v>4</v>
      </c>
      <c r="BN75" s="202">
        <f>SUM(COUNTIFS('Approach Classification'!BN3:BN72,"Not Supported",'Approach Classification'!$A$3:$A$72,{"2016","2017","2018","2019","2020"}))</f>
        <v>8</v>
      </c>
      <c r="BO75" s="202">
        <f>SUM(COUNTIFS('Approach Classification'!BO3:BO72,"Yes",'Approach Classification'!$A$3:$A$72,{"2016","2017","2018","2019","2020"}))</f>
        <v>9</v>
      </c>
      <c r="BP75" s="202">
        <f>SUM(COUNTIFS('Approach Classification'!BP3:BP72,"Yes",'Approach Classification'!$A$3:$A$72,{"2016","2017","2018","2019","2020"}))</f>
        <v>5</v>
      </c>
      <c r="BQ75" s="202">
        <f>SUM(COUNTIFS('Approach Classification'!BQ3:BQ72,"Yes",'Approach Classification'!$A$3:$A$72,{"2016","2017","2018","2019","2020"}))</f>
        <v>7</v>
      </c>
      <c r="BR75" s="202">
        <f>SUM(COUNTIFS('Approach Classification'!BR3:BR72,"NA",'Approach Classification'!$A$3:$A$72,{"2016","2017","2018","2019","2020"}))</f>
        <v>8</v>
      </c>
      <c r="BS75" s="202">
        <f>SUM(COUNTIFS('Approach Classification'!BS3:BS72,"Yes",'Approach Classification'!$A$3:$A$72,{"2016","2017","2018","2019","2020"}))</f>
        <v>14</v>
      </c>
      <c r="BT75" s="202">
        <f>SUM(COUNTIFS('Approach Classification'!BT3:BT72,"Yes",'Approach Classification'!$A$3:$A$72,{"2016","2017","2018","2019","2020"}))</f>
        <v>7</v>
      </c>
      <c r="BU75" s="202">
        <f>SUM(COUNTIFS('Approach Classification'!BU3:BU72,"NA",'Approach Classification'!$A$3:$A$72,{"2016","2017","2018","2019","2020"}))</f>
        <v>8</v>
      </c>
      <c r="BV75" s="202">
        <f>SUM(COUNTIFS('Approach Classification'!BV3:BV72,"Yes",'Approach Classification'!$A$3:$A$72,{"2016","2017","2018","2019","2020"}))</f>
        <v>5</v>
      </c>
      <c r="BW75" s="202">
        <f>SUM(COUNTIFS('Approach Classification'!BW3:BW72,"Yes",'Approach Classification'!$A$3:$A$72,{"2016","2017","2018","2019","2020"}))</f>
        <v>20</v>
      </c>
      <c r="BX75" s="202">
        <f>SUM(COUNTIFS('Approach Classification'!BX3:BX72,"NA",'Approach Classification'!$A$3:$A$72,{"2016","2017","2018","2019","2020"}))</f>
        <v>4</v>
      </c>
      <c r="BY75" s="202">
        <f>SUM(COUNTIFS('Approach Classification'!BY3:BY72,"Yes",'Approach Classification'!$A$3:$A$72,{"2016","2017","2018","2019","2020"}))</f>
        <v>5</v>
      </c>
      <c r="BZ75" s="202">
        <f>SUM(COUNTIFS('Approach Classification'!BZ3:BZ72,"Yes",'Approach Classification'!$A$3:$A$72,{"2016","2017","2018","2019","2020"}))</f>
        <v>5</v>
      </c>
      <c r="CA75" s="202">
        <f>SUM(COUNTIFS('Approach Classification'!CA3:CA72,"Yes",'Approach Classification'!$A$3:$A$72,{"2016","2017","2018","2019","2020"}))</f>
        <v>6</v>
      </c>
      <c r="CB75" s="202">
        <f>SUM(COUNTIFS('Approach Classification'!CB3:CB72,"NA",'Approach Classification'!$A$3:$A$72,{"2016","2017","2018","2019","2020"}))</f>
        <v>13</v>
      </c>
      <c r="CC75" s="202">
        <f>SUM(COUNTIFS('Approach Classification'!CC3:CC72,"Yes",'Approach Classification'!$A$3:$A$72,{"2016","2017","2018","2019","2020"}))</f>
        <v>6</v>
      </c>
      <c r="CD75" s="202">
        <f>SUM(COUNTIFS('Approach Classification'!CD3:CD72,"Yes",'Approach Classification'!$A$3:$A$72,{"2016","2017","2018","2019","2020"}))</f>
        <v>18</v>
      </c>
      <c r="CE75" s="202">
        <f>SUM(COUNTIFS('Approach Classification'!CE3:CE72,"Yes",'Approach Classification'!$A$3:$A$72,{"2016","2017","2018","2019","2020"}))</f>
        <v>5</v>
      </c>
      <c r="CF75" s="202">
        <f>SUM(COUNTIFS('Approach Classification'!CF3:CF72,"Yes",'Approach Classification'!$A$3:$A$72,{"2016","2017","2018","2019","2020"}))</f>
        <v>0</v>
      </c>
      <c r="CG75" s="202">
        <f>SUM(COUNTIFS('Approach Classification'!CG3:CG72,"Yes",'Approach Classification'!$A$3:$A$72,{"2016","2017","2018","2019","2020"}))</f>
        <v>19</v>
      </c>
      <c r="CH75" s="202">
        <f>SUM(COUNTIFS('Approach Classification'!CH3:CH72,"Yes",'Approach Classification'!$A$3:$A$72,{"2016","2017","2018","2019","2020"}))</f>
        <v>5</v>
      </c>
      <c r="CI75" s="313">
        <f>SUM(COUNTIFS('Approach Classification'!CI3:CI72,"Yes",'Approach Classification'!$A$3:$A$72,{"2016","2017","2018","2019","2020"}))</f>
        <v>1</v>
      </c>
      <c r="CJ75" s="202">
        <f>SUM(COUNTIFS('Approach Classification'!CJ3:CJ72,"NA",'Approach Classification'!$A$3:$A$72,{"2016","2017","2018","2019","2020"}))</f>
        <v>6</v>
      </c>
      <c r="CK75" s="202">
        <f>SUM(COUNTIFS('Approach Classification'!CK3:CK72,"Yes",'Approach Classification'!$A$3:$A$72,{"2016","2017","2018","2019","2020"}))</f>
        <v>13</v>
      </c>
      <c r="CL75" s="202">
        <f>SUM(COUNTIFS('Approach Classification'!CL3:CL72,"Yes",'Approach Classification'!$A$3:$A$72,{"2016","2017","2018","2019","2020"}))</f>
        <v>9</v>
      </c>
      <c r="CM75" s="202">
        <f>SUM(COUNTIFS('Approach Classification'!CM3:CM72,"NA",'Approach Classification'!$A$3:$A$72,{"2016","2017","2018","2019","2020"}))</f>
        <v>7</v>
      </c>
      <c r="CN75" s="202">
        <f>SUM(COUNTIFS('Approach Classification'!CN3:CN72,"Yes",'Approach Classification'!$A$3:$A$72,{"2016","2017","2018","2019","2020"}))</f>
        <v>18</v>
      </c>
      <c r="CO75" s="202">
        <f>SUM(COUNTIFS('Approach Classification'!CO3:CO72,"Yes",'Approach Classification'!$A$3:$A$72,{"2016","2017","2018","2019","2020"}))</f>
        <v>5</v>
      </c>
      <c r="CP75" s="202">
        <f>SUM(COUNTIFS('Approach Classification'!CP3:CP72,"Yes",'Approach Classification'!$A$3:$A$72,{"2016","2017","2018","2019","2020"}))</f>
        <v>0</v>
      </c>
      <c r="CQ75" s="202">
        <f>SUM(COUNTIFS('Approach Classification'!CQ3:CQ72,"NA",'Approach Classification'!$A$3:$A$72,{"2016","2017","2018","2019","2020"}))</f>
        <v>6</v>
      </c>
      <c r="CR75" s="152"/>
      <c r="CS75" s="152"/>
      <c r="CT75" s="152"/>
    </row>
    <row r="76" spans="1:114" x14ac:dyDescent="0.25">
      <c r="A76" s="202" t="s">
        <v>2839</v>
      </c>
      <c r="B76" s="213" t="s">
        <v>3740</v>
      </c>
      <c r="C76" s="212">
        <f>C75/$B$74</f>
        <v>0.30434782608695654</v>
      </c>
      <c r="D76" s="212">
        <f>D75/$B$74</f>
        <v>0.13043478260869565</v>
      </c>
      <c r="E76" s="212">
        <f>E75/$B$74</f>
        <v>0.15942028985507245</v>
      </c>
      <c r="F76" s="212">
        <f t="shared" ref="F76:BW76" si="0">F75/$B$74</f>
        <v>0.11594202898550725</v>
      </c>
      <c r="G76" s="212">
        <f t="shared" si="0"/>
        <v>1.4492753623188406E-2</v>
      </c>
      <c r="H76" s="212">
        <f t="shared" si="0"/>
        <v>8.6956521739130432E-2</v>
      </c>
      <c r="I76" s="212">
        <f t="shared" si="0"/>
        <v>0</v>
      </c>
      <c r="J76" s="212">
        <f t="shared" si="0"/>
        <v>2.8985507246376812E-2</v>
      </c>
      <c r="K76" s="307">
        <f t="shared" si="0"/>
        <v>0.39130434782608697</v>
      </c>
      <c r="L76" s="212">
        <f t="shared" si="0"/>
        <v>0.11594202898550725</v>
      </c>
      <c r="M76" s="307">
        <f t="shared" si="0"/>
        <v>0.18840579710144928</v>
      </c>
      <c r="N76" s="212">
        <f t="shared" si="0"/>
        <v>0.18840579710144928</v>
      </c>
      <c r="O76" s="212">
        <f t="shared" si="0"/>
        <v>1.4492753623188406E-2</v>
      </c>
      <c r="P76" s="212">
        <f t="shared" si="0"/>
        <v>4.3478260869565216E-2</v>
      </c>
      <c r="Q76" s="212">
        <f t="shared" si="0"/>
        <v>0</v>
      </c>
      <c r="R76" s="212">
        <f t="shared" si="0"/>
        <v>5.7971014492753624E-2</v>
      </c>
      <c r="S76" s="212">
        <f t="shared" si="0"/>
        <v>0.36231884057971014</v>
      </c>
      <c r="T76" s="212">
        <f t="shared" si="0"/>
        <v>0</v>
      </c>
      <c r="U76" s="212">
        <f t="shared" si="0"/>
        <v>0.13043478260869565</v>
      </c>
      <c r="V76" s="212">
        <f t="shared" si="0"/>
        <v>0.28985507246376813</v>
      </c>
      <c r="W76" s="212">
        <f t="shared" si="0"/>
        <v>0</v>
      </c>
      <c r="X76" s="212">
        <f t="shared" si="0"/>
        <v>0.3188405797101449</v>
      </c>
      <c r="Y76" s="212">
        <f t="shared" si="0"/>
        <v>0.10144927536231885</v>
      </c>
      <c r="Z76" s="212">
        <f t="shared" si="0"/>
        <v>0</v>
      </c>
      <c r="AA76" s="212">
        <f t="shared" si="0"/>
        <v>0.37681159420289856</v>
      </c>
      <c r="AB76" s="212">
        <f t="shared" si="0"/>
        <v>5.7971014492753624E-2</v>
      </c>
      <c r="AC76" s="212">
        <f t="shared" si="0"/>
        <v>0</v>
      </c>
      <c r="AD76" s="212">
        <f t="shared" si="0"/>
        <v>0.15942028985507245</v>
      </c>
      <c r="AE76" s="212">
        <f t="shared" si="0"/>
        <v>0.30434782608695654</v>
      </c>
      <c r="AF76" s="212">
        <f t="shared" si="0"/>
        <v>2.8985507246376812E-2</v>
      </c>
      <c r="AG76" s="212">
        <f t="shared" si="0"/>
        <v>0.17391304347826086</v>
      </c>
      <c r="AH76" s="212">
        <f t="shared" si="0"/>
        <v>0.21739130434782608</v>
      </c>
      <c r="AI76" s="212">
        <f t="shared" si="0"/>
        <v>4.3478260869565216E-2</v>
      </c>
      <c r="AJ76" s="212">
        <f t="shared" si="0"/>
        <v>0</v>
      </c>
      <c r="AK76" s="212">
        <f t="shared" si="0"/>
        <v>0.2318840579710145</v>
      </c>
      <c r="AL76" s="212">
        <f t="shared" si="0"/>
        <v>1.4492753623188406E-2</v>
      </c>
      <c r="AM76" s="212">
        <f t="shared" si="0"/>
        <v>0.18840579710144928</v>
      </c>
      <c r="AN76" s="212">
        <f t="shared" si="0"/>
        <v>0</v>
      </c>
      <c r="AO76" s="212">
        <f t="shared" si="0"/>
        <v>0.28985507246376813</v>
      </c>
      <c r="AP76" s="212">
        <f t="shared" si="0"/>
        <v>0.13043478260869565</v>
      </c>
      <c r="AQ76" s="212">
        <f t="shared" si="0"/>
        <v>0</v>
      </c>
      <c r="AR76" s="212">
        <f t="shared" si="0"/>
        <v>7.2463768115942032E-2</v>
      </c>
      <c r="AS76" s="212">
        <f t="shared" si="0"/>
        <v>0.21739130434782608</v>
      </c>
      <c r="AT76" s="212">
        <f t="shared" si="0"/>
        <v>0.13043478260869565</v>
      </c>
      <c r="AU76" s="212">
        <f t="shared" si="0"/>
        <v>0</v>
      </c>
      <c r="AV76" s="212">
        <f t="shared" si="0"/>
        <v>0.18840579710144928</v>
      </c>
      <c r="AW76" s="212">
        <f t="shared" si="0"/>
        <v>0.2318840579710145</v>
      </c>
      <c r="AX76" s="212">
        <f t="shared" si="0"/>
        <v>0</v>
      </c>
      <c r="AY76" s="212">
        <f t="shared" si="0"/>
        <v>0.11594202898550725</v>
      </c>
      <c r="AZ76" s="212">
        <f t="shared" si="0"/>
        <v>7.2463768115942032E-2</v>
      </c>
      <c r="BA76" s="212">
        <f t="shared" si="0"/>
        <v>8.6956521739130432E-2</v>
      </c>
      <c r="BB76" s="212">
        <f t="shared" si="0"/>
        <v>0.15942028985507245</v>
      </c>
      <c r="BC76" s="212">
        <f t="shared" si="0"/>
        <v>2.8985507246376812E-2</v>
      </c>
      <c r="BD76" s="212">
        <f t="shared" si="0"/>
        <v>5.7971014492753624E-2</v>
      </c>
      <c r="BE76" s="212">
        <f t="shared" si="0"/>
        <v>2.8985507246376812E-2</v>
      </c>
      <c r="BF76" s="212">
        <f t="shared" si="0"/>
        <v>2.8985507246376812E-2</v>
      </c>
      <c r="BG76" s="212">
        <f t="shared" si="0"/>
        <v>1.4492753623188406E-2</v>
      </c>
      <c r="BH76" s="212">
        <f t="shared" si="0"/>
        <v>4.3478260869565216E-2</v>
      </c>
      <c r="BI76" s="212">
        <f t="shared" si="0"/>
        <v>0.2608695652173913</v>
      </c>
      <c r="BJ76" s="212">
        <f t="shared" si="0"/>
        <v>0.15942028985507245</v>
      </c>
      <c r="BK76" s="212">
        <f t="shared" si="0"/>
        <v>5.7971014492753624E-2</v>
      </c>
      <c r="BL76" s="212">
        <f t="shared" si="0"/>
        <v>7.2463768115942032E-2</v>
      </c>
      <c r="BM76" s="212">
        <f t="shared" si="0"/>
        <v>5.7971014492753624E-2</v>
      </c>
      <c r="BN76" s="212">
        <f t="shared" si="0"/>
        <v>0.11594202898550725</v>
      </c>
      <c r="BO76" s="212">
        <f t="shared" si="0"/>
        <v>0.13043478260869565</v>
      </c>
      <c r="BP76" s="212">
        <f t="shared" si="0"/>
        <v>7.2463768115942032E-2</v>
      </c>
      <c r="BQ76" s="212">
        <f t="shared" si="0"/>
        <v>0.10144927536231885</v>
      </c>
      <c r="BR76" s="212">
        <f t="shared" si="0"/>
        <v>0.11594202898550725</v>
      </c>
      <c r="BS76" s="212">
        <f t="shared" si="0"/>
        <v>0.20289855072463769</v>
      </c>
      <c r="BT76" s="212">
        <f t="shared" si="0"/>
        <v>0.10144927536231885</v>
      </c>
      <c r="BU76" s="212">
        <f t="shared" si="0"/>
        <v>0.11594202898550725</v>
      </c>
      <c r="BV76" s="212">
        <f t="shared" si="0"/>
        <v>7.2463768115942032E-2</v>
      </c>
      <c r="BW76" s="212">
        <f t="shared" si="0"/>
        <v>0.28985507246376813</v>
      </c>
      <c r="BX76" s="212">
        <f t="shared" ref="BX76:CQ76" si="1">BX75/$B$74</f>
        <v>5.7971014492753624E-2</v>
      </c>
      <c r="BY76" s="212">
        <f t="shared" si="1"/>
        <v>7.2463768115942032E-2</v>
      </c>
      <c r="BZ76" s="212">
        <f t="shared" si="1"/>
        <v>7.2463768115942032E-2</v>
      </c>
      <c r="CA76" s="212">
        <f t="shared" si="1"/>
        <v>8.6956521739130432E-2</v>
      </c>
      <c r="CB76" s="212">
        <f t="shared" si="1"/>
        <v>0.18840579710144928</v>
      </c>
      <c r="CC76" s="212">
        <f t="shared" si="1"/>
        <v>8.6956521739130432E-2</v>
      </c>
      <c r="CD76" s="212">
        <f t="shared" si="1"/>
        <v>0.2608695652173913</v>
      </c>
      <c r="CE76" s="212">
        <f t="shared" si="1"/>
        <v>7.2463768115942032E-2</v>
      </c>
      <c r="CF76" s="212">
        <f t="shared" si="1"/>
        <v>0</v>
      </c>
      <c r="CG76" s="212">
        <f t="shared" si="1"/>
        <v>0.27536231884057971</v>
      </c>
      <c r="CH76" s="212">
        <f t="shared" si="1"/>
        <v>7.2463768115942032E-2</v>
      </c>
      <c r="CI76" s="212">
        <f t="shared" si="1"/>
        <v>1.4492753623188406E-2</v>
      </c>
      <c r="CJ76" s="212">
        <f t="shared" si="1"/>
        <v>8.6956521739130432E-2</v>
      </c>
      <c r="CK76" s="212">
        <f t="shared" si="1"/>
        <v>0.18840579710144928</v>
      </c>
      <c r="CL76" s="212">
        <f t="shared" si="1"/>
        <v>0.13043478260869565</v>
      </c>
      <c r="CM76" s="212">
        <f t="shared" si="1"/>
        <v>0.10144927536231885</v>
      </c>
      <c r="CN76" s="212">
        <f t="shared" si="1"/>
        <v>0.2608695652173913</v>
      </c>
      <c r="CO76" s="212">
        <f t="shared" si="1"/>
        <v>7.2463768115942032E-2</v>
      </c>
      <c r="CP76" s="212">
        <f t="shared" si="1"/>
        <v>0</v>
      </c>
      <c r="CQ76" s="212">
        <f t="shared" si="1"/>
        <v>8.6956521739130432E-2</v>
      </c>
      <c r="CR76" s="152"/>
      <c r="CS76" s="152"/>
      <c r="CT76" s="152"/>
    </row>
    <row r="77" spans="1:114" x14ac:dyDescent="0.25">
      <c r="A77" t="s">
        <v>2840</v>
      </c>
      <c r="B77" s="217" t="s">
        <v>3743</v>
      </c>
      <c r="C77" s="212">
        <f>C75/$A$75</f>
        <v>0.75</v>
      </c>
      <c r="D77" s="212">
        <f>D75/$A$75</f>
        <v>0.32142857142857145</v>
      </c>
      <c r="E77" s="212">
        <f t="shared" ref="E77:BV77" si="2">E75/$A$75</f>
        <v>0.39285714285714285</v>
      </c>
      <c r="F77" s="212">
        <f t="shared" si="2"/>
        <v>0.2857142857142857</v>
      </c>
      <c r="G77" s="212">
        <f t="shared" si="2"/>
        <v>3.5714285714285712E-2</v>
      </c>
      <c r="H77" s="212">
        <f t="shared" si="2"/>
        <v>0.21428571428571427</v>
      </c>
      <c r="I77" s="212">
        <f t="shared" si="2"/>
        <v>0</v>
      </c>
      <c r="J77" s="212">
        <f t="shared" si="2"/>
        <v>7.1428571428571425E-2</v>
      </c>
      <c r="K77" s="307">
        <f t="shared" si="2"/>
        <v>0.9642857142857143</v>
      </c>
      <c r="L77" s="212">
        <f t="shared" si="2"/>
        <v>0.2857142857142857</v>
      </c>
      <c r="M77" s="307">
        <f t="shared" si="2"/>
        <v>0.4642857142857143</v>
      </c>
      <c r="N77" s="212">
        <f t="shared" si="2"/>
        <v>0.4642857142857143</v>
      </c>
      <c r="O77" s="212">
        <f t="shared" si="2"/>
        <v>3.5714285714285712E-2</v>
      </c>
      <c r="P77" s="212">
        <f t="shared" si="2"/>
        <v>0.10714285714285714</v>
      </c>
      <c r="Q77" s="212">
        <f t="shared" si="2"/>
        <v>0</v>
      </c>
      <c r="R77" s="212">
        <f t="shared" si="2"/>
        <v>0.14285714285714285</v>
      </c>
      <c r="S77" s="212">
        <f t="shared" si="2"/>
        <v>0.8928571428571429</v>
      </c>
      <c r="T77" s="212">
        <f t="shared" si="2"/>
        <v>0</v>
      </c>
      <c r="U77" s="212">
        <f t="shared" si="2"/>
        <v>0.32142857142857145</v>
      </c>
      <c r="V77" s="212">
        <f t="shared" si="2"/>
        <v>0.7142857142857143</v>
      </c>
      <c r="W77" s="212">
        <f t="shared" si="2"/>
        <v>0</v>
      </c>
      <c r="X77" s="212">
        <f t="shared" si="2"/>
        <v>0.7857142857142857</v>
      </c>
      <c r="Y77" s="212">
        <f t="shared" si="2"/>
        <v>0.25</v>
      </c>
      <c r="Z77" s="212">
        <f t="shared" si="2"/>
        <v>0</v>
      </c>
      <c r="AA77" s="212">
        <f t="shared" si="2"/>
        <v>0.9285714285714286</v>
      </c>
      <c r="AB77" s="212">
        <f t="shared" si="2"/>
        <v>0.14285714285714285</v>
      </c>
      <c r="AC77" s="212">
        <f t="shared" si="2"/>
        <v>0</v>
      </c>
      <c r="AD77" s="212">
        <f t="shared" si="2"/>
        <v>0.39285714285714285</v>
      </c>
      <c r="AE77" s="212">
        <f t="shared" si="2"/>
        <v>0.75</v>
      </c>
      <c r="AF77" s="212">
        <f t="shared" si="2"/>
        <v>7.1428571428571425E-2</v>
      </c>
      <c r="AG77" s="212">
        <f t="shared" si="2"/>
        <v>0.42857142857142855</v>
      </c>
      <c r="AH77" s="212">
        <f t="shared" si="2"/>
        <v>0.5357142857142857</v>
      </c>
      <c r="AI77" s="212">
        <f t="shared" si="2"/>
        <v>0.10714285714285714</v>
      </c>
      <c r="AJ77" s="212">
        <f t="shared" si="2"/>
        <v>0</v>
      </c>
      <c r="AK77" s="212">
        <f t="shared" si="2"/>
        <v>0.5714285714285714</v>
      </c>
      <c r="AL77" s="212">
        <f t="shared" si="2"/>
        <v>3.5714285714285712E-2</v>
      </c>
      <c r="AM77" s="212">
        <f t="shared" si="2"/>
        <v>0.4642857142857143</v>
      </c>
      <c r="AN77" s="212">
        <f t="shared" si="2"/>
        <v>0</v>
      </c>
      <c r="AO77" s="212">
        <f t="shared" si="2"/>
        <v>0.7142857142857143</v>
      </c>
      <c r="AP77" s="212">
        <f t="shared" si="2"/>
        <v>0.32142857142857145</v>
      </c>
      <c r="AQ77" s="212">
        <f t="shared" si="2"/>
        <v>0</v>
      </c>
      <c r="AR77" s="212">
        <f t="shared" si="2"/>
        <v>0.17857142857142858</v>
      </c>
      <c r="AS77" s="212">
        <f t="shared" si="2"/>
        <v>0.5357142857142857</v>
      </c>
      <c r="AT77" s="212">
        <f t="shared" si="2"/>
        <v>0.32142857142857145</v>
      </c>
      <c r="AU77" s="212">
        <f t="shared" si="2"/>
        <v>0</v>
      </c>
      <c r="AV77" s="212">
        <f t="shared" si="2"/>
        <v>0.4642857142857143</v>
      </c>
      <c r="AW77" s="212">
        <f t="shared" si="2"/>
        <v>0.5714285714285714</v>
      </c>
      <c r="AX77" s="212">
        <f t="shared" si="2"/>
        <v>0</v>
      </c>
      <c r="AY77" s="212">
        <f t="shared" si="2"/>
        <v>0.2857142857142857</v>
      </c>
      <c r="AZ77" s="212">
        <f t="shared" si="2"/>
        <v>0.17857142857142858</v>
      </c>
      <c r="BA77" s="212">
        <f t="shared" si="2"/>
        <v>0.21428571428571427</v>
      </c>
      <c r="BB77" s="212">
        <f t="shared" si="2"/>
        <v>0.39285714285714285</v>
      </c>
      <c r="BC77" s="212">
        <f t="shared" si="2"/>
        <v>7.1428571428571425E-2</v>
      </c>
      <c r="BD77" s="212">
        <f t="shared" si="2"/>
        <v>0.14285714285714285</v>
      </c>
      <c r="BE77" s="212">
        <f t="shared" si="2"/>
        <v>7.1428571428571425E-2</v>
      </c>
      <c r="BF77" s="212">
        <f t="shared" si="2"/>
        <v>7.1428571428571425E-2</v>
      </c>
      <c r="BG77" s="212">
        <f t="shared" si="2"/>
        <v>3.5714285714285712E-2</v>
      </c>
      <c r="BH77" s="212">
        <f t="shared" si="2"/>
        <v>0.10714285714285714</v>
      </c>
      <c r="BI77" s="212">
        <f t="shared" si="2"/>
        <v>0.6428571428571429</v>
      </c>
      <c r="BJ77" s="212">
        <f t="shared" si="2"/>
        <v>0.39285714285714285</v>
      </c>
      <c r="BK77" s="212">
        <f t="shared" si="2"/>
        <v>0.14285714285714285</v>
      </c>
      <c r="BL77" s="212">
        <f t="shared" si="2"/>
        <v>0.17857142857142858</v>
      </c>
      <c r="BM77" s="212">
        <f t="shared" si="2"/>
        <v>0.14285714285714285</v>
      </c>
      <c r="BN77" s="212">
        <f t="shared" si="2"/>
        <v>0.2857142857142857</v>
      </c>
      <c r="BO77" s="212">
        <f t="shared" si="2"/>
        <v>0.32142857142857145</v>
      </c>
      <c r="BP77" s="212">
        <f t="shared" si="2"/>
        <v>0.17857142857142858</v>
      </c>
      <c r="BQ77" s="212">
        <f t="shared" si="2"/>
        <v>0.25</v>
      </c>
      <c r="BR77" s="212">
        <f t="shared" si="2"/>
        <v>0.2857142857142857</v>
      </c>
      <c r="BS77" s="212">
        <f t="shared" si="2"/>
        <v>0.5</v>
      </c>
      <c r="BT77" s="212">
        <f t="shared" si="2"/>
        <v>0.25</v>
      </c>
      <c r="BU77" s="212">
        <f t="shared" si="2"/>
        <v>0.2857142857142857</v>
      </c>
      <c r="BV77" s="212">
        <f t="shared" si="2"/>
        <v>0.17857142857142858</v>
      </c>
      <c r="BW77" s="212">
        <f t="shared" ref="BW77:CQ77" si="3">BW75/$A$75</f>
        <v>0.7142857142857143</v>
      </c>
      <c r="BX77" s="212">
        <f t="shared" si="3"/>
        <v>0.14285714285714285</v>
      </c>
      <c r="BY77" s="212">
        <f t="shared" si="3"/>
        <v>0.17857142857142858</v>
      </c>
      <c r="BZ77" s="212">
        <f t="shared" si="3"/>
        <v>0.17857142857142858</v>
      </c>
      <c r="CA77" s="212">
        <f t="shared" si="3"/>
        <v>0.21428571428571427</v>
      </c>
      <c r="CB77" s="212">
        <f t="shared" si="3"/>
        <v>0.4642857142857143</v>
      </c>
      <c r="CC77" s="212">
        <f t="shared" si="3"/>
        <v>0.21428571428571427</v>
      </c>
      <c r="CD77" s="212">
        <f t="shared" si="3"/>
        <v>0.6428571428571429</v>
      </c>
      <c r="CE77" s="212">
        <f t="shared" si="3"/>
        <v>0.17857142857142858</v>
      </c>
      <c r="CF77" s="212">
        <f t="shared" si="3"/>
        <v>0</v>
      </c>
      <c r="CG77" s="212">
        <f t="shared" si="3"/>
        <v>0.6785714285714286</v>
      </c>
      <c r="CH77" s="212">
        <f t="shared" si="3"/>
        <v>0.17857142857142858</v>
      </c>
      <c r="CI77" s="212">
        <f t="shared" si="3"/>
        <v>3.5714285714285712E-2</v>
      </c>
      <c r="CJ77" s="212">
        <f t="shared" si="3"/>
        <v>0.21428571428571427</v>
      </c>
      <c r="CK77" s="212">
        <f t="shared" si="3"/>
        <v>0.4642857142857143</v>
      </c>
      <c r="CL77" s="212">
        <f t="shared" si="3"/>
        <v>0.32142857142857145</v>
      </c>
      <c r="CM77" s="212">
        <f t="shared" si="3"/>
        <v>0.25</v>
      </c>
      <c r="CN77" s="212">
        <f t="shared" si="3"/>
        <v>0.6428571428571429</v>
      </c>
      <c r="CO77" s="212">
        <f t="shared" si="3"/>
        <v>0.17857142857142858</v>
      </c>
      <c r="CP77" s="212">
        <f t="shared" si="3"/>
        <v>0</v>
      </c>
      <c r="CQ77" s="212">
        <f t="shared" si="3"/>
        <v>0.21428571428571427</v>
      </c>
      <c r="CR77" s="152"/>
      <c r="CS77" s="152"/>
      <c r="CT77" s="152"/>
    </row>
    <row r="78" spans="1:114" x14ac:dyDescent="0.25">
      <c r="A78" t="s">
        <v>2841</v>
      </c>
      <c r="B78" s="214" t="s">
        <v>3744</v>
      </c>
      <c r="C78" s="212">
        <f>C75/C73</f>
        <v>0.36842105263157893</v>
      </c>
      <c r="D78" s="212">
        <f>D75/D73</f>
        <v>0.6</v>
      </c>
      <c r="E78" s="212">
        <f t="shared" ref="E78:BV78" si="4">E75/E73</f>
        <v>0.39285714285714285</v>
      </c>
      <c r="F78" s="212">
        <f t="shared" si="4"/>
        <v>0.4</v>
      </c>
      <c r="G78" s="212">
        <f t="shared" si="4"/>
        <v>0.2</v>
      </c>
      <c r="H78" s="212">
        <f t="shared" si="4"/>
        <v>0.46153846153846156</v>
      </c>
      <c r="I78" s="212" t="e">
        <f t="shared" si="4"/>
        <v>#DIV/0!</v>
      </c>
      <c r="J78" s="212">
        <f t="shared" si="4"/>
        <v>0.4</v>
      </c>
      <c r="K78" s="307">
        <f t="shared" si="4"/>
        <v>0.421875</v>
      </c>
      <c r="L78" s="212">
        <f t="shared" si="4"/>
        <v>0.33333333333333331</v>
      </c>
      <c r="M78" s="307">
        <f t="shared" si="4"/>
        <v>0.41935483870967744</v>
      </c>
      <c r="N78" s="212">
        <f t="shared" si="4"/>
        <v>0.52</v>
      </c>
      <c r="O78" s="212">
        <f t="shared" si="4"/>
        <v>0.25</v>
      </c>
      <c r="P78" s="212">
        <f t="shared" si="4"/>
        <v>0.3</v>
      </c>
      <c r="Q78" s="212" t="e">
        <f t="shared" si="4"/>
        <v>#DIV/0!</v>
      </c>
      <c r="R78" s="212">
        <f t="shared" si="4"/>
        <v>0.2857142857142857</v>
      </c>
      <c r="S78" s="212">
        <f t="shared" si="4"/>
        <v>0.45454545454545453</v>
      </c>
      <c r="T78" s="212" t="e">
        <f t="shared" si="4"/>
        <v>#DIV/0!</v>
      </c>
      <c r="U78" s="212">
        <f t="shared" si="4"/>
        <v>0.9</v>
      </c>
      <c r="V78" s="212">
        <f t="shared" si="4"/>
        <v>0.33898305084745761</v>
      </c>
      <c r="W78" s="212" t="e">
        <f t="shared" si="4"/>
        <v>#DIV/0!</v>
      </c>
      <c r="X78" s="212">
        <f t="shared" si="4"/>
        <v>0.36666666666666664</v>
      </c>
      <c r="Y78" s="212">
        <f t="shared" si="4"/>
        <v>0.77777777777777779</v>
      </c>
      <c r="Z78" s="212" t="e">
        <f t="shared" si="4"/>
        <v>#DIV/0!</v>
      </c>
      <c r="AA78" s="212">
        <f t="shared" si="4"/>
        <v>0.4</v>
      </c>
      <c r="AB78" s="212">
        <f t="shared" si="4"/>
        <v>0.8</v>
      </c>
      <c r="AC78" s="212" t="e">
        <f t="shared" si="4"/>
        <v>#DIV/0!</v>
      </c>
      <c r="AD78" s="212">
        <f t="shared" si="4"/>
        <v>0.73333333333333328</v>
      </c>
      <c r="AE78" s="212">
        <f t="shared" si="4"/>
        <v>0.3559322033898305</v>
      </c>
      <c r="AF78" s="212">
        <f t="shared" si="4"/>
        <v>0.66666666666666663</v>
      </c>
      <c r="AG78" s="212">
        <f t="shared" si="4"/>
        <v>0.375</v>
      </c>
      <c r="AH78" s="212">
        <f t="shared" si="4"/>
        <v>0.42857142857142855</v>
      </c>
      <c r="AI78" s="212">
        <f t="shared" si="4"/>
        <v>0.75</v>
      </c>
      <c r="AJ78" s="212" t="e">
        <f t="shared" si="4"/>
        <v>#DIV/0!</v>
      </c>
      <c r="AK78" s="212">
        <f t="shared" si="4"/>
        <v>0.47058823529411764</v>
      </c>
      <c r="AL78" s="212">
        <f t="shared" si="4"/>
        <v>0.33333333333333331</v>
      </c>
      <c r="AM78" s="212">
        <f t="shared" si="4"/>
        <v>0.37142857142857144</v>
      </c>
      <c r="AN78" s="212">
        <f t="shared" si="4"/>
        <v>0</v>
      </c>
      <c r="AO78" s="212">
        <f t="shared" si="4"/>
        <v>0.45454545454545453</v>
      </c>
      <c r="AP78" s="212">
        <f t="shared" si="4"/>
        <v>0.375</v>
      </c>
      <c r="AQ78" s="212">
        <f t="shared" si="4"/>
        <v>0</v>
      </c>
      <c r="AR78" s="212">
        <f t="shared" si="4"/>
        <v>0.7142857142857143</v>
      </c>
      <c r="AS78" s="212">
        <f t="shared" si="4"/>
        <v>0.51724137931034486</v>
      </c>
      <c r="AT78" s="212">
        <f t="shared" si="4"/>
        <v>0.27272727272727271</v>
      </c>
      <c r="AU78" s="212">
        <f t="shared" si="4"/>
        <v>0</v>
      </c>
      <c r="AV78" s="212">
        <f t="shared" si="4"/>
        <v>0.72222222222222221</v>
      </c>
      <c r="AW78" s="212">
        <f t="shared" si="4"/>
        <v>0.32</v>
      </c>
      <c r="AX78" s="212">
        <f t="shared" si="4"/>
        <v>0</v>
      </c>
      <c r="AY78" s="212">
        <f t="shared" si="4"/>
        <v>0.44444444444444442</v>
      </c>
      <c r="AZ78" s="212">
        <f t="shared" si="4"/>
        <v>0.5</v>
      </c>
      <c r="BA78" s="212">
        <f t="shared" si="4"/>
        <v>0.35294117647058826</v>
      </c>
      <c r="BB78" s="212">
        <f t="shared" si="4"/>
        <v>0.44</v>
      </c>
      <c r="BC78" s="212">
        <f t="shared" si="4"/>
        <v>0.66666666666666663</v>
      </c>
      <c r="BD78" s="212">
        <f t="shared" si="4"/>
        <v>0.8</v>
      </c>
      <c r="BE78" s="212">
        <f t="shared" si="4"/>
        <v>1</v>
      </c>
      <c r="BF78" s="212">
        <f t="shared" si="4"/>
        <v>1</v>
      </c>
      <c r="BG78" s="212">
        <f t="shared" si="4"/>
        <v>0.5</v>
      </c>
      <c r="BH78" s="212">
        <f t="shared" si="4"/>
        <v>0.6</v>
      </c>
      <c r="BI78" s="212">
        <f t="shared" si="4"/>
        <v>0.33333333333333331</v>
      </c>
      <c r="BJ78" s="212">
        <f t="shared" si="4"/>
        <v>0.47826086956521741</v>
      </c>
      <c r="BK78" s="212">
        <f t="shared" si="4"/>
        <v>0.2</v>
      </c>
      <c r="BL78" s="212">
        <f t="shared" si="4"/>
        <v>0.33333333333333331</v>
      </c>
      <c r="BM78" s="212">
        <f t="shared" si="4"/>
        <v>0.30769230769230771</v>
      </c>
      <c r="BN78" s="212">
        <f t="shared" si="4"/>
        <v>0.66666666666666663</v>
      </c>
      <c r="BO78" s="212">
        <f t="shared" si="4"/>
        <v>0.36</v>
      </c>
      <c r="BP78" s="212">
        <f t="shared" si="4"/>
        <v>0.27777777777777779</v>
      </c>
      <c r="BQ78" s="212">
        <f t="shared" si="4"/>
        <v>0.5</v>
      </c>
      <c r="BR78" s="212">
        <f t="shared" si="4"/>
        <v>0.66666666666666663</v>
      </c>
      <c r="BS78" s="212">
        <f t="shared" si="4"/>
        <v>0.4</v>
      </c>
      <c r="BT78" s="212">
        <f t="shared" si="4"/>
        <v>0.31818181818181818</v>
      </c>
      <c r="BU78" s="212">
        <f t="shared" si="4"/>
        <v>0.66666666666666663</v>
      </c>
      <c r="BV78" s="212">
        <f t="shared" si="4"/>
        <v>0.29411764705882354</v>
      </c>
      <c r="BW78" s="212">
        <f t="shared" ref="BW78:CQ78" si="5">BW75/BW73</f>
        <v>0.46511627906976744</v>
      </c>
      <c r="BX78" s="212">
        <f t="shared" si="5"/>
        <v>0.44444444444444442</v>
      </c>
      <c r="BY78" s="212">
        <f t="shared" si="5"/>
        <v>0.45454545454545453</v>
      </c>
      <c r="BZ78" s="212">
        <f t="shared" si="5"/>
        <v>0.38461538461538464</v>
      </c>
      <c r="CA78" s="212">
        <f t="shared" si="5"/>
        <v>0.21428571428571427</v>
      </c>
      <c r="CB78" s="212">
        <f t="shared" si="5"/>
        <v>0.59090909090909094</v>
      </c>
      <c r="CC78" s="212">
        <f t="shared" si="5"/>
        <v>0.66666666666666663</v>
      </c>
      <c r="CD78" s="212">
        <f t="shared" si="5"/>
        <v>0.36</v>
      </c>
      <c r="CE78" s="212">
        <f t="shared" si="5"/>
        <v>0.5</v>
      </c>
      <c r="CF78" s="212" t="e">
        <f t="shared" si="5"/>
        <v>#DIV/0!</v>
      </c>
      <c r="CG78" s="212">
        <f t="shared" si="5"/>
        <v>0.35849056603773582</v>
      </c>
      <c r="CH78" s="212">
        <f t="shared" si="5"/>
        <v>0.83333333333333337</v>
      </c>
      <c r="CI78" s="212">
        <f t="shared" si="5"/>
        <v>1</v>
      </c>
      <c r="CJ78" s="212">
        <f t="shared" si="5"/>
        <v>0.54545454545454541</v>
      </c>
      <c r="CK78" s="212">
        <f t="shared" si="5"/>
        <v>0.39393939393939392</v>
      </c>
      <c r="CL78" s="212">
        <f t="shared" si="5"/>
        <v>0.5625</v>
      </c>
      <c r="CM78" s="212">
        <f t="shared" si="5"/>
        <v>0.35</v>
      </c>
      <c r="CN78" s="212">
        <f t="shared" si="5"/>
        <v>0.9</v>
      </c>
      <c r="CO78" s="212">
        <f t="shared" si="5"/>
        <v>0.22727272727272727</v>
      </c>
      <c r="CP78" s="212">
        <f t="shared" si="5"/>
        <v>0</v>
      </c>
      <c r="CQ78" s="212">
        <f t="shared" si="5"/>
        <v>0.375</v>
      </c>
    </row>
    <row r="80" spans="1:114" x14ac:dyDescent="0.25">
      <c r="B80" s="218" t="s">
        <v>2838</v>
      </c>
      <c r="C80" s="339"/>
      <c r="D80" s="202" t="s">
        <v>2846</v>
      </c>
      <c r="E80" s="202"/>
      <c r="F80" s="202"/>
      <c r="G80" s="202"/>
      <c r="H80" s="202" t="s">
        <v>2846</v>
      </c>
      <c r="I80" s="202"/>
      <c r="J80" s="202"/>
      <c r="K80" s="166"/>
      <c r="L80" s="202"/>
      <c r="M80" s="166" t="s">
        <v>2846</v>
      </c>
      <c r="N80" s="222"/>
      <c r="O80" s="222"/>
      <c r="P80" s="222"/>
      <c r="Q80" s="202"/>
      <c r="R80" s="202"/>
      <c r="S80" s="202"/>
      <c r="T80" s="202"/>
      <c r="U80" s="218" t="s">
        <v>1623</v>
      </c>
      <c r="V80" s="202"/>
      <c r="W80" s="202"/>
      <c r="X80" s="202"/>
      <c r="Y80" s="218" t="s">
        <v>1623</v>
      </c>
      <c r="Z80" s="202"/>
      <c r="AA80" s="202"/>
      <c r="AB80" s="202" t="s">
        <v>2846</v>
      </c>
      <c r="AC80" s="202"/>
      <c r="AD80" s="218" t="s">
        <v>1623</v>
      </c>
      <c r="AE80" s="202"/>
      <c r="AF80" s="202"/>
      <c r="AG80" s="202"/>
      <c r="AH80" s="202"/>
      <c r="AI80" s="202" t="s">
        <v>2846</v>
      </c>
      <c r="AJ80" s="202"/>
      <c r="AK80" s="202"/>
      <c r="AL80" s="202"/>
      <c r="AM80" s="202"/>
      <c r="AN80" s="202"/>
      <c r="AO80" s="202"/>
      <c r="AP80" s="202"/>
      <c r="AQ80" s="202"/>
      <c r="AR80" s="202" t="s">
        <v>2846</v>
      </c>
      <c r="AS80" s="202" t="s">
        <v>2846</v>
      </c>
      <c r="AT80" s="202"/>
      <c r="AU80" s="202"/>
      <c r="AV80" s="218" t="s">
        <v>1623</v>
      </c>
      <c r="AW80" s="202"/>
      <c r="AX80" s="202"/>
      <c r="AY80" s="202" t="s">
        <v>2846</v>
      </c>
      <c r="AZ80" s="202"/>
      <c r="BA80" s="202"/>
      <c r="BB80" s="314"/>
      <c r="BC80" s="202"/>
      <c r="BD80" s="218" t="s">
        <v>2846</v>
      </c>
      <c r="BE80" s="218" t="s">
        <v>2846</v>
      </c>
      <c r="BF80" s="218" t="s">
        <v>2846</v>
      </c>
      <c r="BG80" s="202"/>
      <c r="BH80" s="202"/>
      <c r="BI80" s="202"/>
      <c r="BJ80" s="202"/>
      <c r="BK80" s="202"/>
      <c r="BL80" s="202"/>
      <c r="BM80" s="202"/>
      <c r="BN80" s="202"/>
      <c r="BO80" s="202"/>
      <c r="BP80" s="313"/>
      <c r="BQ80" s="218" t="s">
        <v>2846</v>
      </c>
      <c r="BR80" s="202"/>
      <c r="BS80" s="202"/>
      <c r="BT80" s="202"/>
      <c r="BU80" s="202"/>
      <c r="BV80" s="202"/>
      <c r="BW80" s="202"/>
      <c r="BX80" s="202"/>
      <c r="BY80" s="202"/>
      <c r="BZ80" s="202"/>
      <c r="CA80" s="202"/>
      <c r="CB80" s="202"/>
      <c r="CC80" s="202"/>
      <c r="CD80" s="202"/>
      <c r="CE80" s="202"/>
      <c r="CF80" s="202"/>
      <c r="CG80" s="202"/>
      <c r="CH80" s="218" t="s">
        <v>2846</v>
      </c>
      <c r="CI80" s="278"/>
      <c r="CJ80" s="202"/>
      <c r="CK80" s="202"/>
      <c r="CL80" s="202"/>
      <c r="CM80" s="202"/>
      <c r="CN80" s="202" t="s">
        <v>2846</v>
      </c>
      <c r="CO80" s="202"/>
      <c r="CP80" s="202"/>
      <c r="CQ80" s="202"/>
    </row>
    <row r="81" spans="1:95" x14ac:dyDescent="0.25">
      <c r="B81" s="215" t="s">
        <v>2843</v>
      </c>
      <c r="C81" s="340"/>
    </row>
    <row r="82" spans="1:95" x14ac:dyDescent="0.25">
      <c r="B82" s="216" t="s">
        <v>2847</v>
      </c>
      <c r="C82" s="341"/>
    </row>
    <row r="83" spans="1:95" x14ac:dyDescent="0.25">
      <c r="B83" s="201" t="s">
        <v>2842</v>
      </c>
      <c r="C83" s="342"/>
    </row>
    <row r="87" spans="1:95" x14ac:dyDescent="0.25">
      <c r="A87" t="s">
        <v>2841</v>
      </c>
      <c r="B87" s="343" t="s">
        <v>3742</v>
      </c>
      <c r="C87" s="212">
        <f>C73/$B$74</f>
        <v>0.82608695652173914</v>
      </c>
      <c r="D87" s="212">
        <f>D73/$B$74</f>
        <v>0.21739130434782608</v>
      </c>
      <c r="E87" s="212">
        <f t="shared" ref="E87:BV87" si="6">E73/$B$74</f>
        <v>0.40579710144927539</v>
      </c>
      <c r="F87" s="212">
        <f t="shared" si="6"/>
        <v>0.28985507246376813</v>
      </c>
      <c r="G87" s="212">
        <f t="shared" si="6"/>
        <v>7.2463768115942032E-2</v>
      </c>
      <c r="H87" s="212">
        <f t="shared" si="6"/>
        <v>0.18840579710144928</v>
      </c>
      <c r="I87" s="212">
        <f t="shared" si="6"/>
        <v>0</v>
      </c>
      <c r="J87" s="212">
        <f t="shared" si="6"/>
        <v>7.2463768115942032E-2</v>
      </c>
      <c r="K87" s="307">
        <f t="shared" si="6"/>
        <v>0.92753623188405798</v>
      </c>
      <c r="L87" s="212">
        <f t="shared" si="6"/>
        <v>0.34782608695652173</v>
      </c>
      <c r="M87" s="307">
        <f t="shared" si="6"/>
        <v>0.44927536231884058</v>
      </c>
      <c r="N87" s="212">
        <f t="shared" si="6"/>
        <v>0.36231884057971014</v>
      </c>
      <c r="O87" s="212">
        <f t="shared" si="6"/>
        <v>5.7971014492753624E-2</v>
      </c>
      <c r="P87" s="212">
        <f t="shared" si="6"/>
        <v>0.14492753623188406</v>
      </c>
      <c r="Q87" s="212">
        <f t="shared" si="6"/>
        <v>0</v>
      </c>
      <c r="R87" s="212">
        <f t="shared" si="6"/>
        <v>0.20289855072463769</v>
      </c>
      <c r="S87" s="212">
        <f t="shared" si="6"/>
        <v>0.79710144927536231</v>
      </c>
      <c r="T87" s="212">
        <f t="shared" si="6"/>
        <v>0</v>
      </c>
      <c r="U87" s="212">
        <f t="shared" si="6"/>
        <v>0.14492753623188406</v>
      </c>
      <c r="V87" s="212">
        <f t="shared" si="6"/>
        <v>0.85507246376811596</v>
      </c>
      <c r="W87" s="212">
        <f t="shared" si="6"/>
        <v>0</v>
      </c>
      <c r="X87" s="212">
        <f t="shared" si="6"/>
        <v>0.86956521739130432</v>
      </c>
      <c r="Y87" s="212">
        <f t="shared" si="6"/>
        <v>0.13043478260869565</v>
      </c>
      <c r="Z87" s="212">
        <f t="shared" si="6"/>
        <v>0</v>
      </c>
      <c r="AA87" s="212">
        <f t="shared" si="6"/>
        <v>0.94202898550724634</v>
      </c>
      <c r="AB87" s="212">
        <f t="shared" si="6"/>
        <v>7.2463768115942032E-2</v>
      </c>
      <c r="AC87" s="212">
        <f t="shared" si="6"/>
        <v>0</v>
      </c>
      <c r="AD87" s="212">
        <f t="shared" si="6"/>
        <v>0.21739130434782608</v>
      </c>
      <c r="AE87" s="212">
        <f t="shared" si="6"/>
        <v>0.85507246376811596</v>
      </c>
      <c r="AF87" s="212">
        <f t="shared" si="6"/>
        <v>4.3478260869565216E-2</v>
      </c>
      <c r="AG87" s="212">
        <f t="shared" si="6"/>
        <v>0.46376811594202899</v>
      </c>
      <c r="AH87" s="212">
        <f t="shared" si="6"/>
        <v>0.50724637681159424</v>
      </c>
      <c r="AI87" s="212">
        <f t="shared" si="6"/>
        <v>5.7971014492753624E-2</v>
      </c>
      <c r="AJ87" s="212">
        <f t="shared" si="6"/>
        <v>0</v>
      </c>
      <c r="AK87" s="212">
        <f t="shared" si="6"/>
        <v>0.49275362318840582</v>
      </c>
      <c r="AL87" s="212">
        <f t="shared" si="6"/>
        <v>4.3478260869565216E-2</v>
      </c>
      <c r="AM87" s="212">
        <f t="shared" si="6"/>
        <v>0.50724637681159424</v>
      </c>
      <c r="AN87" s="212">
        <f t="shared" si="6"/>
        <v>1.4492753623188406E-2</v>
      </c>
      <c r="AO87" s="212">
        <f t="shared" si="6"/>
        <v>0.6376811594202898</v>
      </c>
      <c r="AP87" s="212">
        <f t="shared" si="6"/>
        <v>0.34782608695652173</v>
      </c>
      <c r="AQ87" s="212">
        <f t="shared" si="6"/>
        <v>1.4492753623188406E-2</v>
      </c>
      <c r="AR87" s="212">
        <f t="shared" si="6"/>
        <v>0.10144927536231885</v>
      </c>
      <c r="AS87" s="212">
        <f t="shared" si="6"/>
        <v>0.42028985507246375</v>
      </c>
      <c r="AT87" s="212">
        <f t="shared" si="6"/>
        <v>0.47826086956521741</v>
      </c>
      <c r="AU87" s="212">
        <f t="shared" si="6"/>
        <v>1.4492753623188406E-2</v>
      </c>
      <c r="AV87" s="212">
        <f t="shared" si="6"/>
        <v>0.2608695652173913</v>
      </c>
      <c r="AW87" s="212">
        <f t="shared" si="6"/>
        <v>0.72463768115942029</v>
      </c>
      <c r="AX87" s="212">
        <f t="shared" si="6"/>
        <v>1.4492753623188406E-2</v>
      </c>
      <c r="AY87" s="212">
        <f t="shared" si="6"/>
        <v>0.2608695652173913</v>
      </c>
      <c r="AZ87" s="212">
        <f t="shared" si="6"/>
        <v>0.14492753623188406</v>
      </c>
      <c r="BA87" s="212">
        <f t="shared" si="6"/>
        <v>0.24637681159420291</v>
      </c>
      <c r="BB87" s="212"/>
      <c r="BC87" s="212">
        <f t="shared" si="6"/>
        <v>4.3478260869565216E-2</v>
      </c>
      <c r="BD87" s="212">
        <f t="shared" si="6"/>
        <v>7.2463768115942032E-2</v>
      </c>
      <c r="BE87" s="212"/>
      <c r="BF87" s="212"/>
      <c r="BG87" s="212">
        <f t="shared" si="6"/>
        <v>2.8985507246376812E-2</v>
      </c>
      <c r="BH87" s="212">
        <f t="shared" si="6"/>
        <v>7.2463768115942032E-2</v>
      </c>
      <c r="BI87" s="212">
        <f t="shared" si="6"/>
        <v>0.78260869565217395</v>
      </c>
      <c r="BJ87" s="212">
        <f t="shared" si="6"/>
        <v>0.33333333333333331</v>
      </c>
      <c r="BK87" s="212">
        <f t="shared" si="6"/>
        <v>0.28985507246376813</v>
      </c>
      <c r="BL87" s="212">
        <f t="shared" si="6"/>
        <v>0.21739130434782608</v>
      </c>
      <c r="BM87" s="212">
        <f t="shared" si="6"/>
        <v>0.18840579710144928</v>
      </c>
      <c r="BN87" s="212">
        <f t="shared" si="6"/>
        <v>0.17391304347826086</v>
      </c>
      <c r="BO87" s="212">
        <f t="shared" si="6"/>
        <v>0.36231884057971014</v>
      </c>
      <c r="BP87" s="212">
        <f t="shared" si="6"/>
        <v>0.2608695652173913</v>
      </c>
      <c r="BQ87" s="212">
        <f t="shared" si="6"/>
        <v>0.20289855072463769</v>
      </c>
      <c r="BR87" s="212">
        <f t="shared" si="6"/>
        <v>0.17391304347826086</v>
      </c>
      <c r="BS87" s="212">
        <f t="shared" si="6"/>
        <v>0.50724637681159424</v>
      </c>
      <c r="BT87" s="212">
        <f t="shared" si="6"/>
        <v>0.3188405797101449</v>
      </c>
      <c r="BU87" s="212">
        <f t="shared" si="6"/>
        <v>0.17391304347826086</v>
      </c>
      <c r="BV87" s="212">
        <f t="shared" si="6"/>
        <v>0.24637681159420291</v>
      </c>
      <c r="BW87" s="212">
        <f t="shared" ref="BW87:CQ87" si="7">BW73/$B$74</f>
        <v>0.62318840579710144</v>
      </c>
      <c r="BX87" s="212">
        <f t="shared" si="7"/>
        <v>0.13043478260869565</v>
      </c>
      <c r="BY87" s="212">
        <f t="shared" si="7"/>
        <v>0.15942028985507245</v>
      </c>
      <c r="BZ87" s="212">
        <f t="shared" si="7"/>
        <v>0.18840579710144928</v>
      </c>
      <c r="CA87" s="212">
        <f t="shared" si="7"/>
        <v>0.40579710144927539</v>
      </c>
      <c r="CB87" s="212">
        <f t="shared" si="7"/>
        <v>0.3188405797101449</v>
      </c>
      <c r="CC87" s="212">
        <f t="shared" si="7"/>
        <v>0.13043478260869565</v>
      </c>
      <c r="CD87" s="212">
        <f t="shared" si="7"/>
        <v>0.72463768115942029</v>
      </c>
      <c r="CE87" s="212">
        <f t="shared" si="7"/>
        <v>0.14492753623188406</v>
      </c>
      <c r="CF87" s="212">
        <f t="shared" si="7"/>
        <v>0</v>
      </c>
      <c r="CG87" s="212">
        <f t="shared" si="7"/>
        <v>0.76811594202898548</v>
      </c>
      <c r="CH87" s="212">
        <f t="shared" si="7"/>
        <v>8.6956521739130432E-2</v>
      </c>
      <c r="CI87" s="212"/>
      <c r="CJ87" s="212">
        <f t="shared" si="7"/>
        <v>0.15942028985507245</v>
      </c>
      <c r="CK87" s="212">
        <f t="shared" si="7"/>
        <v>0.47826086956521741</v>
      </c>
      <c r="CL87" s="212">
        <f t="shared" si="7"/>
        <v>0.2318840579710145</v>
      </c>
      <c r="CM87" s="212">
        <f t="shared" si="7"/>
        <v>0.28985507246376813</v>
      </c>
      <c r="CN87" s="212">
        <f t="shared" si="7"/>
        <v>0.28985507246376813</v>
      </c>
      <c r="CO87" s="212">
        <f t="shared" si="7"/>
        <v>0.3188405797101449</v>
      </c>
      <c r="CP87" s="212">
        <f t="shared" si="7"/>
        <v>0.15942028985507245</v>
      </c>
      <c r="CQ87" s="212">
        <f t="shared" si="7"/>
        <v>0.2318840579710145</v>
      </c>
    </row>
    <row r="88" spans="1:95" x14ac:dyDescent="0.25">
      <c r="C88" s="156"/>
      <c r="D88" s="221"/>
      <c r="M88" s="225"/>
      <c r="N88" s="225"/>
      <c r="O88" s="221"/>
      <c r="P88" s="221"/>
      <c r="BQ88" s="221" t="s">
        <v>2849</v>
      </c>
    </row>
    <row r="89" spans="1:95" x14ac:dyDescent="0.25">
      <c r="A89" s="221" t="s">
        <v>2836</v>
      </c>
      <c r="B89" s="344" t="s">
        <v>2844</v>
      </c>
      <c r="C89" s="339"/>
      <c r="D89" s="202"/>
      <c r="E89" s="202"/>
      <c r="F89" s="202"/>
      <c r="G89" s="202"/>
      <c r="H89" s="202"/>
      <c r="I89" s="202"/>
      <c r="J89" s="202"/>
      <c r="K89" s="166"/>
      <c r="L89" s="202"/>
      <c r="M89" s="166"/>
      <c r="N89" s="222"/>
      <c r="O89" s="222" t="s">
        <v>2846</v>
      </c>
      <c r="P89" s="222" t="s">
        <v>2846</v>
      </c>
      <c r="Q89" s="202"/>
      <c r="R89" s="202"/>
      <c r="S89" s="218" t="s">
        <v>1623</v>
      </c>
      <c r="T89" s="202"/>
      <c r="U89" s="202"/>
      <c r="V89" s="218" t="s">
        <v>1623</v>
      </c>
      <c r="W89" s="202"/>
      <c r="X89" s="202"/>
      <c r="Y89" s="220" t="s">
        <v>1623</v>
      </c>
      <c r="Z89" s="202"/>
      <c r="AA89" s="202"/>
      <c r="AB89" s="202" t="s">
        <v>2846</v>
      </c>
      <c r="AC89" s="202"/>
      <c r="AD89" s="220" t="s">
        <v>1623</v>
      </c>
      <c r="AE89" s="202"/>
      <c r="AF89" s="202"/>
      <c r="AG89" s="202"/>
      <c r="AH89" s="202"/>
      <c r="AI89" s="202" t="s">
        <v>2846</v>
      </c>
      <c r="AJ89" s="202"/>
      <c r="AK89" s="202"/>
      <c r="AL89" s="202" t="s">
        <v>2846</v>
      </c>
      <c r="AM89" s="202"/>
      <c r="AN89" s="202"/>
      <c r="AO89" s="202"/>
      <c r="AP89" s="202"/>
      <c r="AQ89" s="202"/>
      <c r="AR89" s="202" t="s">
        <v>2846</v>
      </c>
      <c r="AS89" s="202"/>
      <c r="AT89" s="202"/>
      <c r="AU89" s="202"/>
      <c r="AV89" s="220" t="s">
        <v>2846</v>
      </c>
      <c r="AW89" s="202"/>
      <c r="AX89" s="202"/>
      <c r="AY89" s="202"/>
      <c r="AZ89" s="202"/>
      <c r="BA89" s="202"/>
      <c r="BB89" s="314"/>
      <c r="BC89" s="220" t="s">
        <v>1623</v>
      </c>
      <c r="BD89" s="202"/>
      <c r="BE89" s="275"/>
      <c r="BF89" s="277"/>
      <c r="BG89" s="202"/>
      <c r="BH89" s="202"/>
      <c r="BI89" s="220" t="s">
        <v>1623</v>
      </c>
      <c r="BJ89" s="202"/>
      <c r="BK89" s="202"/>
      <c r="BL89" s="202"/>
      <c r="BM89" s="219" t="s">
        <v>2846</v>
      </c>
      <c r="BQ89" s="218" t="s">
        <v>2846</v>
      </c>
      <c r="BR89" s="202"/>
      <c r="BS89" s="202"/>
      <c r="BT89" s="202"/>
      <c r="BU89" s="202"/>
      <c r="BV89" s="202"/>
      <c r="BW89" s="202"/>
      <c r="BX89" s="202"/>
      <c r="BY89" s="202"/>
      <c r="BZ89" s="202"/>
      <c r="CA89" s="202"/>
      <c r="CB89" s="218" t="s">
        <v>1623</v>
      </c>
      <c r="CC89" s="202"/>
      <c r="CD89" s="202"/>
      <c r="CE89" s="202"/>
      <c r="CF89" s="202"/>
      <c r="CG89" s="202"/>
      <c r="CH89" s="220" t="s">
        <v>1623</v>
      </c>
      <c r="CI89" s="278"/>
      <c r="CJ89" s="202"/>
      <c r="CK89" s="202"/>
      <c r="CL89" s="202"/>
      <c r="CM89" s="202"/>
      <c r="CN89" s="202"/>
      <c r="CO89" s="202"/>
      <c r="CP89" s="202"/>
      <c r="CQ89" s="202"/>
    </row>
    <row r="90" spans="1:95" x14ac:dyDescent="0.25">
      <c r="B90" s="345" t="s">
        <v>2845</v>
      </c>
      <c r="C90" s="346"/>
      <c r="D90" s="202"/>
      <c r="E90" s="202"/>
      <c r="F90" s="202"/>
      <c r="G90" s="202"/>
      <c r="H90" s="202"/>
      <c r="I90" s="202"/>
      <c r="J90" s="202"/>
      <c r="K90" s="166"/>
      <c r="L90" s="202"/>
      <c r="M90" s="166"/>
      <c r="N90" s="222"/>
      <c r="O90" s="222"/>
      <c r="P90" s="222"/>
      <c r="Q90" s="202"/>
      <c r="R90" s="202"/>
      <c r="S90" s="202"/>
      <c r="T90" s="202"/>
      <c r="U90" s="202" t="s">
        <v>1778</v>
      </c>
      <c r="V90" s="202"/>
      <c r="W90" s="202"/>
      <c r="X90" s="202"/>
      <c r="Y90" s="202" t="s">
        <v>1778</v>
      </c>
      <c r="Z90" s="202"/>
      <c r="AA90" s="202"/>
      <c r="AB90" s="202" t="s">
        <v>1778</v>
      </c>
      <c r="AC90" s="202"/>
      <c r="AD90" s="202" t="s">
        <v>1778</v>
      </c>
      <c r="AE90" s="202"/>
      <c r="AF90" s="202"/>
      <c r="AG90" s="202"/>
      <c r="AH90" s="202"/>
      <c r="AI90" s="202" t="s">
        <v>1778</v>
      </c>
      <c r="AJ90" s="202"/>
      <c r="AK90" s="202"/>
      <c r="AL90" s="202" t="s">
        <v>1778</v>
      </c>
      <c r="AM90" s="202"/>
      <c r="AN90" s="202"/>
      <c r="AO90" s="202"/>
      <c r="AP90" s="202"/>
      <c r="AQ90" s="202"/>
      <c r="AR90" s="202" t="s">
        <v>1778</v>
      </c>
      <c r="AS90" s="202"/>
      <c r="AT90" s="202"/>
      <c r="AU90" s="202"/>
      <c r="AV90" s="202" t="s">
        <v>1778</v>
      </c>
      <c r="AW90" s="202"/>
      <c r="AX90" s="202"/>
      <c r="AY90" s="202" t="s">
        <v>1778</v>
      </c>
      <c r="AZ90" s="202" t="s">
        <v>1778</v>
      </c>
      <c r="BA90" s="202" t="s">
        <v>1778</v>
      </c>
      <c r="BB90" s="314"/>
      <c r="BC90" s="202"/>
      <c r="BD90" s="202" t="s">
        <v>1778</v>
      </c>
      <c r="BE90" s="275"/>
      <c r="BF90" s="277"/>
      <c r="BG90" s="202" t="s">
        <v>1778</v>
      </c>
      <c r="BH90" s="202" t="s">
        <v>1778</v>
      </c>
      <c r="BI90" s="202"/>
      <c r="BJ90" s="202"/>
      <c r="BK90" s="202"/>
      <c r="BL90" s="202"/>
      <c r="BM90" s="202" t="s">
        <v>1778</v>
      </c>
      <c r="BN90" s="202"/>
      <c r="BO90" s="202"/>
      <c r="BP90" s="202"/>
      <c r="BQ90" s="202" t="s">
        <v>1778</v>
      </c>
      <c r="BR90" s="202"/>
      <c r="BS90" s="202"/>
      <c r="BT90" s="202"/>
      <c r="BU90" s="202"/>
      <c r="BV90" s="202"/>
      <c r="BW90" s="202"/>
      <c r="BX90" s="202"/>
      <c r="BY90" s="202" t="s">
        <v>1778</v>
      </c>
      <c r="BZ90" s="202"/>
      <c r="CA90" s="202"/>
      <c r="CB90" s="202"/>
      <c r="CC90" s="202"/>
      <c r="CD90" s="202"/>
      <c r="CE90" s="202"/>
      <c r="CF90" s="202"/>
      <c r="CG90" s="202"/>
      <c r="CH90" s="202" t="s">
        <v>1778</v>
      </c>
      <c r="CI90" s="278"/>
      <c r="CJ90" s="202"/>
      <c r="CK90" s="202"/>
      <c r="CL90" s="202"/>
      <c r="CM90" s="202"/>
      <c r="CN90" s="202"/>
      <c r="CO90" s="202"/>
      <c r="CP90" s="202"/>
      <c r="CQ90" s="202"/>
    </row>
    <row r="91" spans="1:95" x14ac:dyDescent="0.25">
      <c r="B91" s="345" t="s">
        <v>2848</v>
      </c>
      <c r="C91" s="346"/>
      <c r="V91" s="202" t="s">
        <v>1778</v>
      </c>
      <c r="BC91" s="202" t="s">
        <v>1778</v>
      </c>
      <c r="BI91" t="s">
        <v>1778</v>
      </c>
      <c r="CB91" s="202" t="s">
        <v>1778</v>
      </c>
    </row>
  </sheetData>
  <mergeCells count="27">
    <mergeCell ref="C1:C2"/>
    <mergeCell ref="AG1:AJ1"/>
    <mergeCell ref="AK1:AN1"/>
    <mergeCell ref="AY1:BC1"/>
    <mergeCell ref="BD1:BI1"/>
    <mergeCell ref="D1:I1"/>
    <mergeCell ref="J1:Q1"/>
    <mergeCell ref="R1:T1"/>
    <mergeCell ref="U1:W1"/>
    <mergeCell ref="X1:Z1"/>
    <mergeCell ref="AA1:AC1"/>
    <mergeCell ref="A1:A2"/>
    <mergeCell ref="CR1:CT1"/>
    <mergeCell ref="CK1:CM1"/>
    <mergeCell ref="CN1:CQ1"/>
    <mergeCell ref="B1:B2"/>
    <mergeCell ref="AO1:AQ1"/>
    <mergeCell ref="AV1:AX1"/>
    <mergeCell ref="AR1:AU1"/>
    <mergeCell ref="BS1:BU1"/>
    <mergeCell ref="BJ1:BN1"/>
    <mergeCell ref="BO1:BR1"/>
    <mergeCell ref="BV1:BX1"/>
    <mergeCell ref="BY1:CB1"/>
    <mergeCell ref="CC1:CF1"/>
    <mergeCell ref="CG1:CJ1"/>
    <mergeCell ref="AD1:AF1"/>
  </mergeCells>
  <hyperlinks>
    <hyperlink ref="B3" location="'Quality Assessment '!F3" display="A01: DiCoMEF" xr:uid="{8A59BB7B-D53C-4145-B935-A21A035C26D0}"/>
    <hyperlink ref="B4" location="'Quality Assessment '!F6" display="A02: Chong et al." xr:uid="{75BF9560-7684-4600-AB5A-EE7B251ED42F}"/>
    <hyperlink ref="B5" location="'Quality Assessment '!F7" display="A03: SCM (UniCase+)" xr:uid="{879EB93D-07D7-458B-8C28-70406C073246}"/>
    <hyperlink ref="B6" location="'Quality Assessment '!F10" display="A04: FLAM" xr:uid="{71167468-0771-4218-BF22-A7EA1CCFFCDF}"/>
    <hyperlink ref="B7" location="'Quality Assessment '!F13" display="A05: Dam et al." xr:uid="{CDE6B16C-7171-43EB-9F91-4BC07221D4FF}"/>
    <hyperlink ref="B9" location="'Quality Assessment '!F16" display="A06: MONDO" xr:uid="{E3246FED-EE71-4933-9148-1E517FDF5FB6}"/>
    <hyperlink ref="B10" location="'Quality Assessment '!F18" display="A07: Gerth et al." xr:uid="{86DB4396-3193-4FDD-B3A5-E1AC4F189C2F}"/>
    <hyperlink ref="B11" location="'Quality Assessment '!F21" display="A08: Bartelt" xr:uid="{6F861E16-FED8-4EA4-8F2D-7D8EDB52E744}"/>
    <hyperlink ref="B12" location="'Quality Assessment '!F22" display="A09: Jazz" xr:uid="{F7E54432-D19D-4F46-A0B3-932CA8E5887F}"/>
    <hyperlink ref="B13" location="'Quality Assessment '!F24" display="A10: Kehrer et al." xr:uid="{20258017-25C6-465A-A1DB-B09C0B4A7CDB}"/>
    <hyperlink ref="B14" location="'Quality Assessment '!F25" display="A11: ModelBus" xr:uid="{2D3B563F-2A33-4603-8A42-0897275968A8}"/>
    <hyperlink ref="B15" location="'Quality Assessment '!F26" display="A12: D-PRAXIS" xr:uid="{9AC0071D-52E6-4A58-BC58-7ACF825E43AA}"/>
    <hyperlink ref="B16" location="'Quality Assessment '!F28" display="A13: Conflict UML Profile" xr:uid="{6D4B5878-4715-477B-A565-DA0C553538D9}"/>
    <hyperlink ref="B17" location="'Quality Assessment '!F29" display="A14: E3MP" xr:uid="{1B2FFA72-7812-494A-8026-E71C2A173FE2}"/>
    <hyperlink ref="B18" location="'Quality Assessment '!F30" display="A15: Mirador" xr:uid="{25EF255D-6FBC-4781-897E-6BC5730FFC25}"/>
    <hyperlink ref="B19" location="'Quality Assessment '!F31" display="A16: CSP" xr:uid="{BE45CB14-58A1-4C4A-8C01-94B9FEEEE912}"/>
    <hyperlink ref="B20" location="'Quality Assessment '!F33" display="A17: ArgoEclipse+ADAMS" xr:uid="{9158101C-4FB7-4B43-AE7C-30947EC67EB2}"/>
    <hyperlink ref="B21" location="'Quality Assessment '!F35" display="A18: CAMEL" xr:uid="{532E7F75-28CE-4165-9CEE-D74A14DB5C7C}"/>
    <hyperlink ref="B22" location="'Quality Assessment '!F38" display="A19: MOMM" xr:uid="{CA3FDADE-01FD-4FE4-962B-C0E392632CED}"/>
    <hyperlink ref="B23" location="'Quality Assessment '!F38" display="A20: Colex" xr:uid="{627D5C43-41EF-4E09-9E16-B44211D16F7C}"/>
    <hyperlink ref="B24" location="'Quality Assessment '!F39" display="A21: AMOR" xr:uid="{94254B75-F547-44D0-BF5E-D9482BA86C5E}"/>
    <hyperlink ref="B25" location="'Quality Assessment '!F44" display="A22: Wieland et al." xr:uid="{554FBDC2-C460-409D-A9D8-34C904D56273}"/>
    <hyperlink ref="B26" location="'Quality Assessment '!F45" display="A23: Taentzer et al." xr:uid="{4527F137-1C59-4496-A780-82F8194A648D}"/>
    <hyperlink ref="B27" location="'Quality Assessment '!F48" display="A24: BTMerge" xr:uid="{60B63CB2-FA12-4A6B-9716-16C7BFE5D031}"/>
    <hyperlink ref="B28" location="'Quality Assessment '!F52" display="A25: Cicchetti et al." xr:uid="{23E5C8B4-B6A1-46A5-9017-7185E284B489}"/>
    <hyperlink ref="B29" location="'Quality Assessment '!F53" display="A26: MVMD" xr:uid="{94EB4D6B-C18B-46DA-B548-05B1FFC1789C}"/>
    <hyperlink ref="B30" location="'Quality Assessment '!F54" display="A27: SMoVer" xr:uid="{3D95F393-8D49-4370-A90D-C97C68CACAAC}"/>
    <hyperlink ref="B31" location="'Quality Assessment '!F57" display="A28: XSD-aware (XSM)" xr:uid="{509E0F93-911E-4F62-A930-7A7CA8A78364}"/>
    <hyperlink ref="B32" location="'Quality Assessment '!F60" display="A29: Mafazi et al." xr:uid="{9C7F0CDF-DCBE-4676-B5F3-732DB3FBAF96}"/>
    <hyperlink ref="B33" location="'Quality Assessment '!F62" display="A30: MOMENT" xr:uid="{899A9E1A-616B-44B5-9262-FD910CE1E872}"/>
    <hyperlink ref="B34" location="'Quality Assessment '!F63" display="A31: SyncMeta" xr:uid="{A047E5D8-ED33-4AAD-80D3-5030C203D841}"/>
    <hyperlink ref="B35" location="'Quality Assessment '!F65" display="A32: Odyssey" xr:uid="{7C3A0C6A-14EA-4E6F-9E6F-80037C497B6E}"/>
    <hyperlink ref="B36" location="'Quality Assessment '!F67" display="A33: Diff-Merge" xr:uid="{00D51546-DDE7-4B37-AC78-73617525ED97}"/>
    <hyperlink ref="B37" location="'Quality Assessment '!F68" display="A34: Phalp et al." xr:uid="{A9A8A801-0DCE-4203-B9A8-BE7DAED57064}"/>
    <hyperlink ref="B38" location="'Quality Assessment '!F69" display="A35: Model Consistency" xr:uid="{EA1D1AD5-CF86-4EA0-992C-7646B4D872F1}"/>
    <hyperlink ref="B39" location="'Quality Assessment '!F70" display="A36: DPF" xr:uid="{30EADC68-30E5-4734-A316-3278BB752F75}"/>
    <hyperlink ref="B40" location="'Quality Assessment '!F73" display="A37: CoMBM" xr:uid="{37EDA0E1-3602-4A1E-8469-ECDCB2F177F0}"/>
    <hyperlink ref="B41" location="'Quality Assessment '!F73" display="A39: Pyro" xr:uid="{70487BC5-6384-4FA6-A1F9-12E214023343}"/>
    <hyperlink ref="B43" location="'Quality Assessment '!F76" display="A40: CPL" xr:uid="{C7F77CCE-F9FE-4DB0-ACAE-92DD0F7A8591}"/>
    <hyperlink ref="B44" location="'Quality Assessment '!F77" display="A41: SuperMod" xr:uid="{E78AC6EA-A6B6-4461-B3CC-80CA44E5A75E}"/>
    <hyperlink ref="B47" location="'Quality Assessment '!F80" display="A44: Costa et al." xr:uid="{E0C14225-AC89-46A2-8839-413042546CEA}"/>
    <hyperlink ref="B48" location="'Quality Assessment '!F82" display="A45: DPF as RDF" xr:uid="{434A6AF6-2354-4D23-A549-BE1CB68EB684}"/>
    <hyperlink ref="B49" location="'Quality Assessment '!F83" display="A46: AMOR+" xr:uid="{995F805C-E956-4F55-804B-F81AC53A91C7}"/>
    <hyperlink ref="B42" location="'Quality Assessment '!F75" display="A39: MetaEdit+" xr:uid="{0F2D5733-9F1D-4171-A53C-1508C67E0CCD}"/>
    <hyperlink ref="B50" location="'Quality Assessment '!F84" display="A47: Jahed et al." xr:uid="{514010DF-1A67-4130-8701-E36589A09A6D}"/>
    <hyperlink ref="B51" location="'Quality Assessment '!F85" display="A8: Hachemi &amp; Nacer" xr:uid="{5B3AD103-00BF-4605-AA48-BBBFE5126434}"/>
    <hyperlink ref="B52" location="'Quality Assessment '!F86" display="A49: Colla-Config" xr:uid="{1C2118AD-9E79-41CD-BAF9-F8C8135C97C8}"/>
    <hyperlink ref="B8" location="'Quality Assessment '!F15" display="A50: xoWiki" xr:uid="{CF6E3AFB-1205-41BC-9779-5E1416295A5C}"/>
    <hyperlink ref="B53" location="'Quality Assessment '!F87" display="A51: UML2Merge" xr:uid="{A0E2205E-C4D5-4E44-983D-B4C5E79086E6}"/>
    <hyperlink ref="B54" location="'Quality Assessment '!F88" display="A52: TouchCORE" xr:uid="{E9BA93DB-59BA-423B-ABDA-DF339DCE8DFA}"/>
    <hyperlink ref="B55" location="'Quality Assessment '!F89" display="A53: Kallweit et al." xr:uid="{14DA94F9-1299-4BC0-B595-F01507B83E34}"/>
    <hyperlink ref="B56" location="'Quality Assessment '!F90" display="A53: Foucault et al." xr:uid="{2971B669-26EA-401D-B661-69EDC4838AA1}"/>
    <hyperlink ref="B57" location="'Quality Assessment '!F91" display="A55: Tröls et al." xr:uid="{67555AC6-CF3E-4B0C-893F-987DC501E27C}"/>
    <hyperlink ref="B58" location="'Quality Assessment '!F93" display="A56: Vanilla" xr:uid="{79DCF8B5-59F9-4255-B4C3-128AD51A4D43}"/>
    <hyperlink ref="B59" location="'Quality Assessment '!F94" display="A57: Stünkel et al." xr:uid="{B452377F-381A-4FE6-BDB8-3E1E4FBC94FC}"/>
    <hyperlink ref="B60" location="'Quality Assessment '!F95" display="A58: Assunção et al." xr:uid="{4A4C6225-3F33-457E-A410-8AC4ED0D6204}"/>
    <hyperlink ref="B61" location="'Quality Assessment '!F96" display="A59: Perrouin et al." xr:uid="{FAE6F428-6F91-475C-B08E-002E2757A048}"/>
    <hyperlink ref="B62" location="'Quality Assessment '!F97" display="A60: Negotiation framework" xr:uid="{526E0412-8B38-4328-9833-0A78C717BAF9}"/>
    <hyperlink ref="B63:B64" location="'Quality Assessment '!F97" display="A60: Negotiation framework" xr:uid="{59A3453C-5BAD-4ABF-8CC2-D257C34037E5}"/>
    <hyperlink ref="B63" location="'Quality Assessment '!F98" display="A61: DesignSpace" xr:uid="{F186FA40-5A6D-47F1-B1B1-FAC74C0BF029}"/>
    <hyperlink ref="B64" location="'Quality Assessment '!F99" display="A62: BDI Architecture" xr:uid="{824BFEF8-4445-4CCF-867B-2DF60882A485}"/>
    <hyperlink ref="B65:B66" location="'Quality Assessment '!F97" display="A60: Negotiation framework" xr:uid="{CF1F482A-5E6B-4EDF-BA44-8982EBF3A903}"/>
    <hyperlink ref="B65" location="'Quality Assessment '!F100" display="A63: iVuBlender" xr:uid="{9412EC1E-FBD5-45AF-9480-390013C5B9E9}"/>
    <hyperlink ref="B66" location="'Quality Assessment '!F102" display="A64: ModVCS" xr:uid="{3268108C-E9F5-4AE1-AD96-62FBE11E4F1E}"/>
    <hyperlink ref="B67" location="'Quality Assessment '!F103" display="A65: TReMer+" xr:uid="{800080F4-B72B-47C9-99D3-D28C419D3F70}"/>
    <hyperlink ref="B68" location="'Quality Assessment '!F104" display="A66: LMM" xr:uid="{1ED54FB2-5ABB-4A90-9E03-C5393D9897E7}"/>
    <hyperlink ref="B69" location="'Quality Assessment '!F111" display="A67: Fuzzy-Viewpoint" xr:uid="{1A1AB241-2232-4F0D-9D52-EE98062752FF}"/>
    <hyperlink ref="B70" location="'Quality Assessment '!F113" display="A68: Xbel" xr:uid="{EFFE508E-9B5F-4618-B432-134F3B783F78}"/>
    <hyperlink ref="B71" location="'Quality Assessment '!F115" display="A69: eMoflon" xr:uid="{ABFC501B-721A-422A-ADE1-211C101ABE32}"/>
    <hyperlink ref="B45" location="'Quality Assessment '!F77" display="A43: Mens et al. (AGG)" xr:uid="{4EAE8C43-EFAC-48E7-83C2-1C0A211C2471}"/>
    <hyperlink ref="B46" location="'Quality Assessment '!F78" display="A44: Zhang et al." xr:uid="{F2606E3C-6DE5-4F20-A65F-2F49C7E93043}"/>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8E5C-8A4D-4178-B244-818A30352BB7}">
  <sheetPr filterMode="1"/>
  <dimension ref="A1:AO139"/>
  <sheetViews>
    <sheetView zoomScaleNormal="100" workbookViewId="0">
      <pane xSplit="2" ySplit="2" topLeftCell="C3" activePane="bottomRight" state="frozen"/>
      <selection pane="topRight" activeCell="B1" sqref="B1"/>
      <selection pane="bottomLeft" activeCell="A3" sqref="A3"/>
      <selection pane="bottomRight" activeCell="J107" sqref="J107"/>
    </sheetView>
  </sheetViews>
  <sheetFormatPr defaultRowHeight="15" x14ac:dyDescent="0.25"/>
  <cols>
    <col min="1" max="1" width="9.140625" style="249"/>
    <col min="2" max="2" width="58.140625" customWidth="1"/>
    <col min="3" max="5" width="10.85546875" style="189" customWidth="1"/>
    <col min="6" max="6" width="12.42578125" style="189" customWidth="1"/>
    <col min="7" max="7" width="10.85546875" style="189" customWidth="1"/>
    <col min="8" max="8" width="22.28515625" style="189" customWidth="1"/>
    <col min="9" max="9" width="21.28515625" style="189" customWidth="1"/>
    <col min="10" max="10" width="35.42578125" style="189" customWidth="1"/>
    <col min="11" max="11" width="42.42578125" style="189" customWidth="1"/>
    <col min="12" max="12" width="33.28515625" style="189" customWidth="1"/>
    <col min="13" max="13" width="20.140625" style="189" customWidth="1"/>
    <col min="14" max="14" width="27.5703125" style="189" customWidth="1"/>
    <col min="15" max="16" width="11.140625" hidden="1" customWidth="1"/>
    <col min="17" max="17" width="11.7109375" hidden="1" customWidth="1"/>
    <col min="18" max="18" width="13.28515625" hidden="1" customWidth="1"/>
    <col min="19" max="19" width="12" hidden="1" customWidth="1"/>
    <col min="20" max="20" width="12.140625" hidden="1" customWidth="1"/>
    <col min="21" max="21" width="11.5703125" hidden="1" customWidth="1"/>
    <col min="22" max="22" width="12" hidden="1" customWidth="1"/>
    <col min="23" max="24" width="11.140625" hidden="1" customWidth="1"/>
    <col min="25" max="25" width="7.5703125" hidden="1" customWidth="1"/>
    <col min="26" max="26" width="13" hidden="1" customWidth="1"/>
    <col min="27" max="27" width="44.85546875" customWidth="1"/>
    <col min="28" max="28" width="11.5703125" customWidth="1"/>
    <col min="29" max="29" width="11.140625" customWidth="1"/>
    <col min="30" max="30" width="11.28515625" customWidth="1"/>
    <col min="31" max="31" width="11" customWidth="1"/>
    <col min="32" max="33" width="10.42578125" customWidth="1"/>
    <col min="34" max="35" width="10.140625" customWidth="1"/>
    <col min="36" max="36" width="34.42578125" customWidth="1"/>
    <col min="38" max="38" width="5.5703125" customWidth="1"/>
    <col min="39" max="39" width="71.85546875" customWidth="1"/>
    <col min="40" max="40" width="5.140625" style="189" customWidth="1"/>
    <col min="41" max="41" width="71.5703125" customWidth="1"/>
  </cols>
  <sheetData>
    <row r="1" spans="1:41" s="2" customFormat="1" ht="25.5" customHeight="1" x14ac:dyDescent="0.25">
      <c r="A1" s="387" t="s">
        <v>0</v>
      </c>
      <c r="B1" s="387" t="s">
        <v>1</v>
      </c>
      <c r="C1" s="387" t="s">
        <v>1616</v>
      </c>
      <c r="D1" s="387" t="s">
        <v>2468</v>
      </c>
      <c r="E1" s="387" t="s">
        <v>1676</v>
      </c>
      <c r="F1" s="387" t="s">
        <v>2081</v>
      </c>
      <c r="G1" s="387" t="s">
        <v>2083</v>
      </c>
      <c r="H1" s="387" t="s">
        <v>2082</v>
      </c>
      <c r="I1" s="411" t="s">
        <v>2695</v>
      </c>
      <c r="J1" s="375"/>
      <c r="K1" s="375"/>
      <c r="L1" s="375"/>
      <c r="M1" s="412"/>
      <c r="N1" s="387" t="s">
        <v>2693</v>
      </c>
      <c r="O1" s="20" t="s">
        <v>1625</v>
      </c>
      <c r="P1" s="20" t="s">
        <v>1636</v>
      </c>
      <c r="Q1" s="20" t="s">
        <v>561</v>
      </c>
      <c r="R1" s="20" t="s">
        <v>2071</v>
      </c>
      <c r="S1" s="20" t="s">
        <v>1637</v>
      </c>
      <c r="T1" s="20" t="s">
        <v>1617</v>
      </c>
      <c r="U1" s="20" t="s">
        <v>1618</v>
      </c>
      <c r="V1" s="20" t="s">
        <v>1627</v>
      </c>
      <c r="W1" s="20" t="s">
        <v>1639</v>
      </c>
      <c r="X1" s="187" t="s">
        <v>2074</v>
      </c>
      <c r="Y1" s="387" t="s">
        <v>1619</v>
      </c>
      <c r="Z1" s="387" t="s">
        <v>1620</v>
      </c>
      <c r="AA1" s="387" t="s">
        <v>3112</v>
      </c>
      <c r="AB1" s="21"/>
      <c r="AC1" s="21"/>
      <c r="AD1" s="21"/>
      <c r="AE1" s="21"/>
      <c r="AF1" s="21"/>
      <c r="AG1" s="21"/>
      <c r="AH1" s="21"/>
      <c r="AI1" s="21"/>
      <c r="AJ1" s="21"/>
    </row>
    <row r="2" spans="1:41" s="2" customFormat="1" ht="18.75" customHeight="1" x14ac:dyDescent="0.25">
      <c r="A2" s="388"/>
      <c r="B2" s="388"/>
      <c r="C2" s="388"/>
      <c r="D2" s="388"/>
      <c r="E2" s="388"/>
      <c r="F2" s="388"/>
      <c r="G2" s="388"/>
      <c r="H2" s="388"/>
      <c r="I2" s="188" t="s">
        <v>2563</v>
      </c>
      <c r="J2" s="188" t="s">
        <v>2564</v>
      </c>
      <c r="K2" s="188" t="s">
        <v>1666</v>
      </c>
      <c r="L2" s="188" t="s">
        <v>1683</v>
      </c>
      <c r="M2" s="188" t="s">
        <v>2694</v>
      </c>
      <c r="N2" s="388"/>
      <c r="O2" s="26" t="s">
        <v>1611</v>
      </c>
      <c r="P2" s="26" t="s">
        <v>1612</v>
      </c>
      <c r="Q2" s="26" t="s">
        <v>1613</v>
      </c>
      <c r="R2" s="26" t="s">
        <v>1614</v>
      </c>
      <c r="S2" s="26" t="s">
        <v>1615</v>
      </c>
      <c r="T2" s="26" t="s">
        <v>1632</v>
      </c>
      <c r="U2" s="26" t="s">
        <v>1633</v>
      </c>
      <c r="V2" s="26" t="s">
        <v>1634</v>
      </c>
      <c r="W2" s="26" t="s">
        <v>1635</v>
      </c>
      <c r="X2" s="78" t="s">
        <v>2075</v>
      </c>
      <c r="Y2" s="388"/>
      <c r="Z2" s="388"/>
      <c r="AA2" s="388"/>
      <c r="AB2" s="21"/>
      <c r="AC2" s="21"/>
      <c r="AD2" s="21"/>
      <c r="AE2" s="21"/>
      <c r="AF2" s="21"/>
      <c r="AG2" s="21"/>
      <c r="AH2" s="21"/>
      <c r="AI2" s="21"/>
      <c r="AJ2" s="21"/>
    </row>
    <row r="3" spans="1:41" x14ac:dyDescent="0.25">
      <c r="A3" s="23">
        <f>'Initial Search'!C90</f>
        <v>2011</v>
      </c>
      <c r="B3" s="55" t="str">
        <f>'Initial Search'!D90</f>
        <v>Distributed Collaborative Model Editing Framework for Domain Specific Modeling Tools</v>
      </c>
      <c r="C3" s="22">
        <f>ROW('Initial Search'!90:90)</f>
        <v>90</v>
      </c>
      <c r="D3" s="22">
        <f>ROW('Feature Study'!6:6)</f>
        <v>6</v>
      </c>
      <c r="E3" s="23" t="str">
        <f>'Initial Search'!M90</f>
        <v>Accepted</v>
      </c>
      <c r="F3" s="23" t="str">
        <f>'Initial Search'!N90</f>
        <v>Approved</v>
      </c>
      <c r="G3" s="389" t="s">
        <v>2120</v>
      </c>
      <c r="H3" s="23" t="str">
        <f>'Initial Search'!O90</f>
        <v>DiCoMEF</v>
      </c>
      <c r="I3" s="23"/>
      <c r="J3" s="23"/>
      <c r="K3" s="23" t="s">
        <v>2697</v>
      </c>
      <c r="L3" s="23"/>
      <c r="M3" s="23"/>
      <c r="N3" s="23" t="s">
        <v>2698</v>
      </c>
      <c r="O3" s="55" t="s">
        <v>1623</v>
      </c>
      <c r="P3" s="55" t="s">
        <v>1621</v>
      </c>
      <c r="Q3" s="55" t="s">
        <v>1624</v>
      </c>
      <c r="R3" s="55" t="s">
        <v>1621</v>
      </c>
      <c r="S3" s="55" t="s">
        <v>1621</v>
      </c>
      <c r="T3" s="55" t="s">
        <v>1624</v>
      </c>
      <c r="U3" s="55" t="s">
        <v>1621</v>
      </c>
      <c r="V3" s="55" t="s">
        <v>1621</v>
      </c>
      <c r="W3" s="55" t="s">
        <v>1623</v>
      </c>
      <c r="X3" s="55" t="s">
        <v>1621</v>
      </c>
      <c r="Y3" s="55">
        <f>COUNTIF(O3:U3,"Yes") + 0.5 * COUNTIF(O3:U3,"partially")</f>
        <v>2</v>
      </c>
      <c r="Z3" s="55">
        <f>Y3/7*100</f>
        <v>28.571428571428569</v>
      </c>
      <c r="AA3" s="23" t="s">
        <v>2697</v>
      </c>
    </row>
    <row r="4" spans="1:41" x14ac:dyDescent="0.25">
      <c r="A4" s="23">
        <f>'Initial Search'!C3</f>
        <v>2014</v>
      </c>
      <c r="B4" s="55" t="str">
        <f>'Initial Search'!D3</f>
        <v>Collaborative editing of EMF/Ecore meta-models and models conflict detection, reconciliation, and merging in DiCoMEF</v>
      </c>
      <c r="C4" s="22">
        <f>ROW('Initial Search'!3:3)</f>
        <v>3</v>
      </c>
      <c r="D4" s="22">
        <f>ROW('Feature Study'!7:7)</f>
        <v>7</v>
      </c>
      <c r="E4" s="23" t="str">
        <f>'Initial Search'!M3</f>
        <v>Accepted</v>
      </c>
      <c r="F4" s="23" t="str">
        <f>'Initial Search'!N3</f>
        <v>Approved</v>
      </c>
      <c r="G4" s="391"/>
      <c r="H4" s="23" t="str">
        <f>'Initial Search'!O3</f>
        <v>DiCoMEF</v>
      </c>
      <c r="I4" s="23" t="s">
        <v>2547</v>
      </c>
      <c r="J4" s="23"/>
      <c r="K4" s="23" t="s">
        <v>2697</v>
      </c>
      <c r="L4" s="23"/>
      <c r="M4" s="23"/>
      <c r="N4" s="23" t="s">
        <v>2696</v>
      </c>
      <c r="O4" s="55" t="s">
        <v>1623</v>
      </c>
      <c r="P4" s="55" t="s">
        <v>1623</v>
      </c>
      <c r="Q4" s="55" t="s">
        <v>1623</v>
      </c>
      <c r="R4" s="55" t="s">
        <v>1623</v>
      </c>
      <c r="S4" s="55" t="s">
        <v>1621</v>
      </c>
      <c r="T4" s="55" t="s">
        <v>1621</v>
      </c>
      <c r="U4" s="55" t="s">
        <v>1624</v>
      </c>
      <c r="V4" s="55" t="s">
        <v>1621</v>
      </c>
      <c r="W4" s="55" t="s">
        <v>1624</v>
      </c>
      <c r="X4" s="55" t="s">
        <v>1624</v>
      </c>
      <c r="Y4" s="55">
        <f t="shared" ref="Y4:Y81" si="0">COUNTIF(O4:U4,"Yes") + 0.5 * COUNTIF(O4:U4,"partially")</f>
        <v>4.5</v>
      </c>
      <c r="Z4" s="55">
        <f t="shared" ref="Z4:Z81" si="1">Y4/7*100</f>
        <v>64.285714285714292</v>
      </c>
      <c r="AA4" s="23" t="s">
        <v>3666</v>
      </c>
    </row>
    <row r="5" spans="1:41" s="264" customFormat="1" x14ac:dyDescent="0.25">
      <c r="A5" s="247">
        <f>'Initial Search'!C171</f>
        <v>2015</v>
      </c>
      <c r="B5" s="355" t="str">
        <f>'Initial Search'!D171</f>
        <v>Collaborative editing of EMF/Ecore meta-models and models: Conflict detection, reconciliation, and merging in DiCoMEF</v>
      </c>
      <c r="C5" s="356">
        <f>ROW('Initial Search'!171:171)</f>
        <v>171</v>
      </c>
      <c r="D5" s="356">
        <f>ROW('Feature Study'!8:8)</f>
        <v>8</v>
      </c>
      <c r="E5" s="247" t="str">
        <f>'Initial Search'!M171</f>
        <v>Accepted</v>
      </c>
      <c r="F5" s="247" t="str">
        <f>'Initial Search'!N171</f>
        <v>Approved</v>
      </c>
      <c r="G5" s="413"/>
      <c r="H5" s="247" t="str">
        <f>'Initial Search'!O171</f>
        <v>DiCoMEF</v>
      </c>
      <c r="I5" s="247" t="s">
        <v>2547</v>
      </c>
      <c r="J5" s="247"/>
      <c r="K5" s="247" t="s">
        <v>2857</v>
      </c>
      <c r="L5" s="247"/>
      <c r="M5" s="247" t="s">
        <v>1671</v>
      </c>
      <c r="N5" s="247" t="s">
        <v>2709</v>
      </c>
      <c r="O5" s="55" t="s">
        <v>1623</v>
      </c>
      <c r="P5" s="55" t="s">
        <v>1623</v>
      </c>
      <c r="Q5" s="55" t="s">
        <v>1623</v>
      </c>
      <c r="R5" s="55" t="s">
        <v>1623</v>
      </c>
      <c r="S5" s="55" t="s">
        <v>1624</v>
      </c>
      <c r="T5" s="55" t="s">
        <v>1623</v>
      </c>
      <c r="U5" s="55" t="s">
        <v>1623</v>
      </c>
      <c r="V5" s="55" t="s">
        <v>1621</v>
      </c>
      <c r="W5" s="55" t="s">
        <v>1623</v>
      </c>
      <c r="X5" s="55" t="s">
        <v>1624</v>
      </c>
      <c r="Y5" s="55">
        <f t="shared" si="0"/>
        <v>6.5</v>
      </c>
      <c r="Z5" s="55">
        <f t="shared" si="1"/>
        <v>92.857142857142861</v>
      </c>
      <c r="AA5" s="247" t="s">
        <v>3791</v>
      </c>
      <c r="AN5" s="166"/>
    </row>
    <row r="6" spans="1:41" x14ac:dyDescent="0.25">
      <c r="A6" s="23">
        <f>'Initial Search'!C4</f>
        <v>2016</v>
      </c>
      <c r="B6" s="55" t="str">
        <f>'Initial Search'!D4</f>
        <v>Composite-based conflict resolution in merging versions of UML models</v>
      </c>
      <c r="C6" s="22">
        <f>ROW('Initial Search'!4:4)</f>
        <v>4</v>
      </c>
      <c r="D6" s="22">
        <f>ROW('Feature Study'!10:10)</f>
        <v>10</v>
      </c>
      <c r="E6" s="23" t="str">
        <f>'Initial Search'!M4</f>
        <v>Accepted</v>
      </c>
      <c r="F6" s="23" t="str">
        <f>'Initial Search'!N4</f>
        <v>Approved</v>
      </c>
      <c r="G6" s="23" t="s">
        <v>2119</v>
      </c>
      <c r="H6" s="23" t="str">
        <f>'Initial Search'!O4</f>
        <v>Chong et al.</v>
      </c>
      <c r="I6" s="23"/>
      <c r="J6" s="23"/>
      <c r="K6" s="23" t="s">
        <v>2704</v>
      </c>
      <c r="L6" s="23" t="s">
        <v>2704</v>
      </c>
      <c r="M6" s="23" t="s">
        <v>1671</v>
      </c>
      <c r="N6" s="23" t="s">
        <v>2696</v>
      </c>
      <c r="O6" s="55" t="s">
        <v>1623</v>
      </c>
      <c r="P6" s="55" t="s">
        <v>1623</v>
      </c>
      <c r="Q6" s="55" t="s">
        <v>1623</v>
      </c>
      <c r="R6" s="55" t="s">
        <v>1623</v>
      </c>
      <c r="S6" s="55" t="s">
        <v>1621</v>
      </c>
      <c r="T6" s="55" t="s">
        <v>1623</v>
      </c>
      <c r="U6" s="55" t="s">
        <v>1624</v>
      </c>
      <c r="V6" s="55" t="s">
        <v>1621</v>
      </c>
      <c r="W6" s="55" t="s">
        <v>1624</v>
      </c>
      <c r="X6" s="55" t="s">
        <v>1621</v>
      </c>
      <c r="Y6" s="55">
        <f t="shared" si="0"/>
        <v>5.5</v>
      </c>
      <c r="Z6" s="55">
        <f t="shared" si="1"/>
        <v>78.571428571428569</v>
      </c>
      <c r="AA6" s="23" t="s">
        <v>2704</v>
      </c>
      <c r="AL6" s="189"/>
    </row>
    <row r="7" spans="1:41" x14ac:dyDescent="0.25">
      <c r="A7" s="23">
        <f>'Initial Search'!C6</f>
        <v>2009</v>
      </c>
      <c r="B7" s="55" t="str">
        <f>'Initial Search'!D6</f>
        <v>Operation-based conflict detection and resolution</v>
      </c>
      <c r="C7" s="22">
        <f>ROW('Initial Search'!6:6)</f>
        <v>6</v>
      </c>
      <c r="D7" s="22">
        <f>ROW('Feature Study'!11:11)</f>
        <v>11</v>
      </c>
      <c r="E7" s="23" t="str">
        <f>'Initial Search'!M6</f>
        <v>Accepted</v>
      </c>
      <c r="F7" s="23" t="str">
        <f>'Initial Search'!N6</f>
        <v>Approved</v>
      </c>
      <c r="G7" s="389" t="s">
        <v>2118</v>
      </c>
      <c r="H7" s="23" t="str">
        <f>'Initial Search'!O6</f>
        <v>SCM (UniCase+)</v>
      </c>
      <c r="I7" s="23" t="s">
        <v>561</v>
      </c>
      <c r="J7" s="23"/>
      <c r="K7" s="23" t="s">
        <v>561</v>
      </c>
      <c r="L7" s="23" t="s">
        <v>561</v>
      </c>
      <c r="M7" s="23" t="s">
        <v>2711</v>
      </c>
      <c r="N7" s="23" t="s">
        <v>2696</v>
      </c>
      <c r="O7" s="55" t="s">
        <v>1624</v>
      </c>
      <c r="P7" s="55" t="s">
        <v>1623</v>
      </c>
      <c r="Q7" s="55" t="s">
        <v>1623</v>
      </c>
      <c r="R7" s="55" t="s">
        <v>1623</v>
      </c>
      <c r="S7" s="55" t="s">
        <v>1621</v>
      </c>
      <c r="T7" s="55" t="s">
        <v>1621</v>
      </c>
      <c r="U7" s="55" t="s">
        <v>1624</v>
      </c>
      <c r="V7" s="55" t="s">
        <v>1621</v>
      </c>
      <c r="W7" s="55" t="s">
        <v>1624</v>
      </c>
      <c r="X7" s="55" t="s">
        <v>1624</v>
      </c>
      <c r="Y7" s="55">
        <f t="shared" si="0"/>
        <v>4</v>
      </c>
      <c r="Z7" s="55">
        <f t="shared" si="1"/>
        <v>57.142857142857139</v>
      </c>
      <c r="AA7" s="23" t="s">
        <v>3102</v>
      </c>
      <c r="AL7" s="189"/>
    </row>
    <row r="8" spans="1:41" x14ac:dyDescent="0.25">
      <c r="A8" s="23">
        <f>'Initial Search'!C113</f>
        <v>2010</v>
      </c>
      <c r="B8" s="55" t="str">
        <f>'Initial Search'!D113</f>
        <v>Operation-based conflict detection</v>
      </c>
      <c r="C8" s="22">
        <f>ROW('Initial Search'!113:113)</f>
        <v>113</v>
      </c>
      <c r="D8" s="22">
        <f>ROW('Feature Study'!13:13)</f>
        <v>13</v>
      </c>
      <c r="E8" s="23" t="str">
        <f>'Initial Search'!M113</f>
        <v>Accepted</v>
      </c>
      <c r="F8" s="23" t="str">
        <f>'Initial Search'!N113</f>
        <v>Approved</v>
      </c>
      <c r="G8" s="391"/>
      <c r="H8" s="23" t="str">
        <f>'Initial Search'!O113</f>
        <v>SCM (UniCase+)</v>
      </c>
      <c r="I8" s="23"/>
      <c r="J8" s="23"/>
      <c r="K8" s="23" t="s">
        <v>2704</v>
      </c>
      <c r="L8" s="23" t="s">
        <v>2704</v>
      </c>
      <c r="M8" s="23" t="s">
        <v>2711</v>
      </c>
      <c r="N8" s="23" t="s">
        <v>2709</v>
      </c>
      <c r="O8" s="55" t="s">
        <v>1624</v>
      </c>
      <c r="P8" s="55" t="s">
        <v>1621</v>
      </c>
      <c r="Q8" s="55" t="s">
        <v>1623</v>
      </c>
      <c r="R8" s="55" t="s">
        <v>1623</v>
      </c>
      <c r="S8" s="55" t="s">
        <v>1621</v>
      </c>
      <c r="T8" s="55" t="s">
        <v>1624</v>
      </c>
      <c r="U8" s="55" t="s">
        <v>1621</v>
      </c>
      <c r="V8" s="55" t="s">
        <v>1621</v>
      </c>
      <c r="W8" s="55" t="s">
        <v>1623</v>
      </c>
      <c r="X8" s="55" t="s">
        <v>1621</v>
      </c>
      <c r="Y8" s="55">
        <f t="shared" si="0"/>
        <v>3</v>
      </c>
      <c r="Z8" s="81">
        <f t="shared" si="1"/>
        <v>42.857142857142854</v>
      </c>
      <c r="AA8" s="23" t="s">
        <v>3674</v>
      </c>
      <c r="AL8" s="189"/>
    </row>
    <row r="9" spans="1:41" hidden="1" x14ac:dyDescent="0.25">
      <c r="A9" s="23">
        <f>'Initial Search'!C148</f>
        <v>2010</v>
      </c>
      <c r="B9" s="55" t="str">
        <f>'Initial Search'!D148</f>
        <v>Collaborative model merging</v>
      </c>
      <c r="C9" s="22">
        <f>ROW('Initial Search'!148:148)</f>
        <v>148</v>
      </c>
      <c r="D9" s="22">
        <f>ROW('Feature Study'!14:14)</f>
        <v>14</v>
      </c>
      <c r="E9" s="23" t="str">
        <f>'Initial Search'!M148</f>
        <v>Accepted</v>
      </c>
      <c r="F9" s="190" t="str">
        <f>'Initial Search'!N148</f>
        <v>Disapproved</v>
      </c>
      <c r="G9" s="390"/>
      <c r="H9" s="23" t="str">
        <f>'Initial Search'!O148</f>
        <v>SCM (UniCase+)</v>
      </c>
      <c r="I9" s="23"/>
      <c r="J9" s="23"/>
      <c r="K9" s="23"/>
      <c r="L9" s="23"/>
      <c r="M9" s="23"/>
      <c r="N9" s="23"/>
      <c r="O9" s="55" t="s">
        <v>1624</v>
      </c>
      <c r="P9" s="55" t="s">
        <v>1624</v>
      </c>
      <c r="Q9" s="55" t="s">
        <v>1623</v>
      </c>
      <c r="R9" s="55" t="s">
        <v>1623</v>
      </c>
      <c r="S9" s="55" t="s">
        <v>1624</v>
      </c>
      <c r="T9" s="55" t="s">
        <v>1623</v>
      </c>
      <c r="U9" s="55" t="s">
        <v>1621</v>
      </c>
      <c r="V9" s="55" t="s">
        <v>1621</v>
      </c>
      <c r="W9" s="55" t="s">
        <v>1623</v>
      </c>
      <c r="X9" s="55" t="s">
        <v>1621</v>
      </c>
      <c r="Y9" s="55">
        <f t="shared" si="0"/>
        <v>4.5</v>
      </c>
      <c r="Z9" s="55">
        <f t="shared" si="1"/>
        <v>64.285714285714292</v>
      </c>
      <c r="AA9" s="23"/>
      <c r="AL9" s="189"/>
    </row>
    <row r="10" spans="1:41" x14ac:dyDescent="0.25">
      <c r="A10" s="23">
        <f>'Initial Search'!C8</f>
        <v>2018</v>
      </c>
      <c r="B10" s="55" t="str">
        <f>'Initial Search'!D8</f>
        <v>Collaborative-Design Conflicts: Costs and Solutions</v>
      </c>
      <c r="C10" s="22">
        <f>ROW('Initial Search'!8:8)</f>
        <v>8</v>
      </c>
      <c r="D10" s="22">
        <f>ROW('Feature Study'!17:17)</f>
        <v>17</v>
      </c>
      <c r="E10" s="23" t="str">
        <f>'Initial Search'!M8</f>
        <v>Accepted</v>
      </c>
      <c r="F10" s="23" t="str">
        <f>'Initial Search'!N8</f>
        <v>Approved</v>
      </c>
      <c r="G10" s="389" t="s">
        <v>2117</v>
      </c>
      <c r="H10" s="23" t="str">
        <f>'Initial Search'!O8</f>
        <v>FLAME</v>
      </c>
      <c r="I10" s="23"/>
      <c r="J10" s="23"/>
      <c r="K10" s="23" t="s">
        <v>2710</v>
      </c>
      <c r="L10" s="23"/>
      <c r="M10" s="23"/>
      <c r="N10" s="23" t="s">
        <v>2696</v>
      </c>
      <c r="O10" s="55" t="s">
        <v>1623</v>
      </c>
      <c r="P10" s="55" t="s">
        <v>1621</v>
      </c>
      <c r="Q10" s="55" t="s">
        <v>1623</v>
      </c>
      <c r="R10" s="55" t="s">
        <v>1623</v>
      </c>
      <c r="S10" s="55" t="s">
        <v>1621</v>
      </c>
      <c r="T10" s="55" t="s">
        <v>1624</v>
      </c>
      <c r="U10" s="55" t="s">
        <v>1623</v>
      </c>
      <c r="V10" s="55" t="s">
        <v>1621</v>
      </c>
      <c r="W10" s="55" t="s">
        <v>1623</v>
      </c>
      <c r="X10" s="55" t="s">
        <v>1621</v>
      </c>
      <c r="Y10" s="55">
        <f t="shared" si="0"/>
        <v>4.5</v>
      </c>
      <c r="Z10" s="55">
        <f t="shared" si="1"/>
        <v>64.285714285714292</v>
      </c>
      <c r="AA10" s="23" t="s">
        <v>2710</v>
      </c>
      <c r="AL10" s="189"/>
      <c r="AO10" s="71"/>
    </row>
    <row r="11" spans="1:41" x14ac:dyDescent="0.25">
      <c r="A11" s="23">
        <f>'Initial Search'!C14</f>
        <v>2015</v>
      </c>
      <c r="B11" s="55" t="str">
        <f>'Initial Search'!D14</f>
        <v>Proactive Detection of Higher-Order Software Design Conflicts</v>
      </c>
      <c r="C11" s="22">
        <f>ROW('Initial Search'!14:14)</f>
        <v>14</v>
      </c>
      <c r="D11" s="22">
        <f>ROW('Feature Study'!18:18)</f>
        <v>18</v>
      </c>
      <c r="E11" s="23" t="str">
        <f>'Initial Search'!M14</f>
        <v>Accepted</v>
      </c>
      <c r="F11" s="23" t="str">
        <f>'Initial Search'!N14</f>
        <v>Approved</v>
      </c>
      <c r="G11" s="391"/>
      <c r="H11" s="23" t="str">
        <f>'Initial Search'!O14</f>
        <v>FLAME</v>
      </c>
      <c r="I11" s="23"/>
      <c r="J11" s="23"/>
      <c r="K11" s="23" t="s">
        <v>2710</v>
      </c>
      <c r="L11" s="23"/>
      <c r="M11" s="23"/>
      <c r="N11" s="23" t="s">
        <v>2709</v>
      </c>
      <c r="O11" s="55" t="s">
        <v>1623</v>
      </c>
      <c r="P11" s="55" t="s">
        <v>1621</v>
      </c>
      <c r="Q11" s="55" t="s">
        <v>1623</v>
      </c>
      <c r="R11" s="55" t="s">
        <v>1623</v>
      </c>
      <c r="S11" s="55" t="s">
        <v>1624</v>
      </c>
      <c r="T11" s="55" t="s">
        <v>1623</v>
      </c>
      <c r="U11" s="55" t="s">
        <v>1621</v>
      </c>
      <c r="V11" s="55" t="s">
        <v>1621</v>
      </c>
      <c r="W11" s="55" t="s">
        <v>1623</v>
      </c>
      <c r="X11" s="55" t="s">
        <v>1621</v>
      </c>
      <c r="Y11" s="55">
        <f t="shared" si="0"/>
        <v>4.5</v>
      </c>
      <c r="Z11" s="55">
        <f t="shared" si="1"/>
        <v>64.285714285714292</v>
      </c>
      <c r="AA11" s="23" t="s">
        <v>2710</v>
      </c>
      <c r="AL11" s="189"/>
    </row>
    <row r="12" spans="1:41" s="264" customFormat="1" x14ac:dyDescent="0.25">
      <c r="A12" s="247">
        <f>'Initial Search'!C86</f>
        <v>2017</v>
      </c>
      <c r="B12" s="355" t="str">
        <f>'Initial Search'!D86</f>
        <v>Continuous Analysis of Collaborative Design</v>
      </c>
      <c r="C12" s="356">
        <f>ROW('Initial Search'!86:86)</f>
        <v>86</v>
      </c>
      <c r="D12" s="356">
        <f>ROW('Feature Study'!19:19)</f>
        <v>19</v>
      </c>
      <c r="E12" s="247" t="str">
        <f>'Initial Search'!M86</f>
        <v>Accepted</v>
      </c>
      <c r="F12" s="247" t="str">
        <f>'Initial Search'!N86</f>
        <v>Approved</v>
      </c>
      <c r="G12" s="413"/>
      <c r="H12" s="247" t="str">
        <f>'Initial Search'!O86</f>
        <v>FLAME</v>
      </c>
      <c r="I12" s="247"/>
      <c r="J12" s="247"/>
      <c r="K12" s="247" t="s">
        <v>2713</v>
      </c>
      <c r="L12" s="247"/>
      <c r="M12" s="247" t="s">
        <v>2714</v>
      </c>
      <c r="N12" s="247" t="s">
        <v>2709</v>
      </c>
      <c r="O12" s="55" t="s">
        <v>1623</v>
      </c>
      <c r="P12" s="55" t="s">
        <v>1621</v>
      </c>
      <c r="Q12" s="55" t="s">
        <v>1623</v>
      </c>
      <c r="R12" s="55" t="s">
        <v>1623</v>
      </c>
      <c r="S12" s="55" t="s">
        <v>1624</v>
      </c>
      <c r="T12" s="55" t="s">
        <v>1623</v>
      </c>
      <c r="U12" s="55" t="s">
        <v>1621</v>
      </c>
      <c r="V12" s="55" t="s">
        <v>1621</v>
      </c>
      <c r="W12" s="55" t="s">
        <v>1623</v>
      </c>
      <c r="X12" s="55" t="s">
        <v>1621</v>
      </c>
      <c r="Y12" s="55">
        <f t="shared" si="0"/>
        <v>4.5</v>
      </c>
      <c r="Z12" s="55">
        <f t="shared" si="1"/>
        <v>64.285714285714292</v>
      </c>
      <c r="AA12" s="247" t="s">
        <v>3104</v>
      </c>
      <c r="AL12" s="166"/>
      <c r="AN12" s="166"/>
    </row>
    <row r="13" spans="1:41" x14ac:dyDescent="0.25">
      <c r="A13" s="23">
        <f>'Initial Search'!C10</f>
        <v>2014</v>
      </c>
      <c r="B13" s="55" t="str">
        <f>'Initial Search'!D10</f>
        <v>Inconsistency Resolution in Merging Versions of Architectural Models</v>
      </c>
      <c r="C13" s="22">
        <f>ROW('Initial Search'!10:10)</f>
        <v>10</v>
      </c>
      <c r="D13" s="22">
        <f>ROW('Feature Study'!21:21)</f>
        <v>21</v>
      </c>
      <c r="E13" s="23" t="str">
        <f>'Initial Search'!M10</f>
        <v>Accepted</v>
      </c>
      <c r="F13" s="23" t="str">
        <f>'Initial Search'!N10</f>
        <v>Approved</v>
      </c>
      <c r="G13" s="389" t="s">
        <v>2116</v>
      </c>
      <c r="H13" s="23" t="str">
        <f>'Initial Search'!O10</f>
        <v>Dam et al.</v>
      </c>
      <c r="I13" s="23"/>
      <c r="J13" s="23"/>
      <c r="K13" s="23" t="s">
        <v>2704</v>
      </c>
      <c r="L13" s="23" t="s">
        <v>561</v>
      </c>
      <c r="M13" s="23"/>
      <c r="N13" s="23" t="s">
        <v>2696</v>
      </c>
      <c r="O13" s="55" t="s">
        <v>1623</v>
      </c>
      <c r="P13" s="55" t="s">
        <v>1623</v>
      </c>
      <c r="Q13" s="55" t="s">
        <v>1623</v>
      </c>
      <c r="R13" s="55" t="s">
        <v>1623</v>
      </c>
      <c r="S13" s="55" t="s">
        <v>1623</v>
      </c>
      <c r="T13" s="55" t="s">
        <v>1623</v>
      </c>
      <c r="U13" s="55" t="s">
        <v>1623</v>
      </c>
      <c r="V13" s="55" t="s">
        <v>1621</v>
      </c>
      <c r="W13" s="55" t="s">
        <v>1624</v>
      </c>
      <c r="X13" s="55" t="s">
        <v>1624</v>
      </c>
      <c r="Y13" s="55">
        <f t="shared" si="0"/>
        <v>7</v>
      </c>
      <c r="Z13" s="55">
        <f t="shared" si="1"/>
        <v>100</v>
      </c>
      <c r="AA13" s="23" t="s">
        <v>3105</v>
      </c>
      <c r="AL13" s="189"/>
    </row>
    <row r="14" spans="1:41" s="264" customFormat="1" x14ac:dyDescent="0.25">
      <c r="A14" s="247">
        <f>'Initial Search'!C172</f>
        <v>2016</v>
      </c>
      <c r="B14" s="355" t="str">
        <f>'Initial Search'!D172</f>
        <v>Consistent merging of model versions</v>
      </c>
      <c r="C14" s="356">
        <f>ROW('Initial Search'!172:172)</f>
        <v>172</v>
      </c>
      <c r="D14" s="356">
        <f>ROW('Feature Study'!22:22)</f>
        <v>22</v>
      </c>
      <c r="E14" s="247" t="str">
        <f>'Initial Search'!M172</f>
        <v>Accepted</v>
      </c>
      <c r="F14" s="247" t="str">
        <f>'Initial Search'!N172</f>
        <v>Approved</v>
      </c>
      <c r="G14" s="413"/>
      <c r="H14" s="247" t="str">
        <f>'Initial Search'!O172</f>
        <v>Dam et al.</v>
      </c>
      <c r="I14" s="247"/>
      <c r="J14" s="247"/>
      <c r="K14" s="247" t="s">
        <v>2715</v>
      </c>
      <c r="L14" s="247" t="s">
        <v>561</v>
      </c>
      <c r="M14" s="247"/>
      <c r="N14" s="247" t="s">
        <v>2709</v>
      </c>
      <c r="O14" s="55" t="s">
        <v>1623</v>
      </c>
      <c r="P14" s="55" t="s">
        <v>1623</v>
      </c>
      <c r="Q14" s="55" t="s">
        <v>1623</v>
      </c>
      <c r="R14" s="55" t="s">
        <v>1623</v>
      </c>
      <c r="S14" s="55" t="s">
        <v>1623</v>
      </c>
      <c r="T14" s="55" t="s">
        <v>1623</v>
      </c>
      <c r="U14" s="55" t="s">
        <v>1623</v>
      </c>
      <c r="V14" s="55" t="s">
        <v>1621</v>
      </c>
      <c r="W14" s="55" t="s">
        <v>1623</v>
      </c>
      <c r="X14" s="55" t="s">
        <v>1624</v>
      </c>
      <c r="Y14" s="55">
        <f t="shared" si="0"/>
        <v>7</v>
      </c>
      <c r="Z14" s="55">
        <f t="shared" si="1"/>
        <v>100</v>
      </c>
      <c r="AA14" s="247" t="s">
        <v>2715</v>
      </c>
      <c r="AL14" s="166"/>
      <c r="AN14" s="166"/>
    </row>
    <row r="15" spans="1:41" x14ac:dyDescent="0.25">
      <c r="A15" s="23">
        <f>'Initial Search'!C11</f>
        <v>2013</v>
      </c>
      <c r="B15" s="55" t="str">
        <f>'Initial Search'!D11</f>
        <v>Handling Concurrent Changes in Collaborative Process Model Development: A Change-Pattern Based Approach</v>
      </c>
      <c r="C15" s="22">
        <f>ROW('Initial Search'!11:11)</f>
        <v>11</v>
      </c>
      <c r="D15" s="22">
        <f>ROW('Feature Study'!23:23)</f>
        <v>23</v>
      </c>
      <c r="E15" s="23" t="str">
        <f>'Initial Search'!M11</f>
        <v>Accepted</v>
      </c>
      <c r="F15" s="23" t="str">
        <f>'Initial Search'!N11</f>
        <v>Approved</v>
      </c>
      <c r="G15" s="23" t="s">
        <v>2115</v>
      </c>
      <c r="H15" s="23" t="str">
        <f>'Initial Search'!O11</f>
        <v>xoWiki</v>
      </c>
      <c r="I15" s="23"/>
      <c r="J15" s="23"/>
      <c r="K15" s="23" t="s">
        <v>3660</v>
      </c>
      <c r="L15" s="23" t="s">
        <v>3673</v>
      </c>
      <c r="M15" s="23" t="s">
        <v>2714</v>
      </c>
      <c r="N15" s="23" t="s">
        <v>2696</v>
      </c>
      <c r="O15" s="55" t="s">
        <v>1624</v>
      </c>
      <c r="P15" s="55" t="s">
        <v>1621</v>
      </c>
      <c r="Q15" s="55" t="s">
        <v>1623</v>
      </c>
      <c r="R15" s="55" t="s">
        <v>1623</v>
      </c>
      <c r="S15" s="55" t="s">
        <v>1621</v>
      </c>
      <c r="T15" s="55" t="s">
        <v>1621</v>
      </c>
      <c r="U15" s="55" t="s">
        <v>1624</v>
      </c>
      <c r="V15" s="55" t="s">
        <v>1621</v>
      </c>
      <c r="W15" s="55" t="s">
        <v>1624</v>
      </c>
      <c r="X15" s="55" t="s">
        <v>1621</v>
      </c>
      <c r="Y15" s="55">
        <f t="shared" si="0"/>
        <v>3</v>
      </c>
      <c r="Z15" s="81">
        <f t="shared" si="1"/>
        <v>42.857142857142854</v>
      </c>
      <c r="AA15" s="23" t="s">
        <v>3737</v>
      </c>
      <c r="AL15" s="189"/>
    </row>
    <row r="16" spans="1:41" s="264" customFormat="1" x14ac:dyDescent="0.25">
      <c r="A16" s="247">
        <f>'Initial Search'!C104</f>
        <v>2017</v>
      </c>
      <c r="B16" s="355" t="str">
        <f>'Initial Search'!D104</f>
        <v>Property-based locking in collaborative modeling</v>
      </c>
      <c r="C16" s="356">
        <f>ROW('Initial Search'!104:104)</f>
        <v>104</v>
      </c>
      <c r="D16" s="356">
        <f>ROW('Feature Study'!26:26)</f>
        <v>26</v>
      </c>
      <c r="E16" s="247" t="str">
        <f>'Initial Search'!M104</f>
        <v>Accepted</v>
      </c>
      <c r="F16" s="247" t="str">
        <f>'Initial Search'!N104</f>
        <v>Approved</v>
      </c>
      <c r="G16" s="414" t="s">
        <v>2114</v>
      </c>
      <c r="H16" s="247" t="str">
        <f>'Initial Search'!O104</f>
        <v>MONDO</v>
      </c>
      <c r="I16" s="247"/>
      <c r="J16" s="247" t="s">
        <v>2721</v>
      </c>
      <c r="K16" s="247"/>
      <c r="L16" s="247"/>
      <c r="M16" s="247"/>
      <c r="N16" s="247" t="s">
        <v>2696</v>
      </c>
      <c r="O16" s="55" t="s">
        <v>1623</v>
      </c>
      <c r="P16" s="55" t="s">
        <v>1623</v>
      </c>
      <c r="Q16" s="55" t="s">
        <v>1623</v>
      </c>
      <c r="R16" s="55" t="s">
        <v>1623</v>
      </c>
      <c r="S16" s="55" t="s">
        <v>1624</v>
      </c>
      <c r="T16" s="55" t="s">
        <v>1624</v>
      </c>
      <c r="U16" s="55" t="s">
        <v>1624</v>
      </c>
      <c r="V16" s="55" t="s">
        <v>1621</v>
      </c>
      <c r="W16" s="55" t="s">
        <v>1623</v>
      </c>
      <c r="X16" s="55" t="s">
        <v>1623</v>
      </c>
      <c r="Y16" s="55">
        <f t="shared" si="0"/>
        <v>5.5</v>
      </c>
      <c r="Z16" s="55">
        <f t="shared" si="1"/>
        <v>78.571428571428569</v>
      </c>
      <c r="AA16" s="247" t="s">
        <v>2721</v>
      </c>
      <c r="AN16" s="166"/>
    </row>
    <row r="17" spans="1:40" s="264" customFormat="1" x14ac:dyDescent="0.25">
      <c r="A17" s="247">
        <f>'Initial Search'!C235</f>
        <v>2016</v>
      </c>
      <c r="B17" s="355" t="str">
        <f>'Initial Search'!D235</f>
        <v>Automated Model Merge by Design Space Exploration</v>
      </c>
      <c r="C17" s="356">
        <f>ROW('Initial Search'!235:235)</f>
        <v>235</v>
      </c>
      <c r="D17" s="356">
        <f>ROW('Feature Study'!29:29)</f>
        <v>29</v>
      </c>
      <c r="E17" s="247" t="str">
        <f>'Initial Search'!M235</f>
        <v>Accepted</v>
      </c>
      <c r="F17" s="247" t="str">
        <f>'Initial Search'!N235</f>
        <v>Approved</v>
      </c>
      <c r="G17" s="413"/>
      <c r="H17" s="247" t="str">
        <f>'Initial Search'!O235</f>
        <v>MONDO</v>
      </c>
      <c r="I17" s="247"/>
      <c r="J17" s="247"/>
      <c r="K17" s="247" t="s">
        <v>2716</v>
      </c>
      <c r="L17" s="247" t="s">
        <v>2704</v>
      </c>
      <c r="M17" s="247"/>
      <c r="N17" s="247" t="s">
        <v>2696</v>
      </c>
      <c r="O17" s="55" t="s">
        <v>1623</v>
      </c>
      <c r="P17" s="55" t="s">
        <v>1623</v>
      </c>
      <c r="Q17" s="55" t="s">
        <v>1623</v>
      </c>
      <c r="R17" s="55" t="s">
        <v>1623</v>
      </c>
      <c r="S17" s="55" t="s">
        <v>1624</v>
      </c>
      <c r="T17" s="55" t="s">
        <v>1623</v>
      </c>
      <c r="U17" s="55" t="s">
        <v>1623</v>
      </c>
      <c r="V17" s="55" t="s">
        <v>1621</v>
      </c>
      <c r="W17" s="55" t="s">
        <v>1623</v>
      </c>
      <c r="X17" s="55" t="s">
        <v>1621</v>
      </c>
      <c r="Y17" s="55">
        <f t="shared" si="0"/>
        <v>6.5</v>
      </c>
      <c r="Z17" s="55">
        <f t="shared" si="1"/>
        <v>92.857142857142861</v>
      </c>
      <c r="AA17" s="247" t="s">
        <v>2716</v>
      </c>
      <c r="AN17" s="166"/>
    </row>
    <row r="18" spans="1:40" x14ac:dyDescent="0.25">
      <c r="A18" s="23">
        <f>'Initial Search'!C224</f>
        <v>2013</v>
      </c>
      <c r="B18" s="55" t="str">
        <f>'Initial Search'!D224</f>
        <v>Detection and resolution of conflicting change operations in version management of process models</v>
      </c>
      <c r="C18" s="22">
        <f>ROW('Initial Search'!224:224)</f>
        <v>224</v>
      </c>
      <c r="D18" s="22">
        <f>ROW('Feature Study'!32:32)</f>
        <v>32</v>
      </c>
      <c r="E18" s="23" t="str">
        <f>'Initial Search'!M224</f>
        <v>Accepted</v>
      </c>
      <c r="F18" s="23" t="str">
        <f>'Initial Search'!N224</f>
        <v>Approved</v>
      </c>
      <c r="G18" s="389" t="s">
        <v>2113</v>
      </c>
      <c r="H18" s="23" t="str">
        <f>'Initial Search'!O224</f>
        <v>Gerth et al.</v>
      </c>
      <c r="I18" s="23" t="s">
        <v>2547</v>
      </c>
      <c r="J18" s="23"/>
      <c r="K18" s="23" t="s">
        <v>2547</v>
      </c>
      <c r="L18" s="23" t="s">
        <v>2547</v>
      </c>
      <c r="M18" s="23"/>
      <c r="N18" s="23" t="s">
        <v>2698</v>
      </c>
      <c r="O18" s="55" t="s">
        <v>1623</v>
      </c>
      <c r="P18" s="55" t="s">
        <v>1623</v>
      </c>
      <c r="Q18" s="55" t="s">
        <v>1623</v>
      </c>
      <c r="R18" s="55" t="s">
        <v>1621</v>
      </c>
      <c r="S18" s="55" t="s">
        <v>1621</v>
      </c>
      <c r="T18" s="55" t="s">
        <v>1623</v>
      </c>
      <c r="U18" s="55" t="s">
        <v>1623</v>
      </c>
      <c r="V18" s="55" t="s">
        <v>1621</v>
      </c>
      <c r="W18" s="55" t="s">
        <v>1623</v>
      </c>
      <c r="X18" s="55" t="s">
        <v>1624</v>
      </c>
      <c r="Y18" s="55">
        <f t="shared" si="0"/>
        <v>5</v>
      </c>
      <c r="Z18" s="55">
        <f t="shared" si="1"/>
        <v>71.428571428571431</v>
      </c>
      <c r="AA18" s="23" t="s">
        <v>2547</v>
      </c>
    </row>
    <row r="19" spans="1:40" x14ac:dyDescent="0.25">
      <c r="A19" s="23">
        <f>'Initial Search'!C239</f>
        <v>2010</v>
      </c>
      <c r="B19" s="55" t="str">
        <f>'Initial Search'!D239</f>
        <v>Precise Detection of Conflicting Change Operations Using Process Model Terms</v>
      </c>
      <c r="C19" s="22">
        <f>ROW('Initial Search'!239:239)</f>
        <v>239</v>
      </c>
      <c r="D19" s="22">
        <f>ROW('Feature Study'!33:33)</f>
        <v>33</v>
      </c>
      <c r="E19" s="23" t="str">
        <f>'Initial Search'!M239</f>
        <v>Accepted</v>
      </c>
      <c r="F19" s="23" t="str">
        <f>'Initial Search'!N239</f>
        <v>Approved</v>
      </c>
      <c r="G19" s="391"/>
      <c r="H19" s="23" t="str">
        <f>'Initial Search'!O239</f>
        <v>Gerth et al.</v>
      </c>
      <c r="I19" s="23"/>
      <c r="J19" s="23"/>
      <c r="K19" s="23" t="s">
        <v>2547</v>
      </c>
      <c r="L19" s="23"/>
      <c r="M19" s="23"/>
      <c r="N19" s="23" t="s">
        <v>2698</v>
      </c>
      <c r="O19" s="55" t="s">
        <v>1623</v>
      </c>
      <c r="P19" s="55" t="s">
        <v>1623</v>
      </c>
      <c r="Q19" s="55" t="s">
        <v>1623</v>
      </c>
      <c r="R19" s="55" t="s">
        <v>1621</v>
      </c>
      <c r="S19" s="55" t="s">
        <v>1621</v>
      </c>
      <c r="T19" s="55" t="s">
        <v>1623</v>
      </c>
      <c r="U19" s="55" t="s">
        <v>1623</v>
      </c>
      <c r="V19" s="55" t="s">
        <v>1621</v>
      </c>
      <c r="W19" s="55" t="s">
        <v>1624</v>
      </c>
      <c r="X19" s="55" t="s">
        <v>1621</v>
      </c>
      <c r="Y19" s="55">
        <f t="shared" si="0"/>
        <v>5</v>
      </c>
      <c r="Z19" s="55">
        <f t="shared" si="1"/>
        <v>71.428571428571431</v>
      </c>
      <c r="AA19" s="23" t="s">
        <v>2547</v>
      </c>
    </row>
    <row r="20" spans="1:40" x14ac:dyDescent="0.25">
      <c r="A20" s="23">
        <f>'Initial Search'!C256</f>
        <v>2009</v>
      </c>
      <c r="B20" s="55" t="str">
        <f>'Initial Search'!D256</f>
        <v>Dependent and Conflicting Change Operations of Process Models</v>
      </c>
      <c r="C20" s="22">
        <f>ROW('Initial Search'!256:256)</f>
        <v>256</v>
      </c>
      <c r="D20" s="22">
        <f>ROW('Feature Study'!35:35)</f>
        <v>35</v>
      </c>
      <c r="E20" s="23" t="str">
        <f>'Initial Search'!M256</f>
        <v>Accepted</v>
      </c>
      <c r="F20" s="23" t="str">
        <f>'Initial Search'!N256</f>
        <v>Approved</v>
      </c>
      <c r="G20" s="390"/>
      <c r="H20" s="23" t="str">
        <f>'Initial Search'!O256</f>
        <v>Gerth et al.</v>
      </c>
      <c r="I20" s="23" t="s">
        <v>2547</v>
      </c>
      <c r="J20" s="23"/>
      <c r="K20" s="23" t="s">
        <v>2704</v>
      </c>
      <c r="L20" s="288" t="s">
        <v>561</v>
      </c>
      <c r="M20" s="23" t="s">
        <v>1671</v>
      </c>
      <c r="N20" s="23" t="s">
        <v>2696</v>
      </c>
      <c r="O20" s="55" t="s">
        <v>1623</v>
      </c>
      <c r="P20" s="55" t="s">
        <v>1623</v>
      </c>
      <c r="Q20" s="55" t="s">
        <v>1623</v>
      </c>
      <c r="R20" s="55" t="s">
        <v>1623</v>
      </c>
      <c r="S20" s="55" t="s">
        <v>1621</v>
      </c>
      <c r="T20" s="55" t="s">
        <v>1623</v>
      </c>
      <c r="U20" s="55" t="s">
        <v>1623</v>
      </c>
      <c r="V20" s="55" t="s">
        <v>1621</v>
      </c>
      <c r="W20" s="55" t="s">
        <v>1624</v>
      </c>
      <c r="X20" s="55" t="s">
        <v>1621</v>
      </c>
      <c r="Y20" s="55">
        <f t="shared" si="0"/>
        <v>6</v>
      </c>
      <c r="Z20" s="55">
        <f t="shared" si="1"/>
        <v>85.714285714285708</v>
      </c>
      <c r="AA20" s="23" t="s">
        <v>2704</v>
      </c>
    </row>
    <row r="21" spans="1:40" x14ac:dyDescent="0.25">
      <c r="A21" s="23">
        <f>'Initial Search'!C17</f>
        <v>2011</v>
      </c>
      <c r="B21" s="55" t="str">
        <f>'Initial Search'!D17</f>
        <v>Conflict Analysis at Collaborative Development of Domain Specific Models using Description Logics</v>
      </c>
      <c r="C21" s="22">
        <f>ROW('Initial Search'!17:17)</f>
        <v>17</v>
      </c>
      <c r="D21" s="22">
        <f>ROW('Feature Study'!36:36)</f>
        <v>36</v>
      </c>
      <c r="E21" s="23" t="str">
        <f>'Initial Search'!M17</f>
        <v>Accepted</v>
      </c>
      <c r="F21" s="23" t="str">
        <f>'Initial Search'!N17</f>
        <v>Approved</v>
      </c>
      <c r="G21" s="23" t="s">
        <v>2112</v>
      </c>
      <c r="H21" s="23" t="str">
        <f>'Initial Search'!O17</f>
        <v>Bartelt</v>
      </c>
      <c r="I21" s="23"/>
      <c r="J21" s="23"/>
      <c r="K21" s="23" t="s">
        <v>2704</v>
      </c>
      <c r="L21" s="23"/>
      <c r="M21" s="23" t="s">
        <v>1671</v>
      </c>
      <c r="N21" s="23" t="s">
        <v>2696</v>
      </c>
      <c r="O21" s="55" t="s">
        <v>1623</v>
      </c>
      <c r="P21" s="55" t="s">
        <v>1623</v>
      </c>
      <c r="Q21" s="55" t="s">
        <v>1623</v>
      </c>
      <c r="R21" s="55" t="s">
        <v>1623</v>
      </c>
      <c r="S21" s="55" t="s">
        <v>1621</v>
      </c>
      <c r="T21" s="55" t="s">
        <v>1621</v>
      </c>
      <c r="U21" s="55" t="s">
        <v>1623</v>
      </c>
      <c r="V21" s="55" t="s">
        <v>1621</v>
      </c>
      <c r="W21" s="55" t="s">
        <v>1624</v>
      </c>
      <c r="X21" s="55" t="s">
        <v>1621</v>
      </c>
      <c r="Y21" s="55">
        <f t="shared" si="0"/>
        <v>5</v>
      </c>
      <c r="Z21" s="55">
        <f t="shared" si="1"/>
        <v>71.428571428571431</v>
      </c>
      <c r="AA21" s="23" t="s">
        <v>2704</v>
      </c>
    </row>
    <row r="22" spans="1:40" x14ac:dyDescent="0.25">
      <c r="A22" s="23">
        <f>'Initial Search'!C30</f>
        <v>2010</v>
      </c>
      <c r="B22" s="55" t="str">
        <f>'Initial Search'!D30</f>
        <v>Technology Support for Collaborative Inconsistency Management in Model Driven Engineering</v>
      </c>
      <c r="C22" s="22">
        <f>ROW('Initial Search'!30:30)</f>
        <v>30</v>
      </c>
      <c r="D22" s="22">
        <f>ROW('Feature Study'!37:37)</f>
        <v>37</v>
      </c>
      <c r="E22" s="23" t="str">
        <f>'Initial Search'!M30</f>
        <v>Accepted</v>
      </c>
      <c r="F22" s="23" t="str">
        <f>'Initial Search'!N30</f>
        <v>Approved</v>
      </c>
      <c r="G22" s="389" t="s">
        <v>2111</v>
      </c>
      <c r="H22" s="23" t="str">
        <f>'Initial Search'!O30</f>
        <v>Jazz</v>
      </c>
      <c r="I22" s="23" t="s">
        <v>2547</v>
      </c>
      <c r="J22" s="23"/>
      <c r="K22" s="23" t="s">
        <v>2714</v>
      </c>
      <c r="L22" s="23"/>
      <c r="M22" s="23" t="s">
        <v>2714</v>
      </c>
      <c r="N22" s="23" t="s">
        <v>2696</v>
      </c>
      <c r="O22" s="55" t="s">
        <v>1623</v>
      </c>
      <c r="P22" s="55" t="s">
        <v>1623</v>
      </c>
      <c r="Q22" s="55" t="s">
        <v>1624</v>
      </c>
      <c r="R22" s="55" t="s">
        <v>1623</v>
      </c>
      <c r="S22" s="55" t="s">
        <v>1621</v>
      </c>
      <c r="T22" s="55" t="s">
        <v>1621</v>
      </c>
      <c r="U22" s="55" t="s">
        <v>1623</v>
      </c>
      <c r="V22" s="55" t="s">
        <v>1621</v>
      </c>
      <c r="W22" s="55" t="s">
        <v>1621</v>
      </c>
      <c r="X22" s="55" t="s">
        <v>1621</v>
      </c>
      <c r="Y22" s="55">
        <f t="shared" si="0"/>
        <v>4.5</v>
      </c>
      <c r="Z22" s="55">
        <f t="shared" si="1"/>
        <v>64.285714285714292</v>
      </c>
      <c r="AA22" s="23" t="s">
        <v>2714</v>
      </c>
    </row>
    <row r="23" spans="1:40" hidden="1" x14ac:dyDescent="0.25">
      <c r="A23" s="23">
        <f>'Initial Search'!C107</f>
        <v>2008</v>
      </c>
      <c r="B23" s="55" t="str">
        <f>'Initial Search'!D107</f>
        <v>Consistence preserving model merge in collaborative development processes</v>
      </c>
      <c r="C23" s="22">
        <f>ROW('Initial Search'!107:107)</f>
        <v>107</v>
      </c>
      <c r="D23" s="22">
        <f>ROW('Feature Study'!39:39)</f>
        <v>39</v>
      </c>
      <c r="E23" s="23" t="str">
        <f>'Initial Search'!M107</f>
        <v>Accepted</v>
      </c>
      <c r="F23" s="190" t="str">
        <f>'Initial Search'!N107</f>
        <v>Disapproved</v>
      </c>
      <c r="G23" s="390"/>
      <c r="H23" s="23" t="str">
        <f>'Initial Search'!O107</f>
        <v>Jazz</v>
      </c>
      <c r="I23" s="23"/>
      <c r="J23" s="23"/>
      <c r="K23" s="23"/>
      <c r="L23" s="23"/>
      <c r="M23" s="23"/>
      <c r="N23" s="23"/>
      <c r="O23" s="55" t="s">
        <v>1624</v>
      </c>
      <c r="P23" s="55" t="s">
        <v>1624</v>
      </c>
      <c r="Q23" s="55" t="s">
        <v>1624</v>
      </c>
      <c r="R23" s="55" t="s">
        <v>1623</v>
      </c>
      <c r="S23" s="55" t="s">
        <v>1621</v>
      </c>
      <c r="T23" s="55" t="s">
        <v>1621</v>
      </c>
      <c r="U23" s="55" t="s">
        <v>1624</v>
      </c>
      <c r="V23" s="55" t="s">
        <v>1621</v>
      </c>
      <c r="W23" s="55" t="s">
        <v>1623</v>
      </c>
      <c r="X23" s="55" t="s">
        <v>1624</v>
      </c>
      <c r="Y23" s="55">
        <f t="shared" si="0"/>
        <v>3</v>
      </c>
      <c r="Z23" s="81">
        <f t="shared" si="1"/>
        <v>42.857142857142854</v>
      </c>
      <c r="AA23" s="23"/>
    </row>
    <row r="24" spans="1:40" x14ac:dyDescent="0.25">
      <c r="A24" s="23">
        <f>'Initial Search'!C18</f>
        <v>2013</v>
      </c>
      <c r="B24" s="55" t="str">
        <f>'Initial Search'!D18</f>
        <v>Consistency-preserving edit scripts in model versioning</v>
      </c>
      <c r="C24" s="22">
        <f>ROW('Initial Search'!18:18)</f>
        <v>18</v>
      </c>
      <c r="D24" s="22">
        <f>ROW('Feature Study'!40:40)</f>
        <v>40</v>
      </c>
      <c r="E24" s="23" t="str">
        <f>'Initial Search'!M18</f>
        <v>Accepted</v>
      </c>
      <c r="F24" s="23" t="str">
        <f>'Initial Search'!N18</f>
        <v>Approved</v>
      </c>
      <c r="G24" s="23" t="s">
        <v>2110</v>
      </c>
      <c r="H24" s="23" t="str">
        <f>'Initial Search'!O18</f>
        <v>Kehrer et al.</v>
      </c>
      <c r="I24" s="23"/>
      <c r="J24" s="23" t="s">
        <v>2704</v>
      </c>
      <c r="K24" s="23"/>
      <c r="L24" s="23"/>
      <c r="M24" s="23"/>
      <c r="N24" s="23" t="s">
        <v>2709</v>
      </c>
      <c r="O24" s="55" t="s">
        <v>1623</v>
      </c>
      <c r="P24" s="55" t="s">
        <v>1623</v>
      </c>
      <c r="Q24" s="55" t="s">
        <v>1623</v>
      </c>
      <c r="R24" s="55" t="s">
        <v>1623</v>
      </c>
      <c r="S24" s="55" t="s">
        <v>1624</v>
      </c>
      <c r="T24" s="55" t="s">
        <v>1623</v>
      </c>
      <c r="U24" s="55" t="s">
        <v>1624</v>
      </c>
      <c r="V24" s="55" t="s">
        <v>1621</v>
      </c>
      <c r="W24" s="55" t="s">
        <v>1623</v>
      </c>
      <c r="X24" s="55" t="s">
        <v>1621</v>
      </c>
      <c r="Y24" s="55">
        <f t="shared" si="0"/>
        <v>6</v>
      </c>
      <c r="Z24" s="55">
        <f t="shared" si="1"/>
        <v>85.714285714285708</v>
      </c>
      <c r="AA24" s="23" t="s">
        <v>2704</v>
      </c>
    </row>
    <row r="25" spans="1:40" x14ac:dyDescent="0.25">
      <c r="A25" s="23">
        <f>'Initial Search'!C19</f>
        <v>2006</v>
      </c>
      <c r="B25" s="55" t="str">
        <f>'Initial Search'!D19</f>
        <v>Supporting Collaborative Development in an Open MDA Environment</v>
      </c>
      <c r="C25" s="22">
        <f>ROW('Initial Search'!19:19)</f>
        <v>19</v>
      </c>
      <c r="D25" s="22">
        <f>ROW('Feature Study'!42:42)</f>
        <v>42</v>
      </c>
      <c r="E25" s="23" t="str">
        <f>'Initial Search'!M19</f>
        <v>Accepted</v>
      </c>
      <c r="F25" s="23" t="str">
        <f>'Initial Search'!N19</f>
        <v>Approved</v>
      </c>
      <c r="G25" s="23" t="s">
        <v>2109</v>
      </c>
      <c r="H25" s="23" t="str">
        <f>'Initial Search'!O19</f>
        <v>ModelBus</v>
      </c>
      <c r="I25" s="23"/>
      <c r="J25" s="23"/>
      <c r="K25" s="23" t="s">
        <v>2704</v>
      </c>
      <c r="L25" s="23" t="s">
        <v>2710</v>
      </c>
      <c r="M25" s="23" t="s">
        <v>1671</v>
      </c>
      <c r="N25" s="23" t="s">
        <v>2696</v>
      </c>
      <c r="O25" s="55" t="s">
        <v>1623</v>
      </c>
      <c r="P25" s="55" t="s">
        <v>1623</v>
      </c>
      <c r="Q25" s="55" t="s">
        <v>1623</v>
      </c>
      <c r="R25" s="55" t="s">
        <v>1623</v>
      </c>
      <c r="S25" s="55" t="s">
        <v>1621</v>
      </c>
      <c r="T25" s="55" t="s">
        <v>1624</v>
      </c>
      <c r="U25" s="55" t="s">
        <v>1623</v>
      </c>
      <c r="V25" s="55" t="s">
        <v>1621</v>
      </c>
      <c r="W25" s="55" t="s">
        <v>1623</v>
      </c>
      <c r="X25" s="55" t="s">
        <v>1623</v>
      </c>
      <c r="Y25" s="55">
        <f t="shared" si="0"/>
        <v>5.5</v>
      </c>
      <c r="Z25" s="55">
        <f t="shared" si="1"/>
        <v>78.571428571428569</v>
      </c>
      <c r="AA25" s="23" t="s">
        <v>3106</v>
      </c>
    </row>
    <row r="26" spans="1:40" hidden="1" x14ac:dyDescent="0.25">
      <c r="A26" s="23">
        <f>'Initial Search'!C130</f>
        <v>2011</v>
      </c>
      <c r="B26" s="55" t="str">
        <f>'Initial Search'!D130</f>
        <v>A semantically rich approach for collaborative model edition</v>
      </c>
      <c r="C26" s="22">
        <f>ROW('Initial Search'!130:130)</f>
        <v>130</v>
      </c>
      <c r="D26" s="22">
        <f>ROW('Feature Study'!44:44)</f>
        <v>44</v>
      </c>
      <c r="E26" s="23" t="str">
        <f>'Initial Search'!M130</f>
        <v>Accepted</v>
      </c>
      <c r="F26" s="190" t="str">
        <f>'Initial Search'!N130</f>
        <v>Disapproved</v>
      </c>
      <c r="G26" s="389" t="s">
        <v>2108</v>
      </c>
      <c r="H26" s="23" t="str">
        <f>'Initial Search'!O130</f>
        <v>D-PRAXIS</v>
      </c>
      <c r="I26" s="23"/>
      <c r="J26" s="23"/>
      <c r="K26" s="23"/>
      <c r="L26" s="23"/>
      <c r="M26" s="23"/>
      <c r="N26" s="23"/>
      <c r="O26" s="55" t="s">
        <v>1624</v>
      </c>
      <c r="P26" s="55" t="s">
        <v>1621</v>
      </c>
      <c r="Q26" s="55" t="s">
        <v>1624</v>
      </c>
      <c r="R26" s="55" t="s">
        <v>1623</v>
      </c>
      <c r="S26" s="55" t="s">
        <v>1621</v>
      </c>
      <c r="T26" s="55" t="s">
        <v>1624</v>
      </c>
      <c r="U26" s="55" t="s">
        <v>1621</v>
      </c>
      <c r="V26" s="55" t="s">
        <v>1621</v>
      </c>
      <c r="W26" s="55" t="s">
        <v>1624</v>
      </c>
      <c r="X26" s="55" t="s">
        <v>1621</v>
      </c>
      <c r="Y26" s="55">
        <f t="shared" si="0"/>
        <v>2.5</v>
      </c>
      <c r="Z26" s="81">
        <f t="shared" si="1"/>
        <v>35.714285714285715</v>
      </c>
      <c r="AA26" s="23"/>
    </row>
    <row r="27" spans="1:40" x14ac:dyDescent="0.25">
      <c r="A27" s="23">
        <f>'Initial Search'!C261</f>
        <v>2009</v>
      </c>
      <c r="B27" s="55" t="str">
        <f>'Initial Search'!D261</f>
        <v>D-Praxis : A Peer-to-Peer Collaborative Model Editing Framework</v>
      </c>
      <c r="C27" s="22">
        <f>ROW('Initial Search'!261:261)</f>
        <v>261</v>
      </c>
      <c r="D27" s="22">
        <f>ROW('Feature Study'!45:45)</f>
        <v>45</v>
      </c>
      <c r="E27" s="23" t="str">
        <f>'Initial Search'!M261</f>
        <v>Accepted</v>
      </c>
      <c r="F27" s="23" t="str">
        <f>'Initial Search'!N261</f>
        <v>Approved</v>
      </c>
      <c r="G27" s="390"/>
      <c r="H27" s="23" t="str">
        <f>'Initial Search'!O261</f>
        <v>D-PRAXIS</v>
      </c>
      <c r="I27" s="23"/>
      <c r="J27" s="23"/>
      <c r="K27" s="23" t="s">
        <v>2710</v>
      </c>
      <c r="L27" s="23" t="s">
        <v>2710</v>
      </c>
      <c r="M27" s="23"/>
      <c r="N27" s="23" t="s">
        <v>2696</v>
      </c>
      <c r="O27" s="55" t="s">
        <v>1623</v>
      </c>
      <c r="P27" s="55" t="s">
        <v>1624</v>
      </c>
      <c r="Q27" s="55" t="s">
        <v>1623</v>
      </c>
      <c r="R27" s="55" t="s">
        <v>1623</v>
      </c>
      <c r="S27" s="55" t="s">
        <v>1621</v>
      </c>
      <c r="T27" s="55" t="s">
        <v>1624</v>
      </c>
      <c r="U27" s="55" t="s">
        <v>1621</v>
      </c>
      <c r="V27" s="55" t="s">
        <v>1621</v>
      </c>
      <c r="W27" s="55" t="s">
        <v>1623</v>
      </c>
      <c r="X27" s="55" t="s">
        <v>1624</v>
      </c>
      <c r="Y27" s="55">
        <f t="shared" si="0"/>
        <v>4</v>
      </c>
      <c r="Z27" s="55">
        <f t="shared" si="1"/>
        <v>57.142857142857139</v>
      </c>
      <c r="AA27" s="23" t="s">
        <v>2710</v>
      </c>
    </row>
    <row r="28" spans="1:40" x14ac:dyDescent="0.25">
      <c r="A28" s="23">
        <f>'Initial Search'!C20</f>
        <v>2017</v>
      </c>
      <c r="B28" s="55" t="str">
        <f>'Initial Search'!D20</f>
        <v>A UML profile for modeling the conflicts in model merging</v>
      </c>
      <c r="C28" s="22">
        <f>ROW('Initial Search'!20:20)</f>
        <v>20</v>
      </c>
      <c r="D28" s="22">
        <f>ROW('Feature Study'!46:46)</f>
        <v>46</v>
      </c>
      <c r="E28" s="23" t="str">
        <f>'Initial Search'!M20</f>
        <v>Accepted</v>
      </c>
      <c r="F28" s="23" t="str">
        <f>'Initial Search'!N20</f>
        <v>Approved</v>
      </c>
      <c r="G28" s="23" t="s">
        <v>2107</v>
      </c>
      <c r="H28" s="23" t="str">
        <f>'Initial Search'!O20</f>
        <v>Conflict UML Profile</v>
      </c>
      <c r="I28" s="23" t="s">
        <v>2712</v>
      </c>
      <c r="J28" s="23"/>
      <c r="K28" s="23"/>
      <c r="L28" s="23"/>
      <c r="M28" s="23"/>
      <c r="N28" s="23" t="s">
        <v>2696</v>
      </c>
      <c r="O28" s="55" t="s">
        <v>1623</v>
      </c>
      <c r="P28" s="55" t="s">
        <v>1623</v>
      </c>
      <c r="Q28" s="55" t="s">
        <v>1623</v>
      </c>
      <c r="R28" s="55" t="s">
        <v>1623</v>
      </c>
      <c r="S28" s="55" t="s">
        <v>1621</v>
      </c>
      <c r="T28" s="55" t="s">
        <v>1623</v>
      </c>
      <c r="U28" s="55" t="s">
        <v>1623</v>
      </c>
      <c r="V28" s="55" t="s">
        <v>1621</v>
      </c>
      <c r="W28" s="55" t="s">
        <v>1624</v>
      </c>
      <c r="X28" s="55" t="s">
        <v>1621</v>
      </c>
      <c r="Y28" s="55">
        <f t="shared" si="0"/>
        <v>6</v>
      </c>
      <c r="Z28" s="55">
        <f t="shared" si="1"/>
        <v>85.714285714285708</v>
      </c>
      <c r="AA28" s="23" t="s">
        <v>2712</v>
      </c>
    </row>
    <row r="29" spans="1:40" s="264" customFormat="1" x14ac:dyDescent="0.25">
      <c r="A29" s="247">
        <f>'Initial Search'!C205</f>
        <v>2020</v>
      </c>
      <c r="B29" s="355" t="str">
        <f>'Initial Search'!D205</f>
        <v>Configurable three‐way model merging</v>
      </c>
      <c r="C29" s="356">
        <f>ROW('Initial Search'!205:205)</f>
        <v>205</v>
      </c>
      <c r="D29" s="356">
        <f>ROW('Feature Study'!47:47)</f>
        <v>47</v>
      </c>
      <c r="E29" s="247" t="str">
        <f>'Initial Search'!M205</f>
        <v>Accepted</v>
      </c>
      <c r="F29" s="247" t="str">
        <f>'Initial Search'!N205</f>
        <v>Approved</v>
      </c>
      <c r="G29" s="247" t="s">
        <v>2106</v>
      </c>
      <c r="H29" s="247" t="str">
        <f>'Initial Search'!O205</f>
        <v>E3MP</v>
      </c>
      <c r="I29" s="247" t="s">
        <v>561</v>
      </c>
      <c r="J29" s="247" t="s">
        <v>2718</v>
      </c>
      <c r="K29" s="247" t="s">
        <v>2719</v>
      </c>
      <c r="L29" s="247" t="s">
        <v>2720</v>
      </c>
      <c r="M29" s="247" t="s">
        <v>1671</v>
      </c>
      <c r="N29" s="247" t="s">
        <v>2709</v>
      </c>
      <c r="O29" s="55" t="s">
        <v>1623</v>
      </c>
      <c r="P29" s="55" t="s">
        <v>1623</v>
      </c>
      <c r="Q29" s="55" t="s">
        <v>1623</v>
      </c>
      <c r="R29" s="55" t="s">
        <v>1623</v>
      </c>
      <c r="S29" s="55" t="s">
        <v>1624</v>
      </c>
      <c r="T29" s="55" t="s">
        <v>1623</v>
      </c>
      <c r="U29" s="55" t="s">
        <v>1623</v>
      </c>
      <c r="V29" s="55" t="s">
        <v>1621</v>
      </c>
      <c r="W29" s="55" t="s">
        <v>1623</v>
      </c>
      <c r="X29" s="55" t="s">
        <v>1624</v>
      </c>
      <c r="Y29" s="55">
        <f t="shared" si="0"/>
        <v>6.5</v>
      </c>
      <c r="Z29" s="55">
        <f t="shared" si="1"/>
        <v>92.857142857142861</v>
      </c>
      <c r="AA29" s="247" t="s">
        <v>3795</v>
      </c>
      <c r="AN29" s="166"/>
    </row>
    <row r="30" spans="1:40" x14ac:dyDescent="0.25">
      <c r="A30" s="23">
        <f>'Initial Search'!C220</f>
        <v>2011</v>
      </c>
      <c r="B30" s="55" t="str">
        <f>'Initial Search'!D220</f>
        <v>Table-Driven Detection and Resolution of Operation-Based Merge Conflicts with Mirador</v>
      </c>
      <c r="C30" s="22">
        <f>ROW('Initial Search'!220:220)</f>
        <v>220</v>
      </c>
      <c r="D30" s="22">
        <f>ROW('Feature Study'!50:50)</f>
        <v>50</v>
      </c>
      <c r="E30" s="23" t="str">
        <f>'Initial Search'!M220</f>
        <v>Accepted</v>
      </c>
      <c r="F30" s="23" t="str">
        <f>'Initial Search'!N220</f>
        <v>Approved</v>
      </c>
      <c r="G30" s="23" t="s">
        <v>2105</v>
      </c>
      <c r="H30" s="23" t="str">
        <f>'Initial Search'!O220</f>
        <v>Mirador</v>
      </c>
      <c r="I30" s="23" t="s">
        <v>2547</v>
      </c>
      <c r="J30" s="23"/>
      <c r="K30" s="23" t="s">
        <v>2704</v>
      </c>
      <c r="L30" s="23" t="s">
        <v>2704</v>
      </c>
      <c r="M30" s="23" t="s">
        <v>2714</v>
      </c>
      <c r="N30" s="23" t="s">
        <v>2696</v>
      </c>
      <c r="O30" s="55" t="s">
        <v>1623</v>
      </c>
      <c r="P30" s="55" t="s">
        <v>1623</v>
      </c>
      <c r="Q30" s="55" t="s">
        <v>1623</v>
      </c>
      <c r="R30" s="55" t="s">
        <v>1623</v>
      </c>
      <c r="S30" s="55" t="s">
        <v>1621</v>
      </c>
      <c r="T30" s="55" t="s">
        <v>1623</v>
      </c>
      <c r="U30" s="55" t="s">
        <v>1623</v>
      </c>
      <c r="V30" s="55" t="s">
        <v>1621</v>
      </c>
      <c r="W30" s="55" t="s">
        <v>1623</v>
      </c>
      <c r="X30" s="55" t="s">
        <v>1621</v>
      </c>
      <c r="Y30" s="55">
        <f t="shared" si="0"/>
        <v>6</v>
      </c>
      <c r="Z30" s="55">
        <f t="shared" si="1"/>
        <v>85.714285714285708</v>
      </c>
      <c r="AA30" s="23" t="s">
        <v>2704</v>
      </c>
    </row>
    <row r="31" spans="1:40" x14ac:dyDescent="0.25">
      <c r="A31" s="23">
        <f>'Initial Search'!C39</f>
        <v>2018</v>
      </c>
      <c r="B31" s="55" t="str">
        <f>'Initial Search'!D39</f>
        <v>Managing Model Conflicts in Collaborative Modeling Using Constraint Programming</v>
      </c>
      <c r="C31" s="22">
        <f>ROW('Initial Search'!39:39)</f>
        <v>39</v>
      </c>
      <c r="D31" s="22">
        <f>ROW('Feature Study'!54:54)</f>
        <v>54</v>
      </c>
      <c r="E31" s="23" t="str">
        <f>'Initial Search'!M39</f>
        <v>Accepted</v>
      </c>
      <c r="F31" s="23" t="str">
        <f>'Initial Search'!N39</f>
        <v>Approved</v>
      </c>
      <c r="G31" s="389" t="s">
        <v>2104</v>
      </c>
      <c r="H31" s="23" t="str">
        <f>'Initial Search'!O39</f>
        <v>CSP</v>
      </c>
      <c r="I31" s="23" t="s">
        <v>561</v>
      </c>
      <c r="J31" s="23"/>
      <c r="K31" s="23" t="s">
        <v>561</v>
      </c>
      <c r="L31" s="23" t="s">
        <v>561</v>
      </c>
      <c r="M31" s="23"/>
      <c r="N31" s="23" t="s">
        <v>2698</v>
      </c>
      <c r="O31" s="55" t="s">
        <v>1623</v>
      </c>
      <c r="P31" s="55" t="s">
        <v>1623</v>
      </c>
      <c r="Q31" s="55" t="s">
        <v>1623</v>
      </c>
      <c r="R31" s="55" t="s">
        <v>1621</v>
      </c>
      <c r="S31" s="55" t="s">
        <v>1621</v>
      </c>
      <c r="T31" s="55" t="s">
        <v>1624</v>
      </c>
      <c r="U31" s="55" t="s">
        <v>1624</v>
      </c>
      <c r="V31" s="55" t="s">
        <v>1621</v>
      </c>
      <c r="W31" s="55" t="s">
        <v>1623</v>
      </c>
      <c r="X31" s="55" t="s">
        <v>1621</v>
      </c>
      <c r="Y31" s="55">
        <f t="shared" si="0"/>
        <v>4</v>
      </c>
      <c r="Z31" s="55">
        <f t="shared" si="1"/>
        <v>57.142857142857139</v>
      </c>
      <c r="AA31" s="23" t="s">
        <v>561</v>
      </c>
    </row>
    <row r="32" spans="1:40" hidden="1" x14ac:dyDescent="0.25">
      <c r="A32" s="23">
        <f>'Initial Search'!C40</f>
        <v>2017</v>
      </c>
      <c r="B32" s="55" t="str">
        <f>'Initial Search'!D40</f>
        <v>Collaborative modelling: An MDE-oriented process to manage large-scale models</v>
      </c>
      <c r="C32" s="22">
        <f>ROW('Initial Search'!40:40)</f>
        <v>40</v>
      </c>
      <c r="D32" s="22">
        <f>ROW('Feature Study'!55:55)</f>
        <v>55</v>
      </c>
      <c r="E32" s="23" t="str">
        <f>'Initial Search'!M40</f>
        <v>Accepted</v>
      </c>
      <c r="F32" s="190" t="str">
        <f>'Initial Search'!N40</f>
        <v>Disapproved</v>
      </c>
      <c r="G32" s="390"/>
      <c r="H32" s="23" t="str">
        <f>'Initial Search'!O40</f>
        <v>CSP</v>
      </c>
      <c r="I32" s="23"/>
      <c r="J32" s="23"/>
      <c r="K32" s="23"/>
      <c r="L32" s="23"/>
      <c r="M32" s="23"/>
      <c r="N32" s="23"/>
      <c r="O32" s="55" t="s">
        <v>1623</v>
      </c>
      <c r="P32" s="55" t="s">
        <v>1624</v>
      </c>
      <c r="Q32" s="55" t="s">
        <v>1624</v>
      </c>
      <c r="R32" s="55" t="s">
        <v>1621</v>
      </c>
      <c r="S32" s="55" t="s">
        <v>1621</v>
      </c>
      <c r="T32" s="55" t="s">
        <v>1624</v>
      </c>
      <c r="U32" s="55" t="s">
        <v>1624</v>
      </c>
      <c r="V32" s="55" t="s">
        <v>1621</v>
      </c>
      <c r="W32" s="55" t="s">
        <v>1623</v>
      </c>
      <c r="X32" s="55" t="s">
        <v>1621</v>
      </c>
      <c r="Y32" s="55">
        <f t="shared" si="0"/>
        <v>3</v>
      </c>
      <c r="Z32" s="81">
        <f t="shared" si="1"/>
        <v>42.857142857142854</v>
      </c>
      <c r="AA32" s="23"/>
    </row>
    <row r="33" spans="1:40" x14ac:dyDescent="0.25">
      <c r="A33" s="23">
        <f>'Initial Search'!C63</f>
        <v>2009</v>
      </c>
      <c r="B33" s="55" t="str">
        <f>'Initial Search'!D63</f>
        <v>Concurrent Fine-Grained Versioning of UML Models</v>
      </c>
      <c r="C33" s="22">
        <f>ROW('Initial Search'!63:63)</f>
        <v>63</v>
      </c>
      <c r="D33" s="22">
        <f>ROW('Feature Study'!57:57)</f>
        <v>57</v>
      </c>
      <c r="E33" s="23" t="str">
        <f>'Initial Search'!M63</f>
        <v>Accepted</v>
      </c>
      <c r="F33" s="23" t="str">
        <f>'Initial Search'!N63</f>
        <v>Approved</v>
      </c>
      <c r="G33" s="23" t="s">
        <v>2103</v>
      </c>
      <c r="H33" s="23" t="str">
        <f>'Initial Search'!O63</f>
        <v>ArgoEclipse+ADAMS</v>
      </c>
      <c r="I33" s="23"/>
      <c r="J33" s="23"/>
      <c r="K33" s="23" t="s">
        <v>2704</v>
      </c>
      <c r="L33" s="288" t="s">
        <v>1671</v>
      </c>
      <c r="M33" s="23" t="s">
        <v>1671</v>
      </c>
      <c r="N33" s="23" t="s">
        <v>2696</v>
      </c>
      <c r="O33" s="55" t="s">
        <v>1623</v>
      </c>
      <c r="P33" s="55" t="s">
        <v>1623</v>
      </c>
      <c r="Q33" s="55" t="s">
        <v>1623</v>
      </c>
      <c r="R33" s="55" t="s">
        <v>1623</v>
      </c>
      <c r="S33" s="55" t="s">
        <v>1621</v>
      </c>
      <c r="T33" s="55" t="s">
        <v>1624</v>
      </c>
      <c r="U33" s="55" t="s">
        <v>1624</v>
      </c>
      <c r="V33" s="55" t="s">
        <v>1621</v>
      </c>
      <c r="W33" s="55" t="s">
        <v>1624</v>
      </c>
      <c r="X33" s="55" t="s">
        <v>1621</v>
      </c>
      <c r="Y33" s="55">
        <f t="shared" si="0"/>
        <v>5</v>
      </c>
      <c r="Z33" s="55">
        <f t="shared" si="1"/>
        <v>71.428571428571431</v>
      </c>
      <c r="AA33" s="247" t="s">
        <v>2704</v>
      </c>
    </row>
    <row r="34" spans="1:40" hidden="1" x14ac:dyDescent="0.25">
      <c r="A34" s="23">
        <f>'Initial Search'!C177</f>
        <v>2007</v>
      </c>
      <c r="B34" s="55" t="str">
        <f>'Initial Search'!D177</f>
        <v>Enhancing collaborative synchronous UML modelling with fine-grained versioning of software artefacts</v>
      </c>
      <c r="C34" s="22">
        <f>ROW('Initial Search'!177:177)</f>
        <v>177</v>
      </c>
      <c r="D34" s="22">
        <f>ROW('Feature Study'!58:58)</f>
        <v>58</v>
      </c>
      <c r="E34" s="23" t="str">
        <f>'Initial Search'!M177</f>
        <v>Accepted</v>
      </c>
      <c r="F34" s="190" t="str">
        <f>'Initial Search'!N177</f>
        <v>Disapproved</v>
      </c>
      <c r="G34" s="23"/>
      <c r="H34" s="23" t="str">
        <f>'Initial Search'!O177</f>
        <v>STEVE</v>
      </c>
      <c r="I34" s="23"/>
      <c r="J34" s="23"/>
      <c r="K34" s="23"/>
      <c r="L34" s="23"/>
      <c r="M34" s="23"/>
      <c r="N34" s="23"/>
      <c r="O34" s="55" t="s">
        <v>1624</v>
      </c>
      <c r="P34" s="55" t="s">
        <v>1621</v>
      </c>
      <c r="Q34" s="55" t="s">
        <v>1624</v>
      </c>
      <c r="R34" s="55" t="s">
        <v>1623</v>
      </c>
      <c r="S34" s="55" t="s">
        <v>1621</v>
      </c>
      <c r="T34" s="55" t="s">
        <v>1624</v>
      </c>
      <c r="U34" s="55" t="s">
        <v>1624</v>
      </c>
      <c r="V34" s="55" t="s">
        <v>1621</v>
      </c>
      <c r="W34" s="55" t="s">
        <v>1624</v>
      </c>
      <c r="X34" s="55" t="s">
        <v>1621</v>
      </c>
      <c r="Y34" s="55">
        <f t="shared" si="0"/>
        <v>3</v>
      </c>
      <c r="Z34" s="81">
        <f t="shared" si="1"/>
        <v>42.857142857142854</v>
      </c>
      <c r="AA34" s="23"/>
    </row>
    <row r="35" spans="1:40" x14ac:dyDescent="0.25">
      <c r="A35" s="23">
        <f>'Initial Search'!C75</f>
        <v>2009</v>
      </c>
      <c r="B35" s="55" t="str">
        <f>'Initial Search'!D75</f>
        <v>CAMEL: A Tool for Collaborative Distributed Software Design</v>
      </c>
      <c r="C35" s="22">
        <f>ROW('Initial Search'!75:75)</f>
        <v>75</v>
      </c>
      <c r="D35" s="22">
        <f>ROW('Feature Study'!60:60)</f>
        <v>60</v>
      </c>
      <c r="E35" s="23" t="str">
        <f>'Initial Search'!M75</f>
        <v>Accepted</v>
      </c>
      <c r="F35" s="23" t="str">
        <f>'Initial Search'!N75</f>
        <v>Approved</v>
      </c>
      <c r="G35" s="23" t="s">
        <v>2102</v>
      </c>
      <c r="H35" s="23" t="str">
        <f>'Initial Search'!O75</f>
        <v>CAMEL</v>
      </c>
      <c r="I35" s="23"/>
      <c r="J35" s="23" t="s">
        <v>2704</v>
      </c>
      <c r="K35" s="23"/>
      <c r="L35" s="23"/>
      <c r="M35" s="23"/>
      <c r="N35" s="23" t="s">
        <v>2709</v>
      </c>
      <c r="O35" s="55" t="s">
        <v>1623</v>
      </c>
      <c r="P35" s="55" t="s">
        <v>1621</v>
      </c>
      <c r="Q35" s="55" t="s">
        <v>1623</v>
      </c>
      <c r="R35" s="55" t="s">
        <v>1623</v>
      </c>
      <c r="S35" s="55" t="s">
        <v>1624</v>
      </c>
      <c r="T35" s="55" t="s">
        <v>1624</v>
      </c>
      <c r="U35" s="55" t="s">
        <v>1624</v>
      </c>
      <c r="V35" s="55" t="s">
        <v>1621</v>
      </c>
      <c r="W35" s="55" t="s">
        <v>1623</v>
      </c>
      <c r="X35" s="55" t="s">
        <v>1623</v>
      </c>
      <c r="Y35" s="55">
        <f t="shared" si="0"/>
        <v>4.5</v>
      </c>
      <c r="Z35" s="55">
        <f t="shared" si="1"/>
        <v>64.285714285714292</v>
      </c>
      <c r="AA35" s="23" t="s">
        <v>2704</v>
      </c>
    </row>
    <row r="36" spans="1:40" x14ac:dyDescent="0.25">
      <c r="A36" s="23">
        <f>'Initial Search'!C102</f>
        <v>2013</v>
      </c>
      <c r="B36" s="55" t="str">
        <f>'Initial Search'!D102</f>
        <v>Search-based model merging</v>
      </c>
      <c r="C36" s="22">
        <f>ROW('Initial Search'!102:102)</f>
        <v>102</v>
      </c>
      <c r="D36" s="22">
        <f>ROW('Feature Study'!63:63)</f>
        <v>63</v>
      </c>
      <c r="E36" s="23" t="str">
        <f>'Initial Search'!M102</f>
        <v>Accepted</v>
      </c>
      <c r="F36" s="23" t="str">
        <f>'Initial Search'!N102</f>
        <v>Approved</v>
      </c>
      <c r="G36" s="389" t="s">
        <v>2101</v>
      </c>
      <c r="H36" s="23" t="str">
        <f>'Initial Search'!O102</f>
        <v>MOMM</v>
      </c>
      <c r="I36" s="23" t="s">
        <v>2547</v>
      </c>
      <c r="J36" s="23" t="s">
        <v>2718</v>
      </c>
      <c r="K36" s="23"/>
      <c r="L36" s="23"/>
      <c r="M36" s="23"/>
      <c r="N36" s="23" t="s">
        <v>2696</v>
      </c>
      <c r="O36" s="55" t="s">
        <v>1623</v>
      </c>
      <c r="P36" s="55" t="s">
        <v>1623</v>
      </c>
      <c r="Q36" s="55" t="s">
        <v>1623</v>
      </c>
      <c r="R36" s="55" t="s">
        <v>1623</v>
      </c>
      <c r="S36" s="55" t="s">
        <v>1623</v>
      </c>
      <c r="T36" s="55" t="s">
        <v>1623</v>
      </c>
      <c r="U36" s="55" t="s">
        <v>1623</v>
      </c>
      <c r="V36" s="55" t="s">
        <v>1621</v>
      </c>
      <c r="W36" s="55" t="s">
        <v>1623</v>
      </c>
      <c r="X36" s="55" t="s">
        <v>1621</v>
      </c>
      <c r="Y36" s="55">
        <f t="shared" si="0"/>
        <v>7</v>
      </c>
      <c r="Z36" s="55">
        <f t="shared" si="1"/>
        <v>100</v>
      </c>
      <c r="AA36" s="23" t="s">
        <v>3659</v>
      </c>
    </row>
    <row r="37" spans="1:40" s="264" customFormat="1" x14ac:dyDescent="0.25">
      <c r="A37" s="247">
        <f>'Initial Search'!C170</f>
        <v>2014</v>
      </c>
      <c r="B37" s="355" t="str">
        <f>'Initial Search'!D170</f>
        <v>MOMM: Multi-objective model merging</v>
      </c>
      <c r="C37" s="356">
        <f>ROW('Initial Search'!170:170)</f>
        <v>170</v>
      </c>
      <c r="D37" s="356">
        <f>ROW('Feature Study'!64:64)</f>
        <v>64</v>
      </c>
      <c r="E37" s="247" t="str">
        <f>'Initial Search'!M170</f>
        <v>Accepted</v>
      </c>
      <c r="F37" s="247" t="str">
        <f>'Initial Search'!N170</f>
        <v>Approved</v>
      </c>
      <c r="G37" s="413"/>
      <c r="H37" s="247" t="str">
        <f>'Initial Search'!O170</f>
        <v>MOMM</v>
      </c>
      <c r="I37" s="247" t="s">
        <v>2547</v>
      </c>
      <c r="J37" s="247" t="s">
        <v>3814</v>
      </c>
      <c r="K37" s="247"/>
      <c r="L37" s="247"/>
      <c r="M37" s="247"/>
      <c r="N37" s="247" t="s">
        <v>2709</v>
      </c>
      <c r="O37" s="55" t="s">
        <v>1623</v>
      </c>
      <c r="P37" s="55" t="s">
        <v>1623</v>
      </c>
      <c r="Q37" s="55" t="s">
        <v>1623</v>
      </c>
      <c r="R37" s="55" t="s">
        <v>1623</v>
      </c>
      <c r="S37" s="55" t="s">
        <v>1623</v>
      </c>
      <c r="T37" s="55" t="s">
        <v>1623</v>
      </c>
      <c r="U37" s="55" t="s">
        <v>1623</v>
      </c>
      <c r="V37" s="55" t="s">
        <v>1621</v>
      </c>
      <c r="W37" s="55" t="s">
        <v>1623</v>
      </c>
      <c r="X37" s="55" t="s">
        <v>1624</v>
      </c>
      <c r="Y37" s="55">
        <f t="shared" si="0"/>
        <v>7</v>
      </c>
      <c r="Z37" s="55">
        <f t="shared" si="1"/>
        <v>100</v>
      </c>
      <c r="AA37" s="247" t="s">
        <v>3814</v>
      </c>
      <c r="AN37" s="166"/>
    </row>
    <row r="38" spans="1:40" x14ac:dyDescent="0.25">
      <c r="A38" s="23">
        <f>'Initial Search'!C106</f>
        <v>2010</v>
      </c>
      <c r="B38" s="55" t="str">
        <f>'Initial Search'!D106</f>
        <v>Colex: a web-based collaborative conflict lexicon</v>
      </c>
      <c r="C38" s="22">
        <f>ROW('Initial Search'!106:106)</f>
        <v>106</v>
      </c>
      <c r="D38" s="22">
        <f>ROW('Feature Study'!65:65)</f>
        <v>65</v>
      </c>
      <c r="E38" s="23" t="str">
        <f>'Initial Search'!M106</f>
        <v>Accepted</v>
      </c>
      <c r="F38" s="23" t="str">
        <f>'Initial Search'!N106</f>
        <v>Approved</v>
      </c>
      <c r="G38" s="23" t="s">
        <v>2100</v>
      </c>
      <c r="H38" s="23" t="str">
        <f>'Initial Search'!O106</f>
        <v>Colex</v>
      </c>
      <c r="I38" s="23" t="s">
        <v>2704</v>
      </c>
      <c r="J38" s="23"/>
      <c r="K38" s="23"/>
      <c r="L38" s="23"/>
      <c r="M38" s="23"/>
      <c r="N38" s="23" t="s">
        <v>2696</v>
      </c>
      <c r="O38" s="55" t="s">
        <v>1623</v>
      </c>
      <c r="P38" s="55" t="s">
        <v>1623</v>
      </c>
      <c r="Q38" s="55" t="s">
        <v>1623</v>
      </c>
      <c r="R38" s="55" t="s">
        <v>1623</v>
      </c>
      <c r="S38" s="55" t="s">
        <v>1621</v>
      </c>
      <c r="T38" s="55" t="s">
        <v>1621</v>
      </c>
      <c r="U38" s="55" t="s">
        <v>1623</v>
      </c>
      <c r="V38" s="55" t="s">
        <v>1621</v>
      </c>
      <c r="W38" s="55" t="s">
        <v>1623</v>
      </c>
      <c r="X38" s="55" t="s">
        <v>1623</v>
      </c>
      <c r="Y38" s="55">
        <f t="shared" si="0"/>
        <v>5</v>
      </c>
      <c r="Z38" s="55">
        <f t="shared" si="1"/>
        <v>71.428571428571431</v>
      </c>
      <c r="AA38" s="23" t="s">
        <v>2704</v>
      </c>
    </row>
    <row r="39" spans="1:40" x14ac:dyDescent="0.25">
      <c r="A39" s="23">
        <f>'Initial Search'!C150</f>
        <v>2010</v>
      </c>
      <c r="B39" s="55" t="str">
        <f>'Initial Search'!D150</f>
        <v>Conflicts as first-class entities: a UML profile for model versioning</v>
      </c>
      <c r="C39" s="22">
        <f>ROW('Initial Search'!150:150)</f>
        <v>150</v>
      </c>
      <c r="D39" s="22">
        <f>ROW('Feature Study'!66:66)</f>
        <v>66</v>
      </c>
      <c r="E39" s="23" t="str">
        <f>'Initial Search'!M150</f>
        <v>Accepted</v>
      </c>
      <c r="F39" s="23" t="str">
        <f>'Initial Search'!N150</f>
        <v>Approved</v>
      </c>
      <c r="G39" s="389" t="s">
        <v>2099</v>
      </c>
      <c r="H39" s="23" t="str">
        <f>'Initial Search'!O150</f>
        <v>AMOR</v>
      </c>
      <c r="I39" s="23" t="s">
        <v>2704</v>
      </c>
      <c r="J39" s="23"/>
      <c r="K39" s="23"/>
      <c r="L39" s="23"/>
      <c r="M39" s="23" t="s">
        <v>2712</v>
      </c>
      <c r="N39" s="23" t="s">
        <v>2696</v>
      </c>
      <c r="O39" s="55" t="s">
        <v>1623</v>
      </c>
      <c r="P39" s="55" t="s">
        <v>1623</v>
      </c>
      <c r="Q39" s="55" t="s">
        <v>1623</v>
      </c>
      <c r="R39" s="55" t="s">
        <v>1623</v>
      </c>
      <c r="S39" s="55" t="s">
        <v>1621</v>
      </c>
      <c r="T39" s="55" t="s">
        <v>1621</v>
      </c>
      <c r="U39" s="55" t="s">
        <v>1623</v>
      </c>
      <c r="V39" s="55" t="s">
        <v>1621</v>
      </c>
      <c r="W39" s="55" t="s">
        <v>1623</v>
      </c>
      <c r="X39" s="55" t="s">
        <v>1624</v>
      </c>
      <c r="Y39" s="55">
        <f t="shared" si="0"/>
        <v>5</v>
      </c>
      <c r="Z39" s="55">
        <f t="shared" si="1"/>
        <v>71.428571428571431</v>
      </c>
      <c r="AA39" s="23" t="s">
        <v>2712</v>
      </c>
    </row>
    <row r="40" spans="1:40" x14ac:dyDescent="0.25">
      <c r="A40" s="23">
        <f>'Initial Search'!C160</f>
        <v>2010</v>
      </c>
      <c r="B40" s="55" t="str">
        <f>'Initial Search'!D160</f>
        <v>A recommender for conflict resolution support in optimistic model versioning</v>
      </c>
      <c r="C40" s="22">
        <f>ROW('Initial Search'!160:160)</f>
        <v>160</v>
      </c>
      <c r="D40" s="22">
        <f>ROW('Feature Study'!67:67)</f>
        <v>67</v>
      </c>
      <c r="E40" s="23" t="str">
        <f>'Initial Search'!M160</f>
        <v>Accepted</v>
      </c>
      <c r="F40" s="23" t="str">
        <f>'Initial Search'!N160</f>
        <v>Approved</v>
      </c>
      <c r="G40" s="391"/>
      <c r="H40" s="23" t="str">
        <f>'Initial Search'!O160</f>
        <v>AMOR</v>
      </c>
      <c r="I40" s="23"/>
      <c r="J40" s="23"/>
      <c r="K40" s="23"/>
      <c r="L40" s="23" t="s">
        <v>2721</v>
      </c>
      <c r="M40" s="23"/>
      <c r="N40" s="23" t="s">
        <v>2696</v>
      </c>
      <c r="O40" s="55" t="s">
        <v>1623</v>
      </c>
      <c r="P40" s="55" t="s">
        <v>1623</v>
      </c>
      <c r="Q40" s="55" t="s">
        <v>1623</v>
      </c>
      <c r="R40" s="55" t="s">
        <v>1623</v>
      </c>
      <c r="S40" s="55" t="s">
        <v>1621</v>
      </c>
      <c r="T40" s="55" t="s">
        <v>1621</v>
      </c>
      <c r="U40" s="55" t="s">
        <v>1623</v>
      </c>
      <c r="V40" s="55" t="s">
        <v>1621</v>
      </c>
      <c r="W40" s="55" t="s">
        <v>1623</v>
      </c>
      <c r="X40" s="55" t="s">
        <v>1624</v>
      </c>
      <c r="Y40" s="55">
        <f t="shared" si="0"/>
        <v>5</v>
      </c>
      <c r="Z40" s="55">
        <f t="shared" si="1"/>
        <v>71.428571428571431</v>
      </c>
      <c r="AA40" s="23" t="s">
        <v>2721</v>
      </c>
    </row>
    <row r="41" spans="1:40" x14ac:dyDescent="0.25">
      <c r="A41" s="23">
        <f>'Initial Search'!C219</f>
        <v>2012</v>
      </c>
      <c r="B41" s="55" t="str">
        <f>'Initial Search'!D219</f>
        <v>An Introduction to Model Versioning</v>
      </c>
      <c r="C41" s="22">
        <f>ROW('Initial Search'!219:219)</f>
        <v>219</v>
      </c>
      <c r="D41" s="22">
        <f>ROW('Feature Study'!68:68)</f>
        <v>68</v>
      </c>
      <c r="E41" s="23" t="str">
        <f>'Initial Search'!M219</f>
        <v>Accepted</v>
      </c>
      <c r="F41" s="23" t="str">
        <f>'Initial Search'!N219</f>
        <v>Approved</v>
      </c>
      <c r="G41" s="391"/>
      <c r="H41" s="23" t="str">
        <f>'Initial Search'!O219</f>
        <v>AMOR</v>
      </c>
      <c r="I41" s="23" t="s">
        <v>2711</v>
      </c>
      <c r="J41" s="23"/>
      <c r="K41" s="23" t="s">
        <v>2723</v>
      </c>
      <c r="L41" s="23" t="s">
        <v>2723</v>
      </c>
      <c r="M41" s="23" t="s">
        <v>1671</v>
      </c>
      <c r="N41" s="23" t="s">
        <v>2696</v>
      </c>
      <c r="O41" s="55" t="s">
        <v>1624</v>
      </c>
      <c r="P41" s="55" t="s">
        <v>1623</v>
      </c>
      <c r="Q41" s="55" t="s">
        <v>1623</v>
      </c>
      <c r="R41" s="55" t="s">
        <v>1623</v>
      </c>
      <c r="S41" s="55" t="s">
        <v>1621</v>
      </c>
      <c r="T41" s="55" t="s">
        <v>1623</v>
      </c>
      <c r="U41" s="55" t="s">
        <v>1624</v>
      </c>
      <c r="V41" s="55" t="s">
        <v>1621</v>
      </c>
      <c r="W41" s="55" t="s">
        <v>1624</v>
      </c>
      <c r="X41" s="55" t="s">
        <v>1623</v>
      </c>
      <c r="Y41" s="55">
        <f t="shared" si="0"/>
        <v>5</v>
      </c>
      <c r="Z41" s="55">
        <f t="shared" si="1"/>
        <v>71.428571428571431</v>
      </c>
      <c r="AA41" s="23" t="s">
        <v>2723</v>
      </c>
    </row>
    <row r="42" spans="1:40" x14ac:dyDescent="0.25">
      <c r="A42" s="23">
        <f>'Initial Search'!C257</f>
        <v>2011</v>
      </c>
      <c r="B42" s="55" t="str">
        <f>'Initial Search'!D257</f>
        <v>Towards Semantics-Aware Merge Support in Optimistic Model Versioning</v>
      </c>
      <c r="C42" s="22">
        <f>ROW('Initial Search'!257:257)</f>
        <v>257</v>
      </c>
      <c r="D42" s="22">
        <f>ROW('Feature Study'!70:70)</f>
        <v>70</v>
      </c>
      <c r="E42" s="23" t="str">
        <f>'Initial Search'!M257</f>
        <v>Accepted</v>
      </c>
      <c r="F42" s="23" t="str">
        <f>'Initial Search'!N257</f>
        <v>Approved</v>
      </c>
      <c r="G42" s="391"/>
      <c r="H42" s="23" t="str">
        <f>'Initial Search'!O257</f>
        <v>AMOR</v>
      </c>
      <c r="I42" s="23"/>
      <c r="J42" s="23"/>
      <c r="K42" s="23" t="s">
        <v>2722</v>
      </c>
      <c r="L42" s="23"/>
      <c r="M42" s="23"/>
      <c r="N42" s="23" t="s">
        <v>2698</v>
      </c>
      <c r="O42" s="55" t="s">
        <v>1623</v>
      </c>
      <c r="P42" s="55" t="s">
        <v>1623</v>
      </c>
      <c r="Q42" s="55" t="s">
        <v>1623</v>
      </c>
      <c r="R42" s="55" t="s">
        <v>1623</v>
      </c>
      <c r="S42" s="55" t="s">
        <v>1621</v>
      </c>
      <c r="T42" s="55" t="s">
        <v>1623</v>
      </c>
      <c r="U42" s="55" t="s">
        <v>1623</v>
      </c>
      <c r="V42" s="55" t="s">
        <v>1621</v>
      </c>
      <c r="W42" s="55" t="s">
        <v>1623</v>
      </c>
      <c r="X42" s="55" t="s">
        <v>1623</v>
      </c>
      <c r="Y42" s="55">
        <f t="shared" si="0"/>
        <v>6</v>
      </c>
      <c r="Z42" s="55">
        <f t="shared" si="1"/>
        <v>85.714285714285708</v>
      </c>
      <c r="AA42" s="23" t="s">
        <v>2722</v>
      </c>
    </row>
    <row r="43" spans="1:40" x14ac:dyDescent="0.25">
      <c r="A43" s="23">
        <f>'Initial Search'!C293</f>
        <v>2012</v>
      </c>
      <c r="B43" s="55" t="str">
        <f>'Initial Search'!D293</f>
        <v>Conflict Visualization for Evolving UML Models</v>
      </c>
      <c r="C43" s="22">
        <f>ROW('Initial Search'!293:293)</f>
        <v>293</v>
      </c>
      <c r="D43" s="22">
        <f>ROW('Feature Study'!146:146)</f>
        <v>146</v>
      </c>
      <c r="E43" s="23" t="str">
        <f>'Initial Search'!M293</f>
        <v>Accepted</v>
      </c>
      <c r="F43" s="23" t="str">
        <f>'Initial Search'!N293</f>
        <v>Approved</v>
      </c>
      <c r="G43" s="390"/>
      <c r="H43" s="23" t="str">
        <f>'Initial Search'!O293</f>
        <v>AMOR</v>
      </c>
      <c r="I43" s="23" t="s">
        <v>2724</v>
      </c>
      <c r="J43" s="23"/>
      <c r="K43" s="23" t="s">
        <v>2704</v>
      </c>
      <c r="L43" s="23"/>
      <c r="M43" s="23" t="s">
        <v>2704</v>
      </c>
      <c r="N43" s="23" t="s">
        <v>2696</v>
      </c>
      <c r="O43" s="55" t="s">
        <v>1623</v>
      </c>
      <c r="P43" s="55" t="s">
        <v>1623</v>
      </c>
      <c r="Q43" s="55" t="s">
        <v>1623</v>
      </c>
      <c r="R43" s="55" t="s">
        <v>1623</v>
      </c>
      <c r="S43" s="55" t="s">
        <v>1621</v>
      </c>
      <c r="T43" s="55" t="s">
        <v>1623</v>
      </c>
      <c r="U43" s="55" t="s">
        <v>1624</v>
      </c>
      <c r="V43" s="55" t="s">
        <v>1621</v>
      </c>
      <c r="W43" s="55" t="s">
        <v>1623</v>
      </c>
      <c r="X43" s="55" t="s">
        <v>1621</v>
      </c>
      <c r="Y43" s="55">
        <f t="shared" si="0"/>
        <v>5.5</v>
      </c>
      <c r="Z43" s="55">
        <f t="shared" si="1"/>
        <v>78.571428571428569</v>
      </c>
      <c r="AA43" s="23" t="s">
        <v>2704</v>
      </c>
    </row>
    <row r="44" spans="1:40" x14ac:dyDescent="0.25">
      <c r="A44" s="23">
        <f>'Initial Search'!C218</f>
        <v>2012</v>
      </c>
      <c r="B44" s="55" t="str">
        <f>'Initial Search'!D218</f>
        <v>Turning Conflicts into Collaboration</v>
      </c>
      <c r="C44" s="22">
        <f>ROW('Initial Search'!218:218)</f>
        <v>218</v>
      </c>
      <c r="D44" s="22">
        <f>ROW('Feature Study'!71:71)</f>
        <v>71</v>
      </c>
      <c r="E44" s="23" t="str">
        <f>'Initial Search'!M218</f>
        <v>Accepted</v>
      </c>
      <c r="F44" s="23" t="str">
        <f>'Initial Search'!N218</f>
        <v>Approved</v>
      </c>
      <c r="G44" s="23" t="s">
        <v>2124</v>
      </c>
      <c r="H44" s="23" t="str">
        <f>'Initial Search'!O218</f>
        <v>Wieland et al.</v>
      </c>
      <c r="I44" s="23" t="s">
        <v>2547</v>
      </c>
      <c r="J44" s="23"/>
      <c r="K44" s="23" t="s">
        <v>2704</v>
      </c>
      <c r="L44" s="23" t="s">
        <v>2725</v>
      </c>
      <c r="M44" s="23" t="s">
        <v>1671</v>
      </c>
      <c r="N44" s="23" t="s">
        <v>2696</v>
      </c>
      <c r="O44" s="55" t="s">
        <v>1623</v>
      </c>
      <c r="P44" s="55" t="s">
        <v>1623</v>
      </c>
      <c r="Q44" s="55" t="s">
        <v>1623</v>
      </c>
      <c r="R44" s="55" t="s">
        <v>1623</v>
      </c>
      <c r="S44" s="55" t="s">
        <v>1621</v>
      </c>
      <c r="T44" s="55" t="s">
        <v>1623</v>
      </c>
      <c r="U44" s="55" t="s">
        <v>1623</v>
      </c>
      <c r="V44" s="55" t="s">
        <v>1623</v>
      </c>
      <c r="W44" s="55" t="s">
        <v>1624</v>
      </c>
      <c r="X44" s="55" t="s">
        <v>1623</v>
      </c>
      <c r="Y44" s="55">
        <f t="shared" si="0"/>
        <v>6</v>
      </c>
      <c r="Z44" s="55">
        <f t="shared" si="1"/>
        <v>85.714285714285708</v>
      </c>
      <c r="AA44" s="23" t="s">
        <v>2725</v>
      </c>
    </row>
    <row r="45" spans="1:40" x14ac:dyDescent="0.25">
      <c r="A45" s="23">
        <f>'Initial Search'!C225</f>
        <v>2014</v>
      </c>
      <c r="B45" s="55" t="str">
        <f>'Initial Search'!D225</f>
        <v>A fundamental approach to model versioning based on graph modifications: from theory to implementation</v>
      </c>
      <c r="C45" s="22">
        <f>ROW('Initial Search'!225:225)</f>
        <v>225</v>
      </c>
      <c r="D45" s="22">
        <f>ROW('Feature Study'!72:72)</f>
        <v>72</v>
      </c>
      <c r="E45" s="23" t="str">
        <f>'Initial Search'!M225</f>
        <v>Accepted</v>
      </c>
      <c r="F45" s="23" t="str">
        <f>'Initial Search'!N225</f>
        <v>Approved</v>
      </c>
      <c r="G45" s="389" t="s">
        <v>2129</v>
      </c>
      <c r="H45" s="23" t="str">
        <f>'Initial Search'!O225</f>
        <v>Taentzer et al.</v>
      </c>
      <c r="I45" s="23" t="s">
        <v>2727</v>
      </c>
      <c r="J45" s="23"/>
      <c r="K45" s="23" t="s">
        <v>2704</v>
      </c>
      <c r="L45" s="23" t="s">
        <v>561</v>
      </c>
      <c r="M45" s="23" t="s">
        <v>1671</v>
      </c>
      <c r="N45" s="23" t="s">
        <v>2696</v>
      </c>
      <c r="O45" s="55" t="s">
        <v>1623</v>
      </c>
      <c r="P45" s="55" t="s">
        <v>1623</v>
      </c>
      <c r="Q45" s="55" t="s">
        <v>1623</v>
      </c>
      <c r="R45" s="55" t="s">
        <v>1623</v>
      </c>
      <c r="S45" s="55" t="s">
        <v>1621</v>
      </c>
      <c r="T45" s="55" t="s">
        <v>1623</v>
      </c>
      <c r="U45" s="55" t="s">
        <v>1623</v>
      </c>
      <c r="V45" s="55" t="s">
        <v>1621</v>
      </c>
      <c r="W45" s="55" t="s">
        <v>1623</v>
      </c>
      <c r="X45" s="55" t="s">
        <v>1624</v>
      </c>
      <c r="Y45" s="55">
        <f t="shared" si="0"/>
        <v>6</v>
      </c>
      <c r="Z45" s="55">
        <f t="shared" si="1"/>
        <v>85.714285714285708</v>
      </c>
      <c r="AA45" s="23" t="s">
        <v>2704</v>
      </c>
    </row>
    <row r="46" spans="1:40" x14ac:dyDescent="0.25">
      <c r="A46" s="23">
        <f>'Initial Search'!C241</f>
        <v>2010</v>
      </c>
      <c r="B46" s="55" t="str">
        <f>'Initial Search'!D241</f>
        <v>Conflict Detection for Model Versioning Based on Graph Modifications</v>
      </c>
      <c r="C46" s="22">
        <f>ROW('Initial Search'!241:241)</f>
        <v>241</v>
      </c>
      <c r="D46" s="22">
        <f>ROW('Feature Study'!73:73)</f>
        <v>73</v>
      </c>
      <c r="E46" s="23" t="str">
        <f>'Initial Search'!M241</f>
        <v>Accepted</v>
      </c>
      <c r="F46" s="23" t="str">
        <f>'Initial Search'!N241</f>
        <v>Approved</v>
      </c>
      <c r="G46" s="391"/>
      <c r="H46" s="23" t="str">
        <f>'Initial Search'!O241</f>
        <v>Taentzer et al.</v>
      </c>
      <c r="I46" s="23"/>
      <c r="J46" s="23"/>
      <c r="K46" s="23" t="s">
        <v>561</v>
      </c>
      <c r="L46" s="23"/>
      <c r="M46" s="23"/>
      <c r="N46" s="23" t="s">
        <v>2698</v>
      </c>
      <c r="O46" s="55" t="s">
        <v>1623</v>
      </c>
      <c r="P46" s="55" t="s">
        <v>1624</v>
      </c>
      <c r="Q46" s="55" t="s">
        <v>1623</v>
      </c>
      <c r="R46" s="55" t="s">
        <v>1621</v>
      </c>
      <c r="S46" s="55" t="s">
        <v>1621</v>
      </c>
      <c r="T46" s="55" t="s">
        <v>1623</v>
      </c>
      <c r="U46" s="55" t="s">
        <v>1623</v>
      </c>
      <c r="V46" s="55" t="s">
        <v>1621</v>
      </c>
      <c r="W46" s="55" t="s">
        <v>1623</v>
      </c>
      <c r="X46" s="55" t="s">
        <v>1624</v>
      </c>
      <c r="Y46" s="55">
        <f t="shared" si="0"/>
        <v>4.5</v>
      </c>
      <c r="Z46" s="55">
        <f t="shared" si="1"/>
        <v>64.285714285714292</v>
      </c>
      <c r="AA46" s="23" t="s">
        <v>561</v>
      </c>
    </row>
    <row r="47" spans="1:40" x14ac:dyDescent="0.25">
      <c r="A47" s="23">
        <f>'Initial Search'!C246</f>
        <v>2011</v>
      </c>
      <c r="B47" s="55" t="str">
        <f>'Initial Search'!D246</f>
        <v>A Formal Resolution Strategy for Operation-Based Conflicts in Model Versioning Using Graph Modifications</v>
      </c>
      <c r="C47" s="22">
        <f>ROW('Initial Search'!246:246)</f>
        <v>246</v>
      </c>
      <c r="D47" s="22">
        <f>ROW('Feature Study'!80:80)</f>
        <v>80</v>
      </c>
      <c r="E47" s="23" t="str">
        <f>'Initial Search'!M246</f>
        <v>Accepted</v>
      </c>
      <c r="F47" s="23" t="str">
        <f>'Initial Search'!N246</f>
        <v>Approved</v>
      </c>
      <c r="G47" s="390"/>
      <c r="H47" s="23" t="str">
        <f>'Initial Search'!O241</f>
        <v>Taentzer et al.</v>
      </c>
      <c r="I47" s="23"/>
      <c r="J47" s="23" t="s">
        <v>561</v>
      </c>
      <c r="K47" s="23"/>
      <c r="L47" s="23"/>
      <c r="M47" s="23"/>
      <c r="N47" s="23" t="s">
        <v>2698</v>
      </c>
      <c r="O47" s="55" t="s">
        <v>1623</v>
      </c>
      <c r="P47" s="55" t="s">
        <v>1623</v>
      </c>
      <c r="Q47" s="55" t="s">
        <v>1623</v>
      </c>
      <c r="R47" s="55" t="s">
        <v>1621</v>
      </c>
      <c r="S47" s="55" t="s">
        <v>1621</v>
      </c>
      <c r="T47" s="55" t="s">
        <v>1624</v>
      </c>
      <c r="U47" s="55" t="s">
        <v>1624</v>
      </c>
      <c r="V47" s="55" t="s">
        <v>1621</v>
      </c>
      <c r="W47" s="55" t="s">
        <v>1623</v>
      </c>
      <c r="X47" s="55" t="s">
        <v>1621</v>
      </c>
      <c r="Y47" s="55">
        <f t="shared" si="0"/>
        <v>4</v>
      </c>
      <c r="Z47" s="55">
        <f t="shared" si="1"/>
        <v>57.142857142857139</v>
      </c>
      <c r="AA47" s="23" t="s">
        <v>561</v>
      </c>
    </row>
    <row r="48" spans="1:40" x14ac:dyDescent="0.25">
      <c r="A48" s="23">
        <f>'Initial Search'!C115</f>
        <v>2013</v>
      </c>
      <c r="B48" s="55" t="str">
        <f>'Initial Search'!D115</f>
        <v>Model-based tool support for consistent three-way merging of EMF models</v>
      </c>
      <c r="C48" s="22">
        <f>ROW('Initial Search'!115:115)</f>
        <v>115</v>
      </c>
      <c r="D48" s="22">
        <f>ROW('Feature Study'!81:81)</f>
        <v>81</v>
      </c>
      <c r="E48" s="23" t="str">
        <f>'Initial Search'!M115</f>
        <v>Accepted</v>
      </c>
      <c r="F48" s="23" t="str">
        <f>'Initial Search'!N115</f>
        <v>Approved</v>
      </c>
      <c r="G48" s="389" t="s">
        <v>2130</v>
      </c>
      <c r="H48" s="23" t="str">
        <f>'Initial Search'!O115</f>
        <v>BTMerge</v>
      </c>
      <c r="I48" s="23"/>
      <c r="J48" s="23"/>
      <c r="K48" s="23" t="s">
        <v>2728</v>
      </c>
      <c r="L48" s="23" t="s">
        <v>2710</v>
      </c>
      <c r="M48" s="23" t="s">
        <v>1671</v>
      </c>
      <c r="N48" s="23" t="s">
        <v>2696</v>
      </c>
      <c r="O48" s="55" t="s">
        <v>1623</v>
      </c>
      <c r="P48" s="55" t="s">
        <v>1623</v>
      </c>
      <c r="Q48" s="55" t="s">
        <v>1623</v>
      </c>
      <c r="R48" s="55" t="s">
        <v>1623</v>
      </c>
      <c r="S48" s="55" t="s">
        <v>1624</v>
      </c>
      <c r="T48" s="55" t="s">
        <v>1623</v>
      </c>
      <c r="U48" s="55" t="s">
        <v>1623</v>
      </c>
      <c r="V48" s="55" t="s">
        <v>1621</v>
      </c>
      <c r="W48" s="55" t="s">
        <v>1624</v>
      </c>
      <c r="X48" s="55" t="s">
        <v>1624</v>
      </c>
      <c r="Y48" s="55">
        <f t="shared" si="0"/>
        <v>6.5</v>
      </c>
      <c r="Z48" s="55">
        <f t="shared" si="1"/>
        <v>92.857142857142861</v>
      </c>
      <c r="AA48" s="23" t="s">
        <v>2728</v>
      </c>
    </row>
    <row r="49" spans="1:40" x14ac:dyDescent="0.25">
      <c r="A49" s="23">
        <f>'Initial Search'!C182</f>
        <v>2015</v>
      </c>
      <c r="B49" s="55" t="str">
        <f>'Initial Search'!D182</f>
        <v>A graph-based algorithm for three-way merging of ordered collections in EMF models</v>
      </c>
      <c r="C49" s="22">
        <f>ROW('Initial Search'!182:182)</f>
        <v>182</v>
      </c>
      <c r="D49" s="22">
        <f>ROW('Feature Study'!82:82)</f>
        <v>82</v>
      </c>
      <c r="E49" s="23" t="str">
        <f>'Initial Search'!M182</f>
        <v>Accepted</v>
      </c>
      <c r="F49" s="23" t="str">
        <f>'Initial Search'!N182</f>
        <v>Approved</v>
      </c>
      <c r="G49" s="391"/>
      <c r="H49" s="23" t="str">
        <f>'Initial Search'!O182</f>
        <v>BTMerge</v>
      </c>
      <c r="I49" s="23"/>
      <c r="J49" s="23"/>
      <c r="K49" s="23" t="s">
        <v>2721</v>
      </c>
      <c r="L49" s="23" t="s">
        <v>2704</v>
      </c>
      <c r="M49" s="23" t="s">
        <v>1671</v>
      </c>
      <c r="N49" s="23" t="s">
        <v>2696</v>
      </c>
      <c r="O49" s="55" t="s">
        <v>1623</v>
      </c>
      <c r="P49" s="55" t="s">
        <v>1623</v>
      </c>
      <c r="Q49" s="55" t="s">
        <v>1623</v>
      </c>
      <c r="R49" s="55" t="s">
        <v>1623</v>
      </c>
      <c r="S49" s="55" t="s">
        <v>1623</v>
      </c>
      <c r="T49" s="55" t="s">
        <v>1623</v>
      </c>
      <c r="U49" s="55" t="s">
        <v>1623</v>
      </c>
      <c r="V49" s="55" t="s">
        <v>1621</v>
      </c>
      <c r="W49" s="55" t="s">
        <v>1623</v>
      </c>
      <c r="X49" s="55" t="s">
        <v>1624</v>
      </c>
      <c r="Y49" s="55">
        <f t="shared" si="0"/>
        <v>7</v>
      </c>
      <c r="Z49" s="55">
        <f t="shared" si="1"/>
        <v>100</v>
      </c>
      <c r="AA49" s="23" t="s">
        <v>2721</v>
      </c>
    </row>
    <row r="50" spans="1:40" x14ac:dyDescent="0.25">
      <c r="A50" s="23">
        <f>'Initial Search'!C221</f>
        <v>2012</v>
      </c>
      <c r="B50" s="55" t="str">
        <f>'Initial Search'!D221</f>
        <v>Merging of EMF models - Formal foundations</v>
      </c>
      <c r="C50" s="22">
        <f>ROW('Initial Search'!221:221)</f>
        <v>221</v>
      </c>
      <c r="D50" s="22">
        <f>ROW('Feature Study'!87:87)</f>
        <v>87</v>
      </c>
      <c r="E50" s="23" t="str">
        <f>'Initial Search'!M221</f>
        <v>Accepted</v>
      </c>
      <c r="F50" s="23" t="str">
        <f>'Initial Search'!N221</f>
        <v>Approved</v>
      </c>
      <c r="G50" s="391"/>
      <c r="H50" s="23" t="str">
        <f>'Initial Search'!O221</f>
        <v>BTMerge</v>
      </c>
      <c r="I50" s="23" t="s">
        <v>561</v>
      </c>
      <c r="J50" s="23"/>
      <c r="K50" s="23" t="s">
        <v>2729</v>
      </c>
      <c r="L50" s="23" t="s">
        <v>561</v>
      </c>
      <c r="M50" s="23"/>
      <c r="N50" s="23" t="s">
        <v>2698</v>
      </c>
      <c r="O50" s="55" t="s">
        <v>1623</v>
      </c>
      <c r="P50" s="55" t="s">
        <v>1623</v>
      </c>
      <c r="Q50" s="55" t="s">
        <v>1623</v>
      </c>
      <c r="R50" s="55" t="s">
        <v>1621</v>
      </c>
      <c r="S50" s="55" t="s">
        <v>1624</v>
      </c>
      <c r="T50" s="55" t="s">
        <v>1623</v>
      </c>
      <c r="U50" s="55" t="s">
        <v>1623</v>
      </c>
      <c r="V50" s="55" t="s">
        <v>1621</v>
      </c>
      <c r="W50" s="55" t="s">
        <v>1623</v>
      </c>
      <c r="X50" s="55" t="s">
        <v>1624</v>
      </c>
      <c r="Y50" s="55">
        <f t="shared" si="0"/>
        <v>5.5</v>
      </c>
      <c r="Z50" s="55">
        <f t="shared" si="1"/>
        <v>78.571428571428569</v>
      </c>
      <c r="AA50" s="23" t="s">
        <v>2729</v>
      </c>
    </row>
    <row r="51" spans="1:40" x14ac:dyDescent="0.25">
      <c r="A51" s="23">
        <f>'Initial Search'!C108</f>
        <v>2010</v>
      </c>
      <c r="B51" s="55" t="str">
        <f>'Initial Search'!D108</f>
        <v>A formal approach to three-way merging of EMF models</v>
      </c>
      <c r="C51" s="22">
        <f>ROW('Initial Search'!108:108)</f>
        <v>108</v>
      </c>
      <c r="D51" s="22">
        <f>ROW('Feature Study'!89:89)</f>
        <v>89</v>
      </c>
      <c r="E51" s="23" t="str">
        <f>'Initial Search'!M108</f>
        <v>Accepted</v>
      </c>
      <c r="F51" s="23" t="str">
        <f>'Initial Search'!N108</f>
        <v>Approved</v>
      </c>
      <c r="G51" s="390"/>
      <c r="H51" s="23" t="str">
        <f>'Initial Search'!O108</f>
        <v>BTMerge</v>
      </c>
      <c r="I51" s="23"/>
      <c r="J51" s="23"/>
      <c r="K51" s="23" t="s">
        <v>561</v>
      </c>
      <c r="L51" s="23" t="s">
        <v>561</v>
      </c>
      <c r="M51" s="23"/>
      <c r="N51" s="23" t="s">
        <v>2698</v>
      </c>
      <c r="O51" s="55" t="s">
        <v>1623</v>
      </c>
      <c r="P51" s="55" t="s">
        <v>1623</v>
      </c>
      <c r="Q51" s="55" t="s">
        <v>1623</v>
      </c>
      <c r="R51" s="55" t="s">
        <v>1621</v>
      </c>
      <c r="S51" s="55" t="s">
        <v>1621</v>
      </c>
      <c r="T51" s="55" t="s">
        <v>1623</v>
      </c>
      <c r="U51" s="55" t="s">
        <v>1624</v>
      </c>
      <c r="V51" s="55" t="s">
        <v>1621</v>
      </c>
      <c r="W51" s="55" t="s">
        <v>1623</v>
      </c>
      <c r="X51" s="55" t="s">
        <v>1624</v>
      </c>
      <c r="Y51" s="55">
        <f t="shared" si="0"/>
        <v>4.5</v>
      </c>
      <c r="Z51" s="55">
        <f t="shared" si="1"/>
        <v>64.285714285714292</v>
      </c>
      <c r="AA51" s="23" t="s">
        <v>561</v>
      </c>
    </row>
    <row r="52" spans="1:40" x14ac:dyDescent="0.25">
      <c r="A52" s="23">
        <f>'Initial Search'!C229</f>
        <v>2008</v>
      </c>
      <c r="B52" s="55" t="str">
        <f>'Initial Search'!D229</f>
        <v>Managing Model Conflicts in Distributed Development</v>
      </c>
      <c r="C52" s="22">
        <f>ROW('Initial Search'!229:229)</f>
        <v>229</v>
      </c>
      <c r="D52" s="22">
        <f>ROW('Feature Study'!91:91)</f>
        <v>91</v>
      </c>
      <c r="E52" s="23" t="str">
        <f>'Initial Search'!M229</f>
        <v>Accepted</v>
      </c>
      <c r="F52" s="23" t="str">
        <f>'Initial Search'!N229</f>
        <v>Approved</v>
      </c>
      <c r="G52" s="23" t="s">
        <v>2168</v>
      </c>
      <c r="H52" s="23" t="str">
        <f>'Initial Search'!O229</f>
        <v>Cicchetti et al.</v>
      </c>
      <c r="I52" s="23" t="s">
        <v>2730</v>
      </c>
      <c r="J52" s="23"/>
      <c r="K52" s="23" t="s">
        <v>2714</v>
      </c>
      <c r="L52" s="23"/>
      <c r="M52" s="23" t="s">
        <v>1671</v>
      </c>
      <c r="N52" s="23" t="s">
        <v>2696</v>
      </c>
      <c r="O52" s="55" t="s">
        <v>1623</v>
      </c>
      <c r="P52" s="55" t="s">
        <v>1623</v>
      </c>
      <c r="Q52" s="55" t="s">
        <v>1623</v>
      </c>
      <c r="R52" s="55" t="s">
        <v>1623</v>
      </c>
      <c r="S52" s="55" t="s">
        <v>1621</v>
      </c>
      <c r="T52" s="55" t="s">
        <v>1623</v>
      </c>
      <c r="U52" s="55" t="s">
        <v>1623</v>
      </c>
      <c r="V52" s="55" t="s">
        <v>1621</v>
      </c>
      <c r="W52" s="55" t="s">
        <v>1623</v>
      </c>
      <c r="X52" s="55" t="s">
        <v>1621</v>
      </c>
      <c r="Y52" s="55">
        <f t="shared" si="0"/>
        <v>6</v>
      </c>
      <c r="Z52" s="55">
        <f t="shared" si="1"/>
        <v>85.714285714285708</v>
      </c>
      <c r="AA52" s="23" t="s">
        <v>2714</v>
      </c>
    </row>
    <row r="53" spans="1:40" x14ac:dyDescent="0.25">
      <c r="A53" s="23">
        <f>'Initial Search'!C111</f>
        <v>2019</v>
      </c>
      <c r="B53" s="55" t="str">
        <f>'Initial Search'!D111</f>
        <v>Foundations of Collaborative, Real-Time Feature Modeling</v>
      </c>
      <c r="C53" s="22">
        <f>ROW('Initial Search'!111:111)</f>
        <v>111</v>
      </c>
      <c r="D53" s="22">
        <f>ROW('Feature Study'!93:93)</f>
        <v>93</v>
      </c>
      <c r="E53" s="23" t="str">
        <f>'Initial Search'!M111</f>
        <v>Accepted</v>
      </c>
      <c r="F53" s="23" t="str">
        <f>'Initial Search'!N111</f>
        <v>Approved</v>
      </c>
      <c r="G53" s="389" t="s">
        <v>2173</v>
      </c>
      <c r="H53" s="23" t="str">
        <f>'Initial Search'!O111</f>
        <v>variED</v>
      </c>
      <c r="I53" s="23" t="s">
        <v>2547</v>
      </c>
      <c r="J53" s="23"/>
      <c r="K53" s="23" t="s">
        <v>2714</v>
      </c>
      <c r="L53" s="288" t="s">
        <v>2714</v>
      </c>
      <c r="M53" s="23" t="s">
        <v>1671</v>
      </c>
      <c r="N53" s="23" t="s">
        <v>2696</v>
      </c>
      <c r="O53" s="55" t="s">
        <v>1623</v>
      </c>
      <c r="P53" s="55" t="s">
        <v>1621</v>
      </c>
      <c r="Q53" s="55" t="s">
        <v>1623</v>
      </c>
      <c r="R53" s="55" t="s">
        <v>1623</v>
      </c>
      <c r="S53" s="55" t="s">
        <v>1621</v>
      </c>
      <c r="T53" s="55" t="s">
        <v>1623</v>
      </c>
      <c r="U53" s="55" t="s">
        <v>1624</v>
      </c>
      <c r="V53" s="55" t="s">
        <v>1621</v>
      </c>
      <c r="W53" s="55" t="s">
        <v>1623</v>
      </c>
      <c r="X53" s="55" t="s">
        <v>1624</v>
      </c>
      <c r="Y53" s="55">
        <f t="shared" si="0"/>
        <v>4.5</v>
      </c>
      <c r="Z53" s="55">
        <f t="shared" si="1"/>
        <v>64.285714285714292</v>
      </c>
      <c r="AA53" s="23" t="s">
        <v>2714</v>
      </c>
    </row>
    <row r="54" spans="1:40" x14ac:dyDescent="0.25">
      <c r="A54" s="23">
        <v>2021</v>
      </c>
      <c r="B54" s="55" t="str">
        <f>'Initial Search'!D365</f>
        <v>variED: an editor for collaborative, real-time feature modeling</v>
      </c>
      <c r="C54" s="22">
        <f>ROW('Initial Search'!365:365)</f>
        <v>365</v>
      </c>
      <c r="D54" s="22">
        <f>ROW('Feature Study'!181:181)</f>
        <v>181</v>
      </c>
      <c r="E54" s="23" t="str">
        <f>'Initial Search'!M365</f>
        <v>Accepted</v>
      </c>
      <c r="F54" s="23" t="str">
        <f>'Initial Search'!N365</f>
        <v>Approved</v>
      </c>
      <c r="G54" s="390"/>
      <c r="H54" s="23" t="str">
        <f>'Initial Search'!O365</f>
        <v>variED</v>
      </c>
      <c r="I54" s="23" t="s">
        <v>2547</v>
      </c>
      <c r="J54" s="23"/>
      <c r="K54" s="23" t="s">
        <v>2721</v>
      </c>
      <c r="L54" s="23" t="s">
        <v>3675</v>
      </c>
      <c r="M54" s="23" t="s">
        <v>2714</v>
      </c>
      <c r="N54" s="23" t="s">
        <v>2696</v>
      </c>
      <c r="O54" s="55"/>
      <c r="P54" s="55"/>
      <c r="Q54" s="55"/>
      <c r="R54" s="55"/>
      <c r="S54" s="55"/>
      <c r="T54" s="55"/>
      <c r="U54" s="55"/>
      <c r="V54" s="55"/>
      <c r="W54" s="55"/>
      <c r="X54" s="55"/>
      <c r="Y54" s="55"/>
      <c r="Z54" s="55"/>
      <c r="AA54" s="23" t="s">
        <v>3676</v>
      </c>
      <c r="AN54" s="294"/>
    </row>
    <row r="55" spans="1:40" x14ac:dyDescent="0.25">
      <c r="A55" s="23">
        <f>'Initial Search'!C238</f>
        <v>2007</v>
      </c>
      <c r="B55" s="55" t="str">
        <f>'Initial Search'!D238</f>
        <v>Models in Conflict – Towards a Semantically Enhanced Version Control System for Models</v>
      </c>
      <c r="C55" s="22">
        <f>ROW('Initial Search'!238:238)</f>
        <v>238</v>
      </c>
      <c r="D55" s="22">
        <f>ROW('Feature Study'!95:95)</f>
        <v>95</v>
      </c>
      <c r="E55" s="23" t="str">
        <f>'Initial Search'!M238</f>
        <v>Accepted</v>
      </c>
      <c r="F55" s="23" t="str">
        <f>'Initial Search'!N238</f>
        <v>Approved</v>
      </c>
      <c r="G55" s="389" t="s">
        <v>2183</v>
      </c>
      <c r="H55" s="23" t="str">
        <f>'Initial Search'!O238</f>
        <v>SMoVer</v>
      </c>
      <c r="I55" s="23"/>
      <c r="J55" s="23"/>
      <c r="K55" s="23" t="s">
        <v>2733</v>
      </c>
      <c r="L55" s="288" t="s">
        <v>2734</v>
      </c>
      <c r="M55" s="23"/>
      <c r="N55" s="23" t="s">
        <v>2696</v>
      </c>
      <c r="O55" s="55" t="s">
        <v>1623</v>
      </c>
      <c r="P55" s="55" t="s">
        <v>1621</v>
      </c>
      <c r="Q55" s="55" t="s">
        <v>1624</v>
      </c>
      <c r="R55" s="55" t="s">
        <v>1623</v>
      </c>
      <c r="S55" s="55" t="s">
        <v>1621</v>
      </c>
      <c r="T55" s="55" t="s">
        <v>1623</v>
      </c>
      <c r="U55" s="55" t="s">
        <v>1623</v>
      </c>
      <c r="V55" s="55" t="s">
        <v>1621</v>
      </c>
      <c r="W55" s="55" t="s">
        <v>1624</v>
      </c>
      <c r="X55" s="55" t="s">
        <v>1623</v>
      </c>
      <c r="Y55" s="55">
        <f t="shared" si="0"/>
        <v>4.5</v>
      </c>
      <c r="Z55" s="55">
        <f t="shared" si="1"/>
        <v>64.285714285714292</v>
      </c>
      <c r="AA55" s="23" t="s">
        <v>2733</v>
      </c>
    </row>
    <row r="56" spans="1:40" x14ac:dyDescent="0.25">
      <c r="A56" s="23">
        <f>'Initial Search'!C290</f>
        <v>2007</v>
      </c>
      <c r="B56" s="55" t="str">
        <f>'Initial Search'!D290</f>
        <v>Semantically enhanced conflict detection between model versions in SMoVer by example</v>
      </c>
      <c r="C56" s="22">
        <f>ROW('Initial Search'!290:290)</f>
        <v>290</v>
      </c>
      <c r="D56" s="22">
        <f>ROW('Feature Study'!96:96)</f>
        <v>96</v>
      </c>
      <c r="E56" s="23" t="str">
        <f>'Initial Search'!M290</f>
        <v>Accepted</v>
      </c>
      <c r="F56" s="23" t="str">
        <f>'Initial Search'!N290</f>
        <v>Approved</v>
      </c>
      <c r="G56" s="391"/>
      <c r="H56" s="23" t="str">
        <f>'Initial Search'!O290</f>
        <v>SMoVer</v>
      </c>
      <c r="I56" s="23"/>
      <c r="J56" s="23"/>
      <c r="K56" s="23" t="s">
        <v>561</v>
      </c>
      <c r="L56" s="23"/>
      <c r="M56" s="23"/>
      <c r="N56" s="23" t="s">
        <v>2698</v>
      </c>
      <c r="O56" s="55" t="s">
        <v>1623</v>
      </c>
      <c r="P56" s="55" t="s">
        <v>1623</v>
      </c>
      <c r="Q56" s="55" t="s">
        <v>1623</v>
      </c>
      <c r="R56" s="55" t="s">
        <v>1623</v>
      </c>
      <c r="S56" s="55" t="s">
        <v>1621</v>
      </c>
      <c r="T56" s="55" t="s">
        <v>1623</v>
      </c>
      <c r="U56" s="55" t="s">
        <v>1623</v>
      </c>
      <c r="V56" s="55" t="s">
        <v>1621</v>
      </c>
      <c r="W56" s="55" t="s">
        <v>1623</v>
      </c>
      <c r="X56" s="55" t="s">
        <v>1621</v>
      </c>
      <c r="Y56" s="55">
        <f t="shared" si="0"/>
        <v>6</v>
      </c>
      <c r="Z56" s="55">
        <f t="shared" si="1"/>
        <v>85.714285714285708</v>
      </c>
      <c r="AA56" s="23" t="s">
        <v>561</v>
      </c>
    </row>
    <row r="57" spans="1:40" x14ac:dyDescent="0.25">
      <c r="A57" s="23">
        <f>'Initial Search'!C298</f>
        <v>2010</v>
      </c>
      <c r="B57" s="55" t="str">
        <f>'Initial Search'!D298</f>
        <v>Semantics for Accurate Conflict Detection in SMoVer: Specification, Detection and Presentation by Example</v>
      </c>
      <c r="C57" s="22">
        <f>ROW('Initial Search'!298:298)</f>
        <v>298</v>
      </c>
      <c r="D57" s="22">
        <f>ROW('Feature Study'!150:150)</f>
        <v>150</v>
      </c>
      <c r="E57" s="23" t="str">
        <f>'Initial Search'!M298</f>
        <v>Accepted</v>
      </c>
      <c r="F57" s="23" t="str">
        <f>'Initial Search'!N298</f>
        <v>Approved</v>
      </c>
      <c r="G57" s="390"/>
      <c r="H57" s="23" t="str">
        <f>'Initial Search'!O298</f>
        <v>SMoVer</v>
      </c>
      <c r="I57" s="23"/>
      <c r="J57" s="23"/>
      <c r="K57" s="23" t="s">
        <v>2704</v>
      </c>
      <c r="L57" s="23"/>
      <c r="M57" s="23" t="s">
        <v>2712</v>
      </c>
      <c r="N57" s="23" t="s">
        <v>2696</v>
      </c>
      <c r="O57" s="55" t="s">
        <v>1623</v>
      </c>
      <c r="P57" s="55" t="s">
        <v>1623</v>
      </c>
      <c r="Q57" s="55" t="s">
        <v>1623</v>
      </c>
      <c r="R57" s="55" t="s">
        <v>1623</v>
      </c>
      <c r="S57" s="55" t="s">
        <v>1621</v>
      </c>
      <c r="T57" s="55" t="s">
        <v>1623</v>
      </c>
      <c r="U57" s="55" t="s">
        <v>1623</v>
      </c>
      <c r="V57" s="55" t="s">
        <v>1621</v>
      </c>
      <c r="W57" s="55" t="s">
        <v>1623</v>
      </c>
      <c r="X57" s="55" t="s">
        <v>1621</v>
      </c>
      <c r="Y57" s="55">
        <f t="shared" si="0"/>
        <v>6</v>
      </c>
      <c r="Z57" s="55">
        <f t="shared" si="1"/>
        <v>85.714285714285708</v>
      </c>
      <c r="AA57" s="23" t="s">
        <v>3103</v>
      </c>
    </row>
    <row r="58" spans="1:40" s="264" customFormat="1" x14ac:dyDescent="0.25">
      <c r="A58" s="247">
        <f>'Initial Search'!C131</f>
        <v>2014</v>
      </c>
      <c r="B58" s="355" t="str">
        <f>'Initial Search'!D131</f>
        <v>A New Approach for Meaningful XML Schema Merging</v>
      </c>
      <c r="C58" s="356">
        <f>ROW('Initial Search'!131:131)</f>
        <v>131</v>
      </c>
      <c r="D58" s="356">
        <f>ROW('Feature Study'!101:101)</f>
        <v>101</v>
      </c>
      <c r="E58" s="247" t="str">
        <f>'Initial Search'!M131</f>
        <v>Accepted</v>
      </c>
      <c r="F58" s="247" t="str">
        <f>'Initial Search'!N131</f>
        <v>Approved</v>
      </c>
      <c r="G58" s="247" t="s">
        <v>2200</v>
      </c>
      <c r="H58" s="247" t="str">
        <f>'Initial Search'!O131</f>
        <v>XSD-aware (XSM)</v>
      </c>
      <c r="I58" s="247" t="s">
        <v>2547</v>
      </c>
      <c r="J58" s="247"/>
      <c r="K58" s="247" t="s">
        <v>2736</v>
      </c>
      <c r="L58" s="247" t="s">
        <v>2721</v>
      </c>
      <c r="M58" s="247" t="s">
        <v>1671</v>
      </c>
      <c r="N58" s="247" t="s">
        <v>2709</v>
      </c>
      <c r="O58" s="55" t="s">
        <v>1623</v>
      </c>
      <c r="P58" s="55" t="s">
        <v>1624</v>
      </c>
      <c r="Q58" s="55" t="s">
        <v>1623</v>
      </c>
      <c r="R58" s="55" t="s">
        <v>1623</v>
      </c>
      <c r="S58" s="55" t="s">
        <v>1624</v>
      </c>
      <c r="T58" s="55" t="s">
        <v>1623</v>
      </c>
      <c r="U58" s="55" t="s">
        <v>1623</v>
      </c>
      <c r="V58" s="55" t="s">
        <v>1621</v>
      </c>
      <c r="W58" s="55" t="s">
        <v>1623</v>
      </c>
      <c r="X58" s="55" t="s">
        <v>1621</v>
      </c>
      <c r="Y58" s="55">
        <f t="shared" si="0"/>
        <v>6</v>
      </c>
      <c r="Z58" s="55">
        <f t="shared" si="1"/>
        <v>85.714285714285708</v>
      </c>
      <c r="AA58" s="247" t="s">
        <v>2736</v>
      </c>
      <c r="AN58" s="166"/>
    </row>
    <row r="59" spans="1:40" x14ac:dyDescent="0.25">
      <c r="A59" s="23">
        <f>'Initial Search'!C154</f>
        <v>2014</v>
      </c>
      <c r="B59" s="55" t="str">
        <f>'Initial Search'!D154</f>
        <v>Conflict resolution for on-the-fly change propagation in business processes</v>
      </c>
      <c r="C59" s="22">
        <f>ROW('Initial Search'!154:154)</f>
        <v>154</v>
      </c>
      <c r="D59" s="22">
        <f>ROW('Feature Study'!106:106)</f>
        <v>106</v>
      </c>
      <c r="E59" s="23" t="str">
        <f>'Initial Search'!M154</f>
        <v>Accepted</v>
      </c>
      <c r="F59" s="23" t="str">
        <f>'Initial Search'!N154</f>
        <v>Approved</v>
      </c>
      <c r="G59" s="389" t="s">
        <v>2215</v>
      </c>
      <c r="H59" s="23" t="str">
        <f>'Initial Search'!O154</f>
        <v>Mafazi et al.</v>
      </c>
      <c r="I59" s="23" t="s">
        <v>2547</v>
      </c>
      <c r="J59" s="23"/>
      <c r="K59" s="23" t="s">
        <v>2739</v>
      </c>
      <c r="L59" s="23" t="s">
        <v>2739</v>
      </c>
      <c r="M59" s="23"/>
      <c r="N59" s="23" t="s">
        <v>2698</v>
      </c>
      <c r="O59" s="55" t="s">
        <v>1623</v>
      </c>
      <c r="P59" s="55" t="s">
        <v>1623</v>
      </c>
      <c r="Q59" s="55" t="s">
        <v>1623</v>
      </c>
      <c r="R59" s="55" t="s">
        <v>1621</v>
      </c>
      <c r="S59" s="55" t="s">
        <v>1621</v>
      </c>
      <c r="T59" s="55" t="s">
        <v>1623</v>
      </c>
      <c r="U59" s="55" t="s">
        <v>1623</v>
      </c>
      <c r="V59" s="55" t="s">
        <v>1621</v>
      </c>
      <c r="W59" s="55" t="s">
        <v>1624</v>
      </c>
      <c r="X59" s="55" t="s">
        <v>1621</v>
      </c>
      <c r="Y59" s="55">
        <f t="shared" si="0"/>
        <v>5</v>
      </c>
      <c r="Z59" s="55">
        <f t="shared" si="1"/>
        <v>71.428571428571431</v>
      </c>
      <c r="AA59" s="23" t="s">
        <v>2739</v>
      </c>
    </row>
    <row r="60" spans="1:40" x14ac:dyDescent="0.25">
      <c r="A60" s="23">
        <f>'Initial Search'!C303</f>
        <v>2015</v>
      </c>
      <c r="B60" s="55" t="str">
        <f>'Initial Search'!D303</f>
        <v>Change Propagation and Conflict Resolution for the Co-Evolution of Business Processes</v>
      </c>
      <c r="C60" s="22">
        <f>ROW('Initial Search'!303:303)</f>
        <v>303</v>
      </c>
      <c r="D60" s="22">
        <f>ROW('Feature Study'!153:153)</f>
        <v>153</v>
      </c>
      <c r="E60" s="23" t="str">
        <f>'Initial Search'!M303</f>
        <v>Accepted</v>
      </c>
      <c r="F60" s="23" t="str">
        <f>'Initial Search'!N303</f>
        <v>Approved</v>
      </c>
      <c r="G60" s="390"/>
      <c r="H60" s="23" t="str">
        <f>'Initial Search'!O303</f>
        <v>Mafazi et al.</v>
      </c>
      <c r="I60" s="23" t="s">
        <v>561</v>
      </c>
      <c r="J60" s="23"/>
      <c r="K60" s="23" t="s">
        <v>2806</v>
      </c>
      <c r="L60" s="23" t="s">
        <v>2714</v>
      </c>
      <c r="M60" s="23" t="s">
        <v>1671</v>
      </c>
      <c r="N60" s="23" t="s">
        <v>2709</v>
      </c>
      <c r="O60" s="55"/>
      <c r="P60" s="55"/>
      <c r="Q60" s="55"/>
      <c r="R60" s="55"/>
      <c r="S60" s="55"/>
      <c r="T60" s="55"/>
      <c r="U60" s="55"/>
      <c r="V60" s="55"/>
      <c r="W60" s="55"/>
      <c r="X60" s="55"/>
      <c r="Y60" s="55"/>
      <c r="Z60" s="55"/>
      <c r="AA60" s="23" t="s">
        <v>2806</v>
      </c>
      <c r="AN60" s="192"/>
    </row>
    <row r="61" spans="1:40" x14ac:dyDescent="0.25">
      <c r="A61" s="23">
        <f>'Initial Search'!C183</f>
        <v>2007</v>
      </c>
      <c r="B61" s="55" t="str">
        <f>'Initial Search'!D183</f>
        <v>Formal Model Merging Applied to Class Diagram Integration</v>
      </c>
      <c r="C61" s="22">
        <f>ROW('Initial Search'!183:183)</f>
        <v>183</v>
      </c>
      <c r="D61" s="22">
        <f>ROW('Feature Study'!109:109)</f>
        <v>109</v>
      </c>
      <c r="E61" s="23" t="str">
        <f>'Initial Search'!M183</f>
        <v>Accepted</v>
      </c>
      <c r="F61" s="23" t="str">
        <f>'Initial Search'!N183</f>
        <v>Approved</v>
      </c>
      <c r="G61" s="23" t="s">
        <v>2222</v>
      </c>
      <c r="H61" s="23" t="str">
        <f>'Initial Search'!O183</f>
        <v>MOMENT</v>
      </c>
      <c r="I61" s="23" t="s">
        <v>2547</v>
      </c>
      <c r="J61" s="23"/>
      <c r="K61" s="23" t="s">
        <v>2704</v>
      </c>
      <c r="L61" s="23" t="s">
        <v>2704</v>
      </c>
      <c r="M61" s="23"/>
      <c r="N61" s="23" t="s">
        <v>2696</v>
      </c>
      <c r="O61" s="55" t="s">
        <v>1623</v>
      </c>
      <c r="P61" s="55" t="s">
        <v>1624</v>
      </c>
      <c r="Q61" s="55" t="s">
        <v>1623</v>
      </c>
      <c r="R61" s="55" t="s">
        <v>1623</v>
      </c>
      <c r="S61" s="55" t="s">
        <v>1621</v>
      </c>
      <c r="T61" s="55" t="s">
        <v>1623</v>
      </c>
      <c r="U61" s="55" t="s">
        <v>1621</v>
      </c>
      <c r="V61" s="55" t="s">
        <v>1621</v>
      </c>
      <c r="W61" s="55" t="s">
        <v>1624</v>
      </c>
      <c r="X61" s="55" t="s">
        <v>1621</v>
      </c>
      <c r="Y61" s="55">
        <f t="shared" si="0"/>
        <v>4.5</v>
      </c>
      <c r="Z61" s="55">
        <f t="shared" si="1"/>
        <v>64.285714285714292</v>
      </c>
      <c r="AA61" s="23" t="s">
        <v>2704</v>
      </c>
    </row>
    <row r="62" spans="1:40" x14ac:dyDescent="0.25">
      <c r="A62" s="23">
        <f>'Initial Search'!C184</f>
        <v>2017</v>
      </c>
      <c r="B62" s="55" t="str">
        <f>'Initial Search'!D184</f>
        <v>Near real-time collaborative modeling for view-based Web information systems engineering</v>
      </c>
      <c r="C62" s="22">
        <f>ROW('Initial Search'!184:184)</f>
        <v>184</v>
      </c>
      <c r="D62" s="22">
        <f>ROW('Feature Study'!110:110)</f>
        <v>110</v>
      </c>
      <c r="E62" s="23" t="str">
        <f>'Initial Search'!M184</f>
        <v>Accepted</v>
      </c>
      <c r="F62" s="23" t="str">
        <f>'Initial Search'!N184</f>
        <v>Approved</v>
      </c>
      <c r="G62" s="389" t="s">
        <v>2229</v>
      </c>
      <c r="H62" s="23" t="str">
        <f>'Initial Search'!O184</f>
        <v>SyncMeta</v>
      </c>
      <c r="I62" s="23"/>
      <c r="J62" s="23"/>
      <c r="K62" s="23" t="s">
        <v>2806</v>
      </c>
      <c r="M62" s="23" t="s">
        <v>2704</v>
      </c>
      <c r="N62" s="23" t="s">
        <v>2696</v>
      </c>
      <c r="O62" s="55" t="s">
        <v>1623</v>
      </c>
      <c r="P62" s="55" t="s">
        <v>1624</v>
      </c>
      <c r="Q62" s="55" t="s">
        <v>1623</v>
      </c>
      <c r="R62" s="55" t="s">
        <v>1623</v>
      </c>
      <c r="S62" s="55" t="s">
        <v>1624</v>
      </c>
      <c r="T62" s="55" t="s">
        <v>1623</v>
      </c>
      <c r="U62" s="55" t="s">
        <v>1623</v>
      </c>
      <c r="V62" s="55" t="s">
        <v>1623</v>
      </c>
      <c r="W62" s="55" t="s">
        <v>1623</v>
      </c>
      <c r="X62" s="55" t="s">
        <v>1623</v>
      </c>
      <c r="Y62" s="55">
        <f t="shared" si="0"/>
        <v>6</v>
      </c>
      <c r="Z62" s="55">
        <f t="shared" si="1"/>
        <v>85.714285714285708</v>
      </c>
      <c r="AA62" s="23" t="s">
        <v>2806</v>
      </c>
    </row>
    <row r="63" spans="1:40" x14ac:dyDescent="0.25">
      <c r="A63" s="23">
        <f>'Initial Search'!C283</f>
        <v>2015</v>
      </c>
      <c r="B63" s="55" t="str">
        <f>'Initial Search'!D283</f>
        <v>Near Real-Time Collaborative Conceptual Modeling on the Web</v>
      </c>
      <c r="C63" s="22">
        <f>ROW('Initial Search'!283:283)</f>
        <v>283</v>
      </c>
      <c r="D63" s="22">
        <f>ROW('Feature Study'!116:116)</f>
        <v>116</v>
      </c>
      <c r="E63" s="23" t="str">
        <f>'Initial Search'!M283</f>
        <v>Accepted</v>
      </c>
      <c r="F63" s="23" t="str">
        <f>'Initial Search'!N283</f>
        <v>Approved</v>
      </c>
      <c r="G63" s="391"/>
      <c r="H63" s="23" t="str">
        <f>'Initial Search'!O283</f>
        <v>SyncMeta</v>
      </c>
      <c r="I63" s="23"/>
      <c r="J63" s="23"/>
      <c r="K63" s="23"/>
      <c r="L63" s="23" t="s">
        <v>2704</v>
      </c>
      <c r="M63" s="23" t="s">
        <v>2704</v>
      </c>
      <c r="N63" s="23" t="s">
        <v>2696</v>
      </c>
      <c r="O63" s="55" t="s">
        <v>1623</v>
      </c>
      <c r="P63" s="55" t="s">
        <v>1621</v>
      </c>
      <c r="Q63" s="55" t="s">
        <v>1623</v>
      </c>
      <c r="R63" s="55" t="s">
        <v>1623</v>
      </c>
      <c r="S63" s="55" t="s">
        <v>1624</v>
      </c>
      <c r="T63" s="55" t="s">
        <v>1623</v>
      </c>
      <c r="U63" s="55" t="s">
        <v>1623</v>
      </c>
      <c r="V63" s="55" t="s">
        <v>1621</v>
      </c>
      <c r="W63" s="55" t="s">
        <v>1623</v>
      </c>
      <c r="X63" s="55" t="s">
        <v>1624</v>
      </c>
      <c r="Y63" s="55">
        <f t="shared" si="0"/>
        <v>5.5</v>
      </c>
      <c r="Z63" s="55">
        <f t="shared" si="1"/>
        <v>78.571428571428569</v>
      </c>
      <c r="AA63" s="23" t="s">
        <v>2704</v>
      </c>
    </row>
    <row r="64" spans="1:40" x14ac:dyDescent="0.25">
      <c r="A64" s="23">
        <f>'Initial Search'!C286</f>
        <v>2016</v>
      </c>
      <c r="B64" s="55" t="str">
        <f>'Initial Search'!D286</f>
        <v>View-based near real-time collaborative modeling for information systems engineering</v>
      </c>
      <c r="C64" s="22">
        <f>ROW('Initial Search'!286:286)</f>
        <v>286</v>
      </c>
      <c r="D64" s="22">
        <f>ROW('Feature Study'!117:117)</f>
        <v>117</v>
      </c>
      <c r="E64" s="23" t="str">
        <f>'Initial Search'!M286</f>
        <v>Accepted</v>
      </c>
      <c r="F64" s="23" t="str">
        <f>'Initial Search'!N286</f>
        <v>Approved</v>
      </c>
      <c r="G64" s="390"/>
      <c r="H64" s="23" t="str">
        <f>'Initial Search'!O286</f>
        <v>SyncMeta</v>
      </c>
      <c r="I64" s="23"/>
      <c r="J64" s="23" t="s">
        <v>2806</v>
      </c>
      <c r="K64" s="23"/>
      <c r="L64" s="23" t="s">
        <v>2806</v>
      </c>
      <c r="M64" s="23"/>
      <c r="N64" s="23" t="s">
        <v>2696</v>
      </c>
      <c r="O64" s="55" t="s">
        <v>1623</v>
      </c>
      <c r="P64" s="55" t="s">
        <v>1621</v>
      </c>
      <c r="Q64" s="55" t="s">
        <v>1623</v>
      </c>
      <c r="R64" s="55" t="s">
        <v>1623</v>
      </c>
      <c r="S64" s="55" t="s">
        <v>1621</v>
      </c>
      <c r="T64" s="55" t="s">
        <v>1623</v>
      </c>
      <c r="U64" s="55" t="s">
        <v>1623</v>
      </c>
      <c r="V64" s="55" t="s">
        <v>1621</v>
      </c>
      <c r="W64" s="55" t="s">
        <v>1623</v>
      </c>
      <c r="X64" s="55" t="s">
        <v>1624</v>
      </c>
      <c r="Y64" s="55">
        <f t="shared" si="0"/>
        <v>5</v>
      </c>
      <c r="Z64" s="55">
        <f t="shared" si="1"/>
        <v>71.428571428571431</v>
      </c>
      <c r="AA64" s="23" t="s">
        <v>2806</v>
      </c>
    </row>
    <row r="65" spans="1:40" x14ac:dyDescent="0.25">
      <c r="A65" s="23">
        <f>'Initial Search'!C199</f>
        <v>2006</v>
      </c>
      <c r="B65" s="55" t="str">
        <f>'Initial Search'!D199</f>
        <v>Odyssey-SCM: An integrated software configuration management infrastructure for UML models</v>
      </c>
      <c r="C65" s="22">
        <f>ROW('Initial Search'!199:199)</f>
        <v>199</v>
      </c>
      <c r="D65" s="22">
        <f>ROW('Feature Study'!118:118)</f>
        <v>118</v>
      </c>
      <c r="E65" s="23" t="str">
        <f>'Initial Search'!M199</f>
        <v>Accepted</v>
      </c>
      <c r="F65" s="23" t="str">
        <f>'Initial Search'!N199</f>
        <v>Approved</v>
      </c>
      <c r="G65" s="23" t="s">
        <v>2240</v>
      </c>
      <c r="H65" s="23" t="str">
        <f>'Initial Search'!O199</f>
        <v>Odyssey</v>
      </c>
      <c r="I65" s="23"/>
      <c r="J65" s="23"/>
      <c r="K65" s="23" t="s">
        <v>2721</v>
      </c>
      <c r="L65" s="23"/>
      <c r="M65" s="23" t="s">
        <v>2704</v>
      </c>
      <c r="N65" s="23" t="s">
        <v>2696</v>
      </c>
      <c r="O65" s="55" t="s">
        <v>1624</v>
      </c>
      <c r="P65" s="55" t="s">
        <v>1623</v>
      </c>
      <c r="Q65" s="55" t="s">
        <v>1623</v>
      </c>
      <c r="R65" s="55" t="s">
        <v>1623</v>
      </c>
      <c r="S65" s="55" t="s">
        <v>1623</v>
      </c>
      <c r="T65" s="55" t="s">
        <v>1623</v>
      </c>
      <c r="U65" s="55" t="s">
        <v>1623</v>
      </c>
      <c r="V65" s="55" t="s">
        <v>1621</v>
      </c>
      <c r="W65" s="55" t="s">
        <v>1624</v>
      </c>
      <c r="X65" s="55" t="s">
        <v>1623</v>
      </c>
      <c r="Y65" s="55">
        <f t="shared" si="0"/>
        <v>6.5</v>
      </c>
      <c r="Z65" s="55">
        <f t="shared" si="1"/>
        <v>92.857142857142861</v>
      </c>
      <c r="AA65" s="23" t="s">
        <v>2721</v>
      </c>
    </row>
    <row r="66" spans="1:40" x14ac:dyDescent="0.25">
      <c r="A66" s="23">
        <f>'Initial Search'!C232</f>
        <v>2013</v>
      </c>
      <c r="B66" s="55" t="str">
        <f>'Initial Search'!D232</f>
        <v>A Graph-Pattern Based Approach for Meta-Model Specific Conflict Detection in a General-Purpose Model Versioning System</v>
      </c>
      <c r="C66" s="22">
        <f>ROW('Initial Search'!232:232)</f>
        <v>232</v>
      </c>
      <c r="D66" s="22">
        <f>ROW('Feature Study'!124:124)</f>
        <v>124</v>
      </c>
      <c r="E66" s="23" t="str">
        <f>'Initial Search'!M232</f>
        <v>Accepted</v>
      </c>
      <c r="F66" s="23" t="str">
        <f>'Initial Search'!N232</f>
        <v>Approved</v>
      </c>
      <c r="G66" s="23" t="s">
        <v>2245</v>
      </c>
      <c r="H66" s="23" t="str">
        <f>'Initial Search'!O232</f>
        <v>Diff-Merge</v>
      </c>
      <c r="I66" s="23" t="s">
        <v>561</v>
      </c>
      <c r="K66" s="23" t="s">
        <v>2718</v>
      </c>
      <c r="L66" s="23"/>
      <c r="M66" s="23" t="s">
        <v>2704</v>
      </c>
      <c r="N66" s="23" t="s">
        <v>2696</v>
      </c>
      <c r="O66" s="55" t="s">
        <v>1623</v>
      </c>
      <c r="P66" s="55" t="s">
        <v>1621</v>
      </c>
      <c r="Q66" s="55" t="s">
        <v>1623</v>
      </c>
      <c r="R66" s="55" t="s">
        <v>1623</v>
      </c>
      <c r="S66" s="55" t="s">
        <v>1624</v>
      </c>
      <c r="T66" s="55" t="s">
        <v>1624</v>
      </c>
      <c r="U66" s="55" t="s">
        <v>1621</v>
      </c>
      <c r="V66" s="55" t="s">
        <v>1621</v>
      </c>
      <c r="W66" s="55" t="s">
        <v>1624</v>
      </c>
      <c r="X66" s="55" t="s">
        <v>1621</v>
      </c>
      <c r="Y66" s="55">
        <f t="shared" si="0"/>
        <v>4</v>
      </c>
      <c r="Z66" s="55">
        <f t="shared" si="1"/>
        <v>57.142857142857139</v>
      </c>
      <c r="AA66" s="23" t="s">
        <v>3794</v>
      </c>
    </row>
    <row r="67" spans="1:40" x14ac:dyDescent="0.25">
      <c r="A67" s="23">
        <f>'Initial Search'!C243</f>
        <v>2012</v>
      </c>
      <c r="B67" s="55" t="str">
        <f>'Initial Search'!D243</f>
        <v>Supporting Collaborative Work by Preserving Model Meaning When Merging Graphical Models</v>
      </c>
      <c r="C67" s="22">
        <f>ROW('Initial Search'!243:243)</f>
        <v>243</v>
      </c>
      <c r="D67" s="22">
        <f>ROW('Feature Study'!126:126)</f>
        <v>126</v>
      </c>
      <c r="E67" s="23" t="str">
        <f>'Initial Search'!M243</f>
        <v>Accepted</v>
      </c>
      <c r="F67" s="23" t="str">
        <f>'Initial Search'!N243</f>
        <v>Approved</v>
      </c>
      <c r="G67" s="23" t="s">
        <v>2246</v>
      </c>
      <c r="H67" s="23" t="str">
        <f>'Initial Search'!O243</f>
        <v>Phalp et al.</v>
      </c>
      <c r="I67" s="23"/>
      <c r="J67" s="23"/>
      <c r="K67" s="23" t="s">
        <v>2704</v>
      </c>
      <c r="L67" s="23"/>
      <c r="M67" s="23" t="s">
        <v>1671</v>
      </c>
      <c r="N67" s="23" t="s">
        <v>2696</v>
      </c>
      <c r="O67" s="55" t="s">
        <v>1623</v>
      </c>
      <c r="P67" s="55" t="s">
        <v>1623</v>
      </c>
      <c r="Q67" s="55" t="s">
        <v>1623</v>
      </c>
      <c r="R67" s="55" t="s">
        <v>1623</v>
      </c>
      <c r="S67" s="55" t="s">
        <v>1621</v>
      </c>
      <c r="T67" s="55" t="s">
        <v>1621</v>
      </c>
      <c r="U67" s="55" t="s">
        <v>1621</v>
      </c>
      <c r="V67" s="55" t="s">
        <v>1621</v>
      </c>
      <c r="W67" s="55" t="s">
        <v>1624</v>
      </c>
      <c r="X67" s="55" t="s">
        <v>1621</v>
      </c>
      <c r="Y67" s="55">
        <f t="shared" si="0"/>
        <v>4</v>
      </c>
      <c r="Z67" s="55">
        <f t="shared" si="1"/>
        <v>57.142857142857139</v>
      </c>
      <c r="AA67" s="23" t="s">
        <v>2704</v>
      </c>
    </row>
    <row r="68" spans="1:40" x14ac:dyDescent="0.25">
      <c r="A68" s="23">
        <f>'Initial Search'!C251</f>
        <v>2017</v>
      </c>
      <c r="B68" s="55" t="str">
        <f>'Initial Search'!D251</f>
        <v>Model Consistency for Distributed Collaborative Modeling</v>
      </c>
      <c r="C68" s="22">
        <f>ROW('Initial Search'!251:251)</f>
        <v>251</v>
      </c>
      <c r="D68" s="22">
        <f>ROW('Feature Study'!128:128)</f>
        <v>128</v>
      </c>
      <c r="E68" s="23" t="str">
        <f>'Initial Search'!M251</f>
        <v>Accepted</v>
      </c>
      <c r="F68" s="23" t="str">
        <f>'Initial Search'!N251</f>
        <v>Approved</v>
      </c>
      <c r="G68" s="23" t="s">
        <v>2255</v>
      </c>
      <c r="H68" s="23" t="str">
        <f>'Initial Search'!O251</f>
        <v>Model Consistency</v>
      </c>
      <c r="I68" s="23" t="s">
        <v>561</v>
      </c>
      <c r="J68" s="23" t="s">
        <v>2824</v>
      </c>
      <c r="K68" s="23"/>
      <c r="L68" s="23"/>
      <c r="M68" s="23"/>
      <c r="N68" s="23" t="s">
        <v>2696</v>
      </c>
      <c r="O68" s="55" t="s">
        <v>1623</v>
      </c>
      <c r="P68" s="55" t="s">
        <v>1623</v>
      </c>
      <c r="Q68" s="55" t="s">
        <v>1623</v>
      </c>
      <c r="R68" s="55" t="s">
        <v>1623</v>
      </c>
      <c r="S68" s="55" t="s">
        <v>1621</v>
      </c>
      <c r="T68" s="55" t="s">
        <v>1624</v>
      </c>
      <c r="U68" s="55" t="s">
        <v>1623</v>
      </c>
      <c r="V68" s="55" t="s">
        <v>1621</v>
      </c>
      <c r="W68" s="55" t="s">
        <v>1623</v>
      </c>
      <c r="X68" s="55" t="s">
        <v>1623</v>
      </c>
      <c r="Y68" s="55">
        <f t="shared" si="0"/>
        <v>5.5</v>
      </c>
      <c r="Z68" s="55">
        <f t="shared" si="1"/>
        <v>78.571428571428569</v>
      </c>
      <c r="AA68" s="23" t="s">
        <v>3792</v>
      </c>
    </row>
    <row r="69" spans="1:40" x14ac:dyDescent="0.25">
      <c r="A69" s="23">
        <f>'Initial Search'!C202</f>
        <v>2010</v>
      </c>
      <c r="B69" s="55" t="str">
        <f>'Initial Search'!D202</f>
        <v>A formalisation of the copy-modify-merge approach to version control in MDE</v>
      </c>
      <c r="C69" s="22">
        <f>ROW('Initial Search'!202:202)</f>
        <v>202</v>
      </c>
      <c r="D69" s="22">
        <f>ROW('Feature Study'!129:129)</f>
        <v>129</v>
      </c>
      <c r="E69" s="23" t="str">
        <f>'Initial Search'!M202</f>
        <v>Accepted</v>
      </c>
      <c r="F69" s="23" t="str">
        <f>'Initial Search'!N202</f>
        <v>Approved</v>
      </c>
      <c r="G69" s="389" t="s">
        <v>2268</v>
      </c>
      <c r="H69" s="23" t="str">
        <f>'Initial Search'!O202</f>
        <v>DPF</v>
      </c>
      <c r="I69" s="23"/>
      <c r="J69" s="23"/>
      <c r="K69" s="23" t="s">
        <v>561</v>
      </c>
      <c r="L69" s="23"/>
      <c r="M69" s="23"/>
      <c r="N69" s="23" t="s">
        <v>2698</v>
      </c>
      <c r="O69" s="55" t="s">
        <v>1623</v>
      </c>
      <c r="P69" s="55" t="s">
        <v>1623</v>
      </c>
      <c r="Q69" s="55" t="s">
        <v>1623</v>
      </c>
      <c r="R69" s="55" t="s">
        <v>1621</v>
      </c>
      <c r="S69" s="55" t="s">
        <v>1621</v>
      </c>
      <c r="T69" s="55" t="s">
        <v>1623</v>
      </c>
      <c r="U69" s="55" t="s">
        <v>1623</v>
      </c>
      <c r="V69" s="55" t="s">
        <v>1621</v>
      </c>
      <c r="W69" s="55" t="s">
        <v>1623</v>
      </c>
      <c r="X69" s="55" t="s">
        <v>1621</v>
      </c>
      <c r="Y69" s="55">
        <f t="shared" si="0"/>
        <v>5</v>
      </c>
      <c r="Z69" s="55">
        <f t="shared" si="1"/>
        <v>71.428571428571431</v>
      </c>
      <c r="AA69" s="23" t="s">
        <v>561</v>
      </c>
    </row>
    <row r="70" spans="1:40" x14ac:dyDescent="0.25">
      <c r="A70" s="23">
        <f>'Initial Search'!C252</f>
        <v>2009</v>
      </c>
      <c r="B70" s="55" t="str">
        <f>'Initial Search'!D252</f>
        <v>A Category-Theoretical Approach to the Formalisation of Version Control in MDE</v>
      </c>
      <c r="C70" s="22">
        <f>ROW('Initial Search'!252:252)</f>
        <v>252</v>
      </c>
      <c r="D70" s="22">
        <f>ROW('Feature Study'!130:130)</f>
        <v>130</v>
      </c>
      <c r="E70" s="23" t="str">
        <f>'Initial Search'!M252</f>
        <v>Accepted</v>
      </c>
      <c r="F70" s="23" t="str">
        <f>'Initial Search'!N252</f>
        <v>Approved</v>
      </c>
      <c r="G70" s="391"/>
      <c r="H70" s="23" t="str">
        <f>'Initial Search'!O252</f>
        <v>DPF</v>
      </c>
      <c r="I70" s="23"/>
      <c r="J70" s="23"/>
      <c r="K70" s="23" t="s">
        <v>561</v>
      </c>
      <c r="L70" s="23"/>
      <c r="M70" s="23"/>
      <c r="N70" s="23" t="s">
        <v>2698</v>
      </c>
      <c r="O70" s="55" t="s">
        <v>1623</v>
      </c>
      <c r="P70" s="55" t="s">
        <v>1624</v>
      </c>
      <c r="Q70" s="55" t="s">
        <v>1623</v>
      </c>
      <c r="R70" s="55" t="s">
        <v>1621</v>
      </c>
      <c r="S70" s="55" t="s">
        <v>1621</v>
      </c>
      <c r="T70" s="55" t="s">
        <v>1624</v>
      </c>
      <c r="U70" s="55" t="s">
        <v>1623</v>
      </c>
      <c r="V70" s="55" t="s">
        <v>1621</v>
      </c>
      <c r="W70" s="55" t="s">
        <v>1623</v>
      </c>
      <c r="X70" s="55" t="s">
        <v>1624</v>
      </c>
      <c r="Y70" s="55">
        <f t="shared" si="0"/>
        <v>4</v>
      </c>
      <c r="Z70" s="55">
        <f t="shared" si="1"/>
        <v>57.142857142857139</v>
      </c>
      <c r="AA70" s="23" t="s">
        <v>561</v>
      </c>
    </row>
    <row r="71" spans="1:40" x14ac:dyDescent="0.25">
      <c r="A71" s="23">
        <f>'Initial Search'!C296</f>
        <v>2018</v>
      </c>
      <c r="B71" s="55" t="str">
        <f>'Initial Search'!D296</f>
        <v>Handling constraints in model versioning</v>
      </c>
      <c r="C71" s="22">
        <f>ROW('Initial Search'!296:296)</f>
        <v>296</v>
      </c>
      <c r="D71" s="22">
        <f>ROW('Feature Study'!147:147)</f>
        <v>147</v>
      </c>
      <c r="E71" s="23" t="str">
        <f>'Initial Search'!M296</f>
        <v>Accepted</v>
      </c>
      <c r="F71" s="23" t="str">
        <f>'Initial Search'!N296</f>
        <v>Approved</v>
      </c>
      <c r="G71" s="390"/>
      <c r="H71" s="23" t="str">
        <f>'Initial Search'!O296</f>
        <v>DPF</v>
      </c>
      <c r="I71" s="23"/>
      <c r="J71" s="23"/>
      <c r="K71" s="23" t="s">
        <v>561</v>
      </c>
      <c r="L71" s="23" t="s">
        <v>561</v>
      </c>
      <c r="M71" s="23"/>
      <c r="N71" s="23" t="s">
        <v>2696</v>
      </c>
      <c r="O71" s="55" t="s">
        <v>1623</v>
      </c>
      <c r="P71" s="55" t="s">
        <v>1623</v>
      </c>
      <c r="Q71" s="55" t="s">
        <v>1623</v>
      </c>
      <c r="R71" s="55" t="s">
        <v>1621</v>
      </c>
      <c r="S71" s="55" t="s">
        <v>1621</v>
      </c>
      <c r="T71" s="55" t="s">
        <v>1623</v>
      </c>
      <c r="U71" s="55" t="s">
        <v>1624</v>
      </c>
      <c r="V71" s="55" t="s">
        <v>1621</v>
      </c>
      <c r="W71" s="55" t="s">
        <v>1624</v>
      </c>
      <c r="X71" s="55" t="s">
        <v>1621</v>
      </c>
      <c r="Y71" s="55">
        <f t="shared" si="0"/>
        <v>4.5</v>
      </c>
      <c r="Z71" s="55">
        <f t="shared" si="1"/>
        <v>64.285714285714292</v>
      </c>
      <c r="AA71" s="23" t="s">
        <v>561</v>
      </c>
    </row>
    <row r="72" spans="1:40" x14ac:dyDescent="0.25">
      <c r="A72" s="23">
        <f>'Initial Search'!C277</f>
        <v>2015</v>
      </c>
      <c r="B72" s="55" t="str">
        <f>'Initial Search'!D277</f>
        <v>Research of Consistency Maintenance Mechanism in Real-Time Collaborative Multi-View Business Modeling</v>
      </c>
      <c r="C72" s="22">
        <f>ROW('Initial Search'!277:277)</f>
        <v>277</v>
      </c>
      <c r="D72" s="22">
        <f>ROW('Feature Study'!139:139)</f>
        <v>139</v>
      </c>
      <c r="E72" s="23" t="str">
        <f>'Initial Search'!M277</f>
        <v>Accepted</v>
      </c>
      <c r="F72" s="23" t="str">
        <f>'Initial Search'!N277</f>
        <v>Approved</v>
      </c>
      <c r="G72" s="23" t="s">
        <v>2269</v>
      </c>
      <c r="H72" s="23" t="str">
        <f>'Initial Search'!O277</f>
        <v>CoMBM</v>
      </c>
      <c r="I72" s="23" t="s">
        <v>561</v>
      </c>
      <c r="J72" s="23"/>
      <c r="K72" s="23" t="s">
        <v>2704</v>
      </c>
      <c r="L72" s="23" t="s">
        <v>2704</v>
      </c>
      <c r="M72" s="23" t="s">
        <v>1671</v>
      </c>
      <c r="N72" s="23" t="s">
        <v>2696</v>
      </c>
      <c r="O72" s="55" t="s">
        <v>1623</v>
      </c>
      <c r="P72" s="55" t="s">
        <v>1623</v>
      </c>
      <c r="Q72" s="55" t="s">
        <v>1624</v>
      </c>
      <c r="R72" s="55" t="s">
        <v>1623</v>
      </c>
      <c r="S72" s="55" t="s">
        <v>1621</v>
      </c>
      <c r="T72" s="55" t="s">
        <v>1621</v>
      </c>
      <c r="U72" s="55" t="s">
        <v>1624</v>
      </c>
      <c r="V72" s="55" t="s">
        <v>1621</v>
      </c>
      <c r="W72" s="55" t="s">
        <v>1624</v>
      </c>
      <c r="X72" s="55" t="s">
        <v>1621</v>
      </c>
      <c r="Y72" s="55">
        <f t="shared" si="0"/>
        <v>4</v>
      </c>
      <c r="Z72" s="55">
        <f t="shared" si="1"/>
        <v>57.142857142857139</v>
      </c>
      <c r="AA72" s="23" t="s">
        <v>2704</v>
      </c>
    </row>
    <row r="73" spans="1:40" x14ac:dyDescent="0.25">
      <c r="A73" s="23">
        <f>'Initial Search'!C280</f>
        <v>2019</v>
      </c>
      <c r="B73" s="55" t="str">
        <f>'Initial Search'!D280</f>
        <v>Pyro: Generating Domain-Specific Collaborative Online Modeling Environments</v>
      </c>
      <c r="C73" s="22">
        <f>ROW('Initial Search'!280:280)</f>
        <v>280</v>
      </c>
      <c r="D73" s="22">
        <f>ROW('Feature Study'!140:140)</f>
        <v>140</v>
      </c>
      <c r="E73" s="23" t="str">
        <f>'Initial Search'!M280</f>
        <v>Accepted</v>
      </c>
      <c r="F73" s="23" t="str">
        <f>'Initial Search'!N280</f>
        <v>Approved</v>
      </c>
      <c r="G73" s="23" t="s">
        <v>2288</v>
      </c>
      <c r="H73" s="23" t="str">
        <f>'Initial Search'!O280</f>
        <v>Pyro</v>
      </c>
      <c r="I73" s="23"/>
      <c r="J73" s="23" t="s">
        <v>2710</v>
      </c>
      <c r="K73" s="23" t="s">
        <v>2710</v>
      </c>
      <c r="L73" s="288" t="s">
        <v>2697</v>
      </c>
      <c r="M73" s="23" t="s">
        <v>2704</v>
      </c>
      <c r="N73" s="23" t="s">
        <v>2696</v>
      </c>
      <c r="O73" s="55" t="s">
        <v>1623</v>
      </c>
      <c r="P73" s="55" t="s">
        <v>1621</v>
      </c>
      <c r="Q73" s="55" t="s">
        <v>1623</v>
      </c>
      <c r="R73" s="55" t="s">
        <v>1623</v>
      </c>
      <c r="S73" s="55" t="s">
        <v>1621</v>
      </c>
      <c r="T73" s="55" t="s">
        <v>1624</v>
      </c>
      <c r="U73" s="55" t="s">
        <v>1624</v>
      </c>
      <c r="V73" s="55" t="s">
        <v>1621</v>
      </c>
      <c r="W73" s="55" t="s">
        <v>1624</v>
      </c>
      <c r="X73" s="55" t="s">
        <v>1621</v>
      </c>
      <c r="Y73" s="55">
        <f t="shared" si="0"/>
        <v>4</v>
      </c>
      <c r="Z73" s="55">
        <f t="shared" si="1"/>
        <v>57.142857142857139</v>
      </c>
      <c r="AA73" s="247" t="s">
        <v>3107</v>
      </c>
    </row>
    <row r="74" spans="1:40" x14ac:dyDescent="0.25">
      <c r="A74" s="23">
        <f>'Initial Search'!C284</f>
        <v>2018</v>
      </c>
      <c r="B74" s="55" t="str">
        <f>'Initial Search'!D284</f>
        <v>Collaborative Modelling with Version Control</v>
      </c>
      <c r="C74" s="22">
        <f>ROW('Initial Search'!284:284)</f>
        <v>284</v>
      </c>
      <c r="D74" s="22">
        <f>ROW('Feature Study'!141:141)</f>
        <v>141</v>
      </c>
      <c r="E74" s="23" t="str">
        <f>'Initial Search'!M284</f>
        <v>Accepted</v>
      </c>
      <c r="F74" s="23" t="str">
        <f>'Initial Search'!N284</f>
        <v>Approved</v>
      </c>
      <c r="G74" s="23" t="s">
        <v>2435</v>
      </c>
      <c r="H74" s="23" t="str">
        <f>'Initial Search'!O284</f>
        <v>MetaEdit+</v>
      </c>
      <c r="I74" s="23"/>
      <c r="J74" s="23" t="s">
        <v>2704</v>
      </c>
      <c r="K74" s="23"/>
      <c r="L74" s="23"/>
      <c r="M74" s="23"/>
      <c r="N74" s="23" t="s">
        <v>2709</v>
      </c>
      <c r="O74" s="55" t="s">
        <v>1624</v>
      </c>
      <c r="P74" s="55" t="s">
        <v>1621</v>
      </c>
      <c r="Q74" s="55" t="s">
        <v>1624</v>
      </c>
      <c r="R74" s="55" t="s">
        <v>1623</v>
      </c>
      <c r="S74" s="55" t="s">
        <v>1621</v>
      </c>
      <c r="T74" s="55" t="s">
        <v>1624</v>
      </c>
      <c r="U74" s="55" t="s">
        <v>1624</v>
      </c>
      <c r="V74" s="55" t="s">
        <v>1621</v>
      </c>
      <c r="W74" s="55" t="s">
        <v>1624</v>
      </c>
      <c r="X74" s="55" t="s">
        <v>1621</v>
      </c>
      <c r="Y74" s="55">
        <f t="shared" si="0"/>
        <v>3</v>
      </c>
      <c r="Z74" s="81">
        <f t="shared" si="1"/>
        <v>42.857142857142854</v>
      </c>
      <c r="AA74" s="247" t="s">
        <v>2704</v>
      </c>
    </row>
    <row r="75" spans="1:40" x14ac:dyDescent="0.25">
      <c r="A75" s="23">
        <f>'Initial Search'!C164</f>
        <v>2020</v>
      </c>
      <c r="B75" s="55" t="str">
        <f>'Initial Search'!D164</f>
        <v>A Formalism for Specifying Model Merging Conflicts</v>
      </c>
      <c r="C75" s="22">
        <f>ROW('Initial Search'!164:164)</f>
        <v>164</v>
      </c>
      <c r="D75" s="22">
        <f>ROW('Feature Study'!142:142)</f>
        <v>142</v>
      </c>
      <c r="E75" s="23" t="str">
        <f>'Initial Search'!M164</f>
        <v>Accepted</v>
      </c>
      <c r="F75" s="23" t="str">
        <f>'Initial Search'!N164</f>
        <v>Approved</v>
      </c>
      <c r="G75" s="23" t="s">
        <v>2463</v>
      </c>
      <c r="H75" s="23" t="str">
        <f>'Initial Search'!O164</f>
        <v>CPL</v>
      </c>
      <c r="I75" s="23" t="s">
        <v>2704</v>
      </c>
      <c r="J75" s="23"/>
      <c r="K75" s="23"/>
      <c r="L75" s="23"/>
      <c r="M75" s="23"/>
      <c r="N75" s="23" t="s">
        <v>2696</v>
      </c>
      <c r="O75" s="55" t="s">
        <v>1623</v>
      </c>
      <c r="P75" s="55" t="s">
        <v>1623</v>
      </c>
      <c r="Q75" s="55" t="s">
        <v>1623</v>
      </c>
      <c r="R75" s="55" t="s">
        <v>1623</v>
      </c>
      <c r="S75" s="55" t="s">
        <v>1621</v>
      </c>
      <c r="T75" s="55" t="s">
        <v>1623</v>
      </c>
      <c r="U75" s="55" t="s">
        <v>1623</v>
      </c>
      <c r="V75" s="55" t="s">
        <v>1621</v>
      </c>
      <c r="W75" s="55" t="s">
        <v>1623</v>
      </c>
      <c r="X75" s="55" t="s">
        <v>1624</v>
      </c>
      <c r="Y75" s="55">
        <f t="shared" si="0"/>
        <v>6</v>
      </c>
      <c r="Z75" s="55">
        <f t="shared" si="1"/>
        <v>85.714285714285708</v>
      </c>
      <c r="AA75" s="23" t="s">
        <v>2704</v>
      </c>
    </row>
    <row r="76" spans="1:40" x14ac:dyDescent="0.25">
      <c r="A76" s="23">
        <f>'Initial Search'!C98</f>
        <v>2019</v>
      </c>
      <c r="B76" s="55" t="str">
        <f>'Initial Search'!D98</f>
        <v>Consistency Control for Model Versions in Evolving Model-Driven Software Product Lines</v>
      </c>
      <c r="C76" s="22">
        <f>ROW('Initial Search'!98:98)</f>
        <v>98</v>
      </c>
      <c r="D76" s="22">
        <f>ROW('Feature Study'!90:90)</f>
        <v>90</v>
      </c>
      <c r="E76" s="23" t="str">
        <f>'Initial Search'!M98</f>
        <v>Accepted</v>
      </c>
      <c r="F76" s="23" t="str">
        <f>'Initial Search'!N98</f>
        <v>Approved</v>
      </c>
      <c r="G76" s="23" t="s">
        <v>2481</v>
      </c>
      <c r="H76" s="23" t="str">
        <f>'Initial Search'!O98</f>
        <v>SuperMod</v>
      </c>
      <c r="I76" s="23" t="s">
        <v>2547</v>
      </c>
      <c r="J76" s="23"/>
      <c r="K76" s="23" t="s">
        <v>2704</v>
      </c>
      <c r="L76" s="23" t="s">
        <v>2721</v>
      </c>
      <c r="M76" s="23" t="s">
        <v>2704</v>
      </c>
      <c r="N76" s="23" t="s">
        <v>2698</v>
      </c>
      <c r="O76" s="55" t="s">
        <v>1623</v>
      </c>
      <c r="P76" s="55" t="s">
        <v>1624</v>
      </c>
      <c r="Q76" s="55" t="s">
        <v>1623</v>
      </c>
      <c r="R76" s="55" t="s">
        <v>1623</v>
      </c>
      <c r="S76" s="55" t="s">
        <v>1624</v>
      </c>
      <c r="T76" s="55" t="s">
        <v>1623</v>
      </c>
      <c r="U76" s="55" t="s">
        <v>1621</v>
      </c>
      <c r="V76" s="55" t="s">
        <v>1621</v>
      </c>
      <c r="W76" s="55" t="s">
        <v>1624</v>
      </c>
      <c r="X76" s="55" t="s">
        <v>1621</v>
      </c>
      <c r="Y76" s="55">
        <f>COUNTIF(O76:U76,"Yes") + 0.5 * COUNTIF(O76:U76,"partially")</f>
        <v>5</v>
      </c>
      <c r="Z76" s="55">
        <f>Y76/7*100</f>
        <v>71.428571428571431</v>
      </c>
      <c r="AA76" s="23" t="s">
        <v>2721</v>
      </c>
    </row>
    <row r="77" spans="1:40" x14ac:dyDescent="0.25">
      <c r="A77" s="23">
        <f>'Initial Search'!C204</f>
        <v>2005</v>
      </c>
      <c r="B77" s="55" t="str">
        <f>'Initial Search'!D204</f>
        <v>Detecting structural refactoring conflicts using critical pair analysis</v>
      </c>
      <c r="C77" s="22">
        <f>ROW('Initial Search'!204:204)</f>
        <v>204</v>
      </c>
      <c r="D77" s="22">
        <f>ROW('Feature Study'!74:74)</f>
        <v>74</v>
      </c>
      <c r="E77" s="23" t="str">
        <f>'Initial Search'!M204</f>
        <v>Accepted</v>
      </c>
      <c r="F77" s="23" t="str">
        <f>'Initial Search'!N204</f>
        <v>Approved</v>
      </c>
      <c r="G77" s="23" t="s">
        <v>2499</v>
      </c>
      <c r="H77" s="23" t="str">
        <f>'Initial Search'!O204</f>
        <v>Mens et al. (AGG)</v>
      </c>
      <c r="I77" s="23" t="s">
        <v>561</v>
      </c>
      <c r="J77" s="23"/>
      <c r="K77" s="23" t="s">
        <v>2704</v>
      </c>
      <c r="L77" s="23" t="s">
        <v>2704</v>
      </c>
      <c r="M77" s="23" t="s">
        <v>2704</v>
      </c>
      <c r="N77" s="23" t="s">
        <v>2696</v>
      </c>
      <c r="O77" s="55" t="s">
        <v>1623</v>
      </c>
      <c r="P77" s="55" t="s">
        <v>1623</v>
      </c>
      <c r="Q77" s="55" t="s">
        <v>1623</v>
      </c>
      <c r="R77" s="55" t="s">
        <v>1623</v>
      </c>
      <c r="S77" s="55" t="s">
        <v>1621</v>
      </c>
      <c r="T77" s="55" t="s">
        <v>1624</v>
      </c>
      <c r="U77" s="55" t="s">
        <v>1621</v>
      </c>
      <c r="V77" s="55" t="s">
        <v>1621</v>
      </c>
      <c r="W77" s="55" t="s">
        <v>1623</v>
      </c>
      <c r="X77" s="55" t="s">
        <v>1623</v>
      </c>
      <c r="Y77" s="55">
        <f>COUNTIF(O77:U77,"Yes") + 0.5 * COUNTIF(O77:U77,"partially")</f>
        <v>4.5</v>
      </c>
      <c r="Z77" s="55">
        <f>Y77/7*100</f>
        <v>64.285714285714292</v>
      </c>
      <c r="AA77" s="23" t="s">
        <v>2704</v>
      </c>
    </row>
    <row r="78" spans="1:40" s="264" customFormat="1" x14ac:dyDescent="0.25">
      <c r="A78" s="247">
        <f>'Initial Search'!C291</f>
        <v>2015</v>
      </c>
      <c r="B78" s="355" t="str">
        <f>'Initial Search'!D291</f>
        <v>Composite-level conflict detection in uml model versioning</v>
      </c>
      <c r="C78" s="356">
        <f>ROW('Initial Search'!291:291)</f>
        <v>291</v>
      </c>
      <c r="D78" s="356">
        <f>ROW('Feature Study'!143:143)</f>
        <v>143</v>
      </c>
      <c r="E78" s="247" t="str">
        <f>'Initial Search'!M291</f>
        <v>Accepted</v>
      </c>
      <c r="F78" s="247" t="str">
        <f>'Initial Search'!N291</f>
        <v>Approved</v>
      </c>
      <c r="G78" s="247" t="s">
        <v>2500</v>
      </c>
      <c r="H78" s="247" t="str">
        <f>'Initial Search'!O291</f>
        <v>Zhang et al.</v>
      </c>
      <c r="I78" s="247" t="s">
        <v>561</v>
      </c>
      <c r="J78" s="247"/>
      <c r="K78" s="247" t="s">
        <v>2717</v>
      </c>
      <c r="L78" s="247"/>
      <c r="M78" s="247" t="s">
        <v>2704</v>
      </c>
      <c r="N78" s="247" t="s">
        <v>2696</v>
      </c>
      <c r="O78" s="55" t="s">
        <v>1623</v>
      </c>
      <c r="P78" s="55" t="s">
        <v>1623</v>
      </c>
      <c r="Q78" s="55" t="s">
        <v>1623</v>
      </c>
      <c r="R78" s="55" t="s">
        <v>1623</v>
      </c>
      <c r="S78" s="55" t="s">
        <v>1624</v>
      </c>
      <c r="T78" s="55" t="s">
        <v>1624</v>
      </c>
      <c r="U78" s="55" t="s">
        <v>1624</v>
      </c>
      <c r="V78" s="55" t="s">
        <v>1621</v>
      </c>
      <c r="W78" s="55" t="s">
        <v>1623</v>
      </c>
      <c r="X78" s="55" t="s">
        <v>1621</v>
      </c>
      <c r="Y78" s="55">
        <f t="shared" si="0"/>
        <v>5.5</v>
      </c>
      <c r="Z78" s="55">
        <f t="shared" si="1"/>
        <v>78.571428571428569</v>
      </c>
      <c r="AA78" s="247" t="s">
        <v>2717</v>
      </c>
      <c r="AN78" s="166"/>
    </row>
    <row r="79" spans="1:40" x14ac:dyDescent="0.25">
      <c r="A79" s="23">
        <f>'Initial Search'!C299</f>
        <v>2013</v>
      </c>
      <c r="B79" s="55" t="str">
        <f>'Initial Search'!D299</f>
        <v>Semantic Conflicts Detection in Model-driven Engineering</v>
      </c>
      <c r="C79" s="22">
        <f>ROW('Initial Search'!299:299)</f>
        <v>299</v>
      </c>
      <c r="D79" s="22">
        <f>ROW('Feature Study'!149:149)</f>
        <v>149</v>
      </c>
      <c r="E79" s="23" t="str">
        <f>'Initial Search'!M299</f>
        <v>Accepted</v>
      </c>
      <c r="F79" s="23" t="str">
        <f>'Initial Search'!N299</f>
        <v>Approved</v>
      </c>
      <c r="G79" s="23" t="s">
        <v>2521</v>
      </c>
      <c r="H79" s="23" t="str">
        <f>'Initial Search'!O299</f>
        <v>Costa et al.</v>
      </c>
      <c r="I79" s="23" t="s">
        <v>561</v>
      </c>
      <c r="J79" s="23"/>
      <c r="K79" s="23" t="s">
        <v>2714</v>
      </c>
      <c r="L79" s="23"/>
      <c r="M79" s="23" t="s">
        <v>2704</v>
      </c>
      <c r="N79" s="23" t="s">
        <v>2696</v>
      </c>
      <c r="O79" s="55" t="s">
        <v>1623</v>
      </c>
      <c r="P79" s="55" t="s">
        <v>1623</v>
      </c>
      <c r="Q79" s="55" t="s">
        <v>1624</v>
      </c>
      <c r="R79" s="55" t="s">
        <v>1623</v>
      </c>
      <c r="S79" s="55" t="s">
        <v>1621</v>
      </c>
      <c r="T79" s="55" t="s">
        <v>1623</v>
      </c>
      <c r="U79" s="55" t="s">
        <v>1623</v>
      </c>
      <c r="V79" s="55" t="s">
        <v>1621</v>
      </c>
      <c r="W79" s="55" t="s">
        <v>1623</v>
      </c>
      <c r="X79" s="55" t="s">
        <v>1621</v>
      </c>
      <c r="Y79" s="55">
        <f t="shared" si="0"/>
        <v>5.5</v>
      </c>
      <c r="Z79" s="55">
        <f t="shared" si="1"/>
        <v>78.571428571428569</v>
      </c>
      <c r="AA79" s="23" t="s">
        <v>2714</v>
      </c>
    </row>
    <row r="80" spans="1:40" hidden="1" x14ac:dyDescent="0.25">
      <c r="A80" s="23">
        <f>'Initial Search'!C300</f>
        <v>2015</v>
      </c>
      <c r="B80" s="55" t="str">
        <f>'Initial Search'!D300</f>
        <v>Merging software architectures with conflicts detections</v>
      </c>
      <c r="C80" s="22">
        <f>ROW('Initial Search'!300:300)</f>
        <v>300</v>
      </c>
      <c r="D80" s="22">
        <f>ROW('Feature Study'!150:150)</f>
        <v>150</v>
      </c>
      <c r="E80" s="23" t="str">
        <f>'Initial Search'!M300</f>
        <v>Accepted</v>
      </c>
      <c r="F80" s="190" t="str">
        <f>'Initial Search'!N300</f>
        <v>Disapproved</v>
      </c>
      <c r="G80" s="23"/>
      <c r="H80" s="23" t="str">
        <f>'Initial Search'!O300</f>
        <v>SAD</v>
      </c>
      <c r="I80" s="23"/>
      <c r="J80" s="23"/>
      <c r="K80" s="23"/>
      <c r="L80" s="23"/>
      <c r="M80" s="23"/>
      <c r="N80" s="23"/>
      <c r="O80" s="55" t="s">
        <v>1624</v>
      </c>
      <c r="P80" s="55" t="s">
        <v>1623</v>
      </c>
      <c r="Q80" s="55" t="s">
        <v>1624</v>
      </c>
      <c r="R80" s="55" t="s">
        <v>1621</v>
      </c>
      <c r="S80" s="55" t="s">
        <v>1621</v>
      </c>
      <c r="T80" s="55" t="s">
        <v>1624</v>
      </c>
      <c r="U80" s="55" t="s">
        <v>1621</v>
      </c>
      <c r="V80" s="55" t="s">
        <v>1621</v>
      </c>
      <c r="W80" s="55" t="s">
        <v>1621</v>
      </c>
      <c r="X80" s="55" t="s">
        <v>1621</v>
      </c>
      <c r="Y80" s="55">
        <f t="shared" si="0"/>
        <v>2.5</v>
      </c>
      <c r="Z80" s="81">
        <f t="shared" si="1"/>
        <v>35.714285714285715</v>
      </c>
      <c r="AA80" s="23"/>
    </row>
    <row r="81" spans="1:40" x14ac:dyDescent="0.25">
      <c r="A81" s="23">
        <f>'Initial Search'!C301</f>
        <v>2018</v>
      </c>
      <c r="B81" s="55" t="str">
        <f>'Initial Search'!D301</f>
        <v>Model-Driven Software Engineering in the Resource Description Framework: a way to version control</v>
      </c>
      <c r="C81" s="22">
        <f>ROW('Initial Search'!301:301)</f>
        <v>301</v>
      </c>
      <c r="D81" s="22">
        <f>ROW('Feature Study'!151:151)</f>
        <v>151</v>
      </c>
      <c r="E81" s="23" t="str">
        <f>'Initial Search'!M301</f>
        <v>Accepted</v>
      </c>
      <c r="F81" s="23" t="str">
        <f>'Initial Search'!N301</f>
        <v>Approved</v>
      </c>
      <c r="G81" s="23" t="s">
        <v>2740</v>
      </c>
      <c r="H81" s="23" t="str">
        <f>'Initial Search'!O301</f>
        <v>DPF as RDF</v>
      </c>
      <c r="I81" s="23" t="s">
        <v>561</v>
      </c>
      <c r="J81" s="23"/>
      <c r="K81" s="23" t="s">
        <v>561</v>
      </c>
      <c r="L81" s="23"/>
      <c r="M81" s="23" t="s">
        <v>561</v>
      </c>
      <c r="N81" s="23" t="s">
        <v>2698</v>
      </c>
      <c r="O81" s="55" t="s">
        <v>1623</v>
      </c>
      <c r="P81" s="55" t="s">
        <v>1624</v>
      </c>
      <c r="Q81" s="55" t="s">
        <v>1623</v>
      </c>
      <c r="R81" s="55" t="s">
        <v>1621</v>
      </c>
      <c r="S81" s="55" t="s">
        <v>1621</v>
      </c>
      <c r="T81" s="55" t="s">
        <v>1623</v>
      </c>
      <c r="U81" s="55" t="s">
        <v>1623</v>
      </c>
      <c r="V81" s="55" t="s">
        <v>1621</v>
      </c>
      <c r="W81" s="55" t="s">
        <v>1623</v>
      </c>
      <c r="X81" s="55" t="s">
        <v>1624</v>
      </c>
      <c r="Y81" s="55">
        <f t="shared" si="0"/>
        <v>4.5</v>
      </c>
      <c r="Z81" s="55">
        <f t="shared" si="1"/>
        <v>64.285714285714292</v>
      </c>
      <c r="AA81" s="247" t="s">
        <v>561</v>
      </c>
    </row>
    <row r="82" spans="1:40" x14ac:dyDescent="0.25">
      <c r="A82" s="23">
        <f>'Initial Search'!C302</f>
        <v>2014</v>
      </c>
      <c r="B82" s="55" t="str">
        <f>'Initial Search'!D302</f>
        <v>Improvement of Adaptable Model Versioning (AMOR) framework for software model versioning using critical pair analysis</v>
      </c>
      <c r="C82" s="22">
        <f>ROW('Initial Search'!302:302)</f>
        <v>302</v>
      </c>
      <c r="D82" s="22">
        <f>ROW('Feature Study'!152:152)</f>
        <v>152</v>
      </c>
      <c r="E82" s="23" t="str">
        <f>'Initial Search'!M302</f>
        <v>Accepted</v>
      </c>
      <c r="F82" s="23" t="str">
        <f>'Initial Search'!N302</f>
        <v>Approved</v>
      </c>
      <c r="G82" s="23" t="s">
        <v>2800</v>
      </c>
      <c r="H82" s="23" t="str">
        <f>'Initial Search'!O302</f>
        <v>AMOR+</v>
      </c>
      <c r="I82" s="23"/>
      <c r="J82" s="23"/>
      <c r="K82" s="23" t="s">
        <v>2704</v>
      </c>
      <c r="L82" s="23" t="s">
        <v>2704</v>
      </c>
      <c r="M82" s="23"/>
      <c r="N82" s="23" t="s">
        <v>2696</v>
      </c>
      <c r="O82" s="55" t="s">
        <v>1623</v>
      </c>
      <c r="P82" s="55" t="s">
        <v>1621</v>
      </c>
      <c r="Q82" s="55" t="s">
        <v>1624</v>
      </c>
      <c r="R82" s="55" t="s">
        <v>1623</v>
      </c>
      <c r="S82" s="55" t="s">
        <v>1621</v>
      </c>
      <c r="T82" s="55" t="s">
        <v>1624</v>
      </c>
      <c r="U82" s="55" t="s">
        <v>1623</v>
      </c>
      <c r="V82" s="55" t="s">
        <v>1624</v>
      </c>
      <c r="W82" s="55" t="s">
        <v>1624</v>
      </c>
      <c r="X82" s="55" t="s">
        <v>1621</v>
      </c>
      <c r="Y82" s="55">
        <f>COUNTIF(O82:U82,"Yes") + 0.5 * COUNTIF(O82:U82,"partially")</f>
        <v>4</v>
      </c>
      <c r="Z82" s="55">
        <f>Y82/7*100</f>
        <v>57.142857142857139</v>
      </c>
      <c r="AA82" s="247" t="s">
        <v>2704</v>
      </c>
      <c r="AN82" s="194"/>
    </row>
    <row r="83" spans="1:40" x14ac:dyDescent="0.25">
      <c r="A83" s="23">
        <f>'Initial Search'!C271</f>
        <v>2020</v>
      </c>
      <c r="B83" s="55" t="str">
        <f>'Initial Search'!D271</f>
        <v>On the benefits of file-level modularity for EMF models</v>
      </c>
      <c r="C83" s="22">
        <f>ROW('Initial Search'!271:271)</f>
        <v>271</v>
      </c>
      <c r="D83" s="22">
        <f>ROW('Feature Study'!153:153)</f>
        <v>153</v>
      </c>
      <c r="E83" s="23" t="str">
        <f>'Initial Search'!M271</f>
        <v>Accepted</v>
      </c>
      <c r="F83" s="23" t="str">
        <f>'Initial Search'!N271</f>
        <v>Approved</v>
      </c>
      <c r="G83" s="23" t="s">
        <v>2801</v>
      </c>
      <c r="H83" s="23" t="str">
        <f>'Initial Search'!O271</f>
        <v>Jahed et al.</v>
      </c>
      <c r="I83" s="23"/>
      <c r="J83" s="23" t="s">
        <v>2704</v>
      </c>
      <c r="K83" s="23"/>
      <c r="L83" s="23"/>
      <c r="M83" s="23"/>
      <c r="N83" s="23" t="s">
        <v>2696</v>
      </c>
      <c r="O83" s="55"/>
      <c r="P83" s="55"/>
      <c r="Q83" s="55"/>
      <c r="R83" s="55"/>
      <c r="S83" s="55"/>
      <c r="T83" s="55"/>
      <c r="U83" s="55"/>
      <c r="V83" s="55"/>
      <c r="W83" s="55"/>
      <c r="X83" s="55"/>
      <c r="Y83" s="55"/>
      <c r="Z83" s="55"/>
      <c r="AA83" s="247" t="s">
        <v>2704</v>
      </c>
      <c r="AN83" s="194"/>
    </row>
    <row r="84" spans="1:40" x14ac:dyDescent="0.25">
      <c r="A84" s="23">
        <f>'Initial Search'!C312</f>
        <v>2020</v>
      </c>
      <c r="B84" s="55" t="str">
        <f>'Initial Search'!D312</f>
        <v>Conflict Resolution in Process Models Merging</v>
      </c>
      <c r="C84" s="22">
        <f>ROW('Initial Search'!312:312)</f>
        <v>312</v>
      </c>
      <c r="D84" s="22">
        <f>ROW('Feature Study'!154:154)</f>
        <v>154</v>
      </c>
      <c r="E84" s="23" t="str">
        <f>'Initial Search'!M312</f>
        <v>Accepted</v>
      </c>
      <c r="F84" s="23" t="str">
        <f>'Initial Search'!N312</f>
        <v>Approved</v>
      </c>
      <c r="G84" s="23" t="s">
        <v>2802</v>
      </c>
      <c r="H84" s="23" t="str">
        <f>'Initial Search'!O312</f>
        <v>Hachemi &amp; Nacer</v>
      </c>
      <c r="I84" s="23" t="s">
        <v>2547</v>
      </c>
      <c r="J84" s="23"/>
      <c r="K84" s="23" t="s">
        <v>2547</v>
      </c>
      <c r="L84" s="23" t="s">
        <v>2547</v>
      </c>
      <c r="M84" s="23"/>
      <c r="N84" s="23" t="s">
        <v>2698</v>
      </c>
      <c r="O84" s="55"/>
      <c r="P84" s="55"/>
      <c r="Q84" s="55"/>
      <c r="R84" s="55"/>
      <c r="S84" s="55"/>
      <c r="T84" s="55"/>
      <c r="U84" s="55"/>
      <c r="V84" s="55"/>
      <c r="W84" s="55"/>
      <c r="X84" s="55"/>
      <c r="Y84" s="55"/>
      <c r="Z84" s="55"/>
      <c r="AA84" s="247" t="s">
        <v>2547</v>
      </c>
      <c r="AN84" s="194"/>
    </row>
    <row r="85" spans="1:40" x14ac:dyDescent="0.25">
      <c r="A85" s="23">
        <f>'Initial Search'!C313</f>
        <v>2020</v>
      </c>
      <c r="B85" s="55" t="str">
        <f>'Initial Search'!D313</f>
        <v>Preference-based Conflict Resolution for Collaborative Configuration of Product Lines</v>
      </c>
      <c r="C85" s="22">
        <f>ROW('Initial Search'!313:313)</f>
        <v>313</v>
      </c>
      <c r="D85" s="22">
        <f>ROW('Feature Study'!155:155)</f>
        <v>155</v>
      </c>
      <c r="E85" s="23" t="str">
        <f>'Initial Search'!M313</f>
        <v>Accepted</v>
      </c>
      <c r="F85" s="23" t="str">
        <f>'Initial Search'!N313</f>
        <v>Approved</v>
      </c>
      <c r="G85" s="23" t="s">
        <v>3237</v>
      </c>
      <c r="H85" s="23" t="str">
        <f>'Initial Search'!O313</f>
        <v>Colla-Config</v>
      </c>
      <c r="I85" s="23" t="s">
        <v>2547</v>
      </c>
      <c r="J85" s="23"/>
      <c r="K85" s="23" t="s">
        <v>2704</v>
      </c>
      <c r="L85" s="23" t="s">
        <v>2721</v>
      </c>
      <c r="M85" s="23"/>
      <c r="N85" s="23" t="s">
        <v>2696</v>
      </c>
      <c r="O85" s="55"/>
      <c r="P85" s="55"/>
      <c r="Q85" s="55"/>
      <c r="R85" s="55"/>
      <c r="S85" s="55"/>
      <c r="T85" s="55"/>
      <c r="U85" s="55"/>
      <c r="V85" s="55"/>
      <c r="W85" s="55"/>
      <c r="X85" s="55"/>
      <c r="Y85" s="55"/>
      <c r="Z85" s="55"/>
      <c r="AA85" s="23" t="s">
        <v>2721</v>
      </c>
      <c r="AN85" s="194"/>
    </row>
    <row r="86" spans="1:40" x14ac:dyDescent="0.25">
      <c r="A86" s="23">
        <f>'Initial Search'!C83</f>
        <v>2019</v>
      </c>
      <c r="B86" s="55" t="str">
        <f>'Initial Search'!D83</f>
        <v>UML2Merge: a UML extension for model merging</v>
      </c>
      <c r="C86" s="22">
        <f>ROW('Initial Search'!83:83)</f>
        <v>83</v>
      </c>
      <c r="D86" s="22">
        <f>ROW('Feature Study'!77:77)</f>
        <v>77</v>
      </c>
      <c r="E86" s="23" t="str">
        <f>'Initial Search'!M83</f>
        <v>Accepted</v>
      </c>
      <c r="F86" s="23" t="str">
        <f>'Initial Search'!N83</f>
        <v>Approved</v>
      </c>
      <c r="G86" s="23" t="s">
        <v>3239</v>
      </c>
      <c r="H86" s="23" t="str">
        <f>'Initial Search'!O83</f>
        <v>UML2Merge</v>
      </c>
      <c r="I86" s="23"/>
      <c r="J86" s="23"/>
      <c r="K86" s="23" t="s">
        <v>2710</v>
      </c>
      <c r="L86" s="288" t="s">
        <v>2704</v>
      </c>
      <c r="M86" s="23" t="s">
        <v>2704</v>
      </c>
      <c r="N86" s="23" t="s">
        <v>2696</v>
      </c>
      <c r="O86" s="55"/>
      <c r="P86" s="55"/>
      <c r="Q86" s="55"/>
      <c r="R86" s="55"/>
      <c r="S86" s="55"/>
      <c r="T86" s="55"/>
      <c r="U86" s="55"/>
      <c r="V86" s="55"/>
      <c r="W86" s="55"/>
      <c r="X86" s="55"/>
      <c r="Y86" s="55"/>
      <c r="Z86" s="55"/>
      <c r="AA86" s="23" t="s">
        <v>2806</v>
      </c>
      <c r="AN86" s="294"/>
    </row>
    <row r="87" spans="1:40" x14ac:dyDescent="0.25">
      <c r="A87" s="23">
        <f>'Initial Search'!C260</f>
        <v>2018</v>
      </c>
      <c r="B87" s="55" t="str">
        <f>'Initial Search'!D260</f>
        <v>Towards Online Collaborative Multi-view Modelling</v>
      </c>
      <c r="C87" s="22">
        <f>ROW('Initial Search'!260:260)</f>
        <v>260</v>
      </c>
      <c r="D87" s="22">
        <f>ROW('Feature Study'!133:133)</f>
        <v>133</v>
      </c>
      <c r="E87" s="23" t="str">
        <f>'Initial Search'!M260</f>
        <v>Accepted</v>
      </c>
      <c r="F87" s="23" t="str">
        <f>'Initial Search'!N260</f>
        <v>Approved</v>
      </c>
      <c r="G87" s="23" t="s">
        <v>3256</v>
      </c>
      <c r="H87" s="23" t="str">
        <f>'Initial Search'!O260</f>
        <v>TouchCORE</v>
      </c>
      <c r="I87" s="23"/>
      <c r="J87" s="23" t="s">
        <v>2714</v>
      </c>
      <c r="K87" s="23"/>
      <c r="L87" s="23"/>
      <c r="M87" s="23"/>
      <c r="N87" s="23" t="s">
        <v>2696</v>
      </c>
      <c r="O87" s="55"/>
      <c r="P87" s="55"/>
      <c r="Q87" s="55"/>
      <c r="R87" s="55"/>
      <c r="S87" s="55"/>
      <c r="T87" s="55"/>
      <c r="U87" s="55"/>
      <c r="V87" s="55"/>
      <c r="W87" s="55"/>
      <c r="X87" s="55"/>
      <c r="Y87" s="55"/>
      <c r="Z87" s="55"/>
      <c r="AA87" s="23" t="s">
        <v>2714</v>
      </c>
      <c r="AN87" s="294"/>
    </row>
    <row r="88" spans="1:40" x14ac:dyDescent="0.25">
      <c r="A88" s="23">
        <f>'Initial Search'!C126</f>
        <v>2019</v>
      </c>
      <c r="B88" s="55" t="str">
        <f>'Initial Search'!D126</f>
        <v>Detection of conflicts and inconsistencies between architecture solutions</v>
      </c>
      <c r="C88" s="22">
        <f>ROW('Initial Search'!126:126)</f>
        <v>126</v>
      </c>
      <c r="D88" s="22">
        <f>ROW('Feature Study'!159:159)</f>
        <v>159</v>
      </c>
      <c r="E88" s="23" t="str">
        <f>'Initial Search'!M126</f>
        <v>Accepted</v>
      </c>
      <c r="F88" s="23" t="str">
        <f>'Initial Search'!N126</f>
        <v>Approved</v>
      </c>
      <c r="G88" s="23" t="s">
        <v>3265</v>
      </c>
      <c r="H88" s="23" t="str">
        <f>'Initial Search'!O126</f>
        <v>Kallweit et al.</v>
      </c>
      <c r="I88" s="23"/>
      <c r="J88" s="23"/>
      <c r="K88" s="23" t="s">
        <v>2704</v>
      </c>
      <c r="L88" s="23"/>
      <c r="M88" s="23" t="s">
        <v>1671</v>
      </c>
      <c r="N88" s="23" t="s">
        <v>2696</v>
      </c>
      <c r="O88" s="55"/>
      <c r="P88" s="55"/>
      <c r="Q88" s="55"/>
      <c r="R88" s="55"/>
      <c r="S88" s="55"/>
      <c r="T88" s="55"/>
      <c r="U88" s="55"/>
      <c r="V88" s="55"/>
      <c r="W88" s="55"/>
      <c r="X88" s="55"/>
      <c r="Y88" s="55"/>
      <c r="Z88" s="55"/>
      <c r="AA88" s="23" t="s">
        <v>2704</v>
      </c>
      <c r="AN88" s="294"/>
    </row>
    <row r="89" spans="1:40" x14ac:dyDescent="0.25">
      <c r="A89" s="23">
        <f>'Initial Search'!C134</f>
        <v>2013</v>
      </c>
      <c r="B89" s="55" t="str">
        <f>'Initial Search'!D134</f>
        <v>Enhancing version control with domain-specific semantics</v>
      </c>
      <c r="C89" s="22">
        <f>ROW('Initial Search'!134:134)</f>
        <v>134</v>
      </c>
      <c r="D89" s="22">
        <f>ROW('Feature Study'!102:102)</f>
        <v>102</v>
      </c>
      <c r="E89" s="23" t="str">
        <f>'Initial Search'!M134</f>
        <v>Accepted</v>
      </c>
      <c r="F89" s="23" t="str">
        <f>'Initial Search'!N134</f>
        <v>Approved</v>
      </c>
      <c r="G89" s="23" t="s">
        <v>3271</v>
      </c>
      <c r="H89" s="23" t="str">
        <f>'Initial Search'!O134</f>
        <v>Foucault et al.</v>
      </c>
      <c r="I89" s="23" t="s">
        <v>2547</v>
      </c>
      <c r="J89" s="23"/>
      <c r="K89" s="23" t="s">
        <v>3658</v>
      </c>
      <c r="L89" s="23"/>
      <c r="M89" s="23" t="s">
        <v>2714</v>
      </c>
      <c r="N89" s="23" t="s">
        <v>2698</v>
      </c>
      <c r="O89" s="55"/>
      <c r="P89" s="55"/>
      <c r="Q89" s="55"/>
      <c r="R89" s="55"/>
      <c r="S89" s="55"/>
      <c r="T89" s="55"/>
      <c r="U89" s="55"/>
      <c r="V89" s="55"/>
      <c r="W89" s="55"/>
      <c r="X89" s="55"/>
      <c r="Y89" s="55"/>
      <c r="Z89" s="55"/>
      <c r="AA89" s="23" t="s">
        <v>2733</v>
      </c>
      <c r="AN89" s="294"/>
    </row>
    <row r="90" spans="1:40" x14ac:dyDescent="0.25">
      <c r="A90" s="23">
        <f>'Initial Search'!C87</f>
        <v>2019</v>
      </c>
      <c r="B90" s="55" t="str">
        <f>'Initial Search'!D87</f>
        <v>Multifaceted Consistency Checking of Collaborative Engineering Artifacts</v>
      </c>
      <c r="C90" s="22">
        <f>ROW('Initial Search'!87:87)</f>
        <v>87</v>
      </c>
      <c r="D90" s="22">
        <f>ROW('Feature Study'!83:83)</f>
        <v>83</v>
      </c>
      <c r="E90" s="23" t="str">
        <f>'Initial Search'!M87</f>
        <v>Accepted</v>
      </c>
      <c r="F90" s="23" t="str">
        <f>'Initial Search'!N87</f>
        <v>Approved</v>
      </c>
      <c r="G90" s="389" t="s">
        <v>3282</v>
      </c>
      <c r="H90" s="23" t="str">
        <f>'Initial Search'!O87</f>
        <v>Tröls et al.</v>
      </c>
      <c r="I90" s="23"/>
      <c r="J90" s="23"/>
      <c r="K90" s="23" t="s">
        <v>2704</v>
      </c>
      <c r="L90" s="23"/>
      <c r="M90" s="23" t="s">
        <v>2714</v>
      </c>
      <c r="N90" s="23" t="s">
        <v>2696</v>
      </c>
      <c r="O90" s="55"/>
      <c r="P90" s="55"/>
      <c r="Q90" s="55"/>
      <c r="R90" s="55"/>
      <c r="S90" s="55"/>
      <c r="T90" s="55"/>
      <c r="U90" s="55"/>
      <c r="V90" s="55"/>
      <c r="W90" s="55"/>
      <c r="X90" s="55"/>
      <c r="Y90" s="55"/>
      <c r="Z90" s="55"/>
      <c r="AA90" s="23" t="s">
        <v>2704</v>
      </c>
      <c r="AN90" s="294"/>
    </row>
    <row r="91" spans="1:40" x14ac:dyDescent="0.25">
      <c r="A91" s="23">
        <f>'Initial Search'!C135</f>
        <v>2019</v>
      </c>
      <c r="B91" s="55" t="str">
        <f>'Initial Search'!D135</f>
        <v>Live and global consistency checking in a collaborative engineering environment</v>
      </c>
      <c r="C91" s="22">
        <f>ROW('Initial Search'!135:135)</f>
        <v>135</v>
      </c>
      <c r="D91" s="22">
        <f>ROW('Feature Study'!160:160)</f>
        <v>160</v>
      </c>
      <c r="E91" s="23" t="str">
        <f>'Initial Search'!M135</f>
        <v>Accepted</v>
      </c>
      <c r="F91" s="23" t="str">
        <f>'Initial Search'!N135</f>
        <v>Approved</v>
      </c>
      <c r="G91" s="391"/>
      <c r="H91" s="23" t="str">
        <f>'Initial Search'!O135</f>
        <v>Tröls et al.</v>
      </c>
      <c r="I91" s="23"/>
      <c r="J91" s="23"/>
      <c r="K91" s="23" t="s">
        <v>2721</v>
      </c>
      <c r="L91" s="23" t="s">
        <v>2718</v>
      </c>
      <c r="M91" s="23" t="s">
        <v>2714</v>
      </c>
      <c r="N91" s="23" t="s">
        <v>2696</v>
      </c>
      <c r="O91" s="55"/>
      <c r="P91" s="55"/>
      <c r="Q91" s="55"/>
      <c r="R91" s="55"/>
      <c r="S91" s="55"/>
      <c r="T91" s="55"/>
      <c r="U91" s="55"/>
      <c r="V91" s="55"/>
      <c r="W91" s="55"/>
      <c r="X91" s="55"/>
      <c r="Y91" s="55"/>
      <c r="Z91" s="55"/>
      <c r="AA91" s="23" t="s">
        <v>3738</v>
      </c>
      <c r="AN91" s="294"/>
    </row>
    <row r="92" spans="1:40" x14ac:dyDescent="0.25">
      <c r="A92" s="23">
        <f>'Initial Search'!C338</f>
        <v>2019</v>
      </c>
      <c r="B92" s="55" t="str">
        <f>'Initial Search'!D338</f>
        <v>Collaboratively enhanced consistency checking in a cloud-based engineering environment</v>
      </c>
      <c r="C92" s="22">
        <f>ROW('Initial Search'!338:338)</f>
        <v>338</v>
      </c>
      <c r="D92" s="22">
        <f>ROW('Feature Study'!173:173)</f>
        <v>173</v>
      </c>
      <c r="E92" s="23" t="str">
        <f>'Initial Search'!M338</f>
        <v>Accepted</v>
      </c>
      <c r="F92" s="23" t="str">
        <f>'Initial Search'!N338</f>
        <v>Approved</v>
      </c>
      <c r="G92" s="391"/>
      <c r="H92" s="23" t="str">
        <f>'Initial Search'!O338</f>
        <v>Tröls et al.</v>
      </c>
      <c r="I92" s="23"/>
      <c r="J92" s="23" t="s">
        <v>2704</v>
      </c>
      <c r="K92" s="23" t="s">
        <v>2714</v>
      </c>
      <c r="L92" s="23"/>
      <c r="M92" s="23" t="s">
        <v>2714</v>
      </c>
      <c r="N92" s="23" t="s">
        <v>2696</v>
      </c>
      <c r="O92" s="55"/>
      <c r="P92" s="55"/>
      <c r="Q92" s="55"/>
      <c r="R92" s="55"/>
      <c r="S92" s="55"/>
      <c r="T92" s="55"/>
      <c r="U92" s="55"/>
      <c r="V92" s="55"/>
      <c r="W92" s="55"/>
      <c r="X92" s="55"/>
      <c r="Y92" s="55"/>
      <c r="Z92" s="55"/>
      <c r="AA92" s="23" t="s">
        <v>2704</v>
      </c>
      <c r="AN92" s="294"/>
    </row>
    <row r="93" spans="1:40" x14ac:dyDescent="0.25">
      <c r="A93" s="23">
        <f>'Initial Search'!C353</f>
        <v>2021</v>
      </c>
      <c r="B93" s="55" t="str">
        <f>'Initial Search'!D353</f>
        <v>Timestamp-based Consistency Checking of Collaboratively Developed Engineering Artifacts</v>
      </c>
      <c r="C93" s="22">
        <f>ROW('Initial Search'!353:353)</f>
        <v>353</v>
      </c>
      <c r="D93" s="22">
        <f>ROW('Feature Study'!174:174)</f>
        <v>174</v>
      </c>
      <c r="E93" s="23" t="str">
        <f>'Initial Search'!M353</f>
        <v>Accepted</v>
      </c>
      <c r="F93" s="23" t="str">
        <f>'Initial Search'!N353</f>
        <v>Approved</v>
      </c>
      <c r="G93" s="391"/>
      <c r="H93" s="23" t="str">
        <f>'Initial Search'!O353</f>
        <v>Tröls et al.</v>
      </c>
      <c r="I93" s="23"/>
      <c r="J93" s="23" t="s">
        <v>2704</v>
      </c>
      <c r="K93" s="23" t="s">
        <v>3659</v>
      </c>
      <c r="L93" s="23"/>
      <c r="M93" s="23" t="s">
        <v>2714</v>
      </c>
      <c r="N93" s="23" t="s">
        <v>2696</v>
      </c>
      <c r="O93" s="55"/>
      <c r="P93" s="55"/>
      <c r="Q93" s="55"/>
      <c r="R93" s="55"/>
      <c r="S93" s="55"/>
      <c r="T93" s="55"/>
      <c r="U93" s="55"/>
      <c r="V93" s="55"/>
      <c r="W93" s="55"/>
      <c r="X93" s="55"/>
      <c r="Y93" s="55"/>
      <c r="Z93" s="55"/>
      <c r="AA93" s="23" t="s">
        <v>2721</v>
      </c>
      <c r="AN93" s="294"/>
    </row>
    <row r="94" spans="1:40" x14ac:dyDescent="0.25">
      <c r="A94" s="23">
        <f>'Initial Search'!C355</f>
        <v>2021</v>
      </c>
      <c r="B94" s="55" t="str">
        <f>'Initial Search'!D355</f>
        <v>Hierarchical Distribution of Consistency-relevant Changes in a Collaborative Engineering Environment</v>
      </c>
      <c r="C94" s="22">
        <f>ROW('Initial Search'!355:355)</f>
        <v>355</v>
      </c>
      <c r="D94" s="22">
        <f>ROW('Feature Study'!175:175)</f>
        <v>175</v>
      </c>
      <c r="E94" s="23" t="str">
        <f>'Initial Search'!M355</f>
        <v>Accepted</v>
      </c>
      <c r="F94" s="23" t="str">
        <f>'Initial Search'!N355</f>
        <v>Approved</v>
      </c>
      <c r="G94" s="391"/>
      <c r="H94" s="23" t="str">
        <f>'Initial Search'!O355</f>
        <v>Tröls et al.</v>
      </c>
      <c r="I94" s="23"/>
      <c r="J94" s="23" t="s">
        <v>2704</v>
      </c>
      <c r="K94" s="23" t="s">
        <v>3659</v>
      </c>
      <c r="L94" s="23"/>
      <c r="M94" s="23" t="s">
        <v>2714</v>
      </c>
      <c r="N94" s="23" t="s">
        <v>2696</v>
      </c>
      <c r="O94" s="55"/>
      <c r="P94" s="55"/>
      <c r="Q94" s="55"/>
      <c r="R94" s="55"/>
      <c r="S94" s="55"/>
      <c r="T94" s="55"/>
      <c r="U94" s="55"/>
      <c r="V94" s="55"/>
      <c r="W94" s="55"/>
      <c r="X94" s="55"/>
      <c r="Y94" s="55"/>
      <c r="Z94" s="55"/>
      <c r="AA94" s="23" t="s">
        <v>2721</v>
      </c>
      <c r="AN94" s="294"/>
    </row>
    <row r="95" spans="1:40" x14ac:dyDescent="0.25">
      <c r="A95" s="23">
        <f>'Initial Search'!C370</f>
        <v>2021</v>
      </c>
      <c r="B95" s="55" t="str">
        <f>'Initial Search'!D370</f>
        <v>Instant distribution of consistency-relevant change information in a hierarchical multi-developer engineering environment</v>
      </c>
      <c r="C95" s="22">
        <f>ROW('Initial Search'!370:370)</f>
        <v>370</v>
      </c>
      <c r="D95" s="22">
        <f>ROW('Feature Study'!183:183)</f>
        <v>183</v>
      </c>
      <c r="E95" s="23" t="str">
        <f>'Initial Search'!M370</f>
        <v>Accepted</v>
      </c>
      <c r="F95" s="23" t="str">
        <f>'Initial Search'!N370</f>
        <v>Approved</v>
      </c>
      <c r="G95" s="390"/>
      <c r="H95" s="23" t="str">
        <f>'Initial Search'!O370</f>
        <v>Tröls et al.</v>
      </c>
      <c r="I95" s="23"/>
      <c r="J95" s="23"/>
      <c r="K95" s="23" t="s">
        <v>2547</v>
      </c>
      <c r="L95" s="23"/>
      <c r="M95" s="23" t="s">
        <v>2547</v>
      </c>
      <c r="N95" s="23" t="s">
        <v>2698</v>
      </c>
      <c r="O95" s="55"/>
      <c r="P95" s="55"/>
      <c r="Q95" s="55"/>
      <c r="R95" s="55"/>
      <c r="S95" s="55"/>
      <c r="T95" s="55"/>
      <c r="U95" s="55"/>
      <c r="V95" s="55"/>
      <c r="W95" s="55"/>
      <c r="X95" s="55"/>
      <c r="Y95" s="55"/>
      <c r="Z95" s="55"/>
      <c r="AA95" s="23" t="s">
        <v>2547</v>
      </c>
      <c r="AN95" s="294"/>
    </row>
    <row r="96" spans="1:40" x14ac:dyDescent="0.25">
      <c r="A96" s="23">
        <f>'Initial Search'!C151</f>
        <v>2003</v>
      </c>
      <c r="B96" s="55" t="str">
        <f>'Initial Search'!D151</f>
        <v>Merging models based on given correspondences</v>
      </c>
      <c r="C96" s="22">
        <f>ROW('Initial Search'!151:151)</f>
        <v>151</v>
      </c>
      <c r="D96" s="22">
        <f>ROW('Feature Study'!105:105)</f>
        <v>105</v>
      </c>
      <c r="E96" s="23" t="str">
        <f>'Initial Search'!M151</f>
        <v>Accepted</v>
      </c>
      <c r="F96" s="23" t="str">
        <f>'Initial Search'!N151</f>
        <v>Approved</v>
      </c>
      <c r="G96" s="23" t="s">
        <v>3283</v>
      </c>
      <c r="H96" s="23" t="str">
        <f>'Initial Search'!O151</f>
        <v>Vanilla</v>
      </c>
      <c r="I96" s="23" t="s">
        <v>2547</v>
      </c>
      <c r="J96" s="23"/>
      <c r="K96" s="23" t="s">
        <v>2729</v>
      </c>
      <c r="L96" s="23" t="s">
        <v>2729</v>
      </c>
      <c r="M96" s="23" t="s">
        <v>561</v>
      </c>
      <c r="N96" s="23" t="s">
        <v>2698</v>
      </c>
      <c r="O96" s="55"/>
      <c r="P96" s="55"/>
      <c r="Q96" s="55"/>
      <c r="R96" s="55"/>
      <c r="S96" s="55"/>
      <c r="T96" s="55"/>
      <c r="U96" s="55"/>
      <c r="V96" s="55"/>
      <c r="W96" s="55"/>
      <c r="X96" s="55"/>
      <c r="Y96" s="55"/>
      <c r="Z96" s="55"/>
      <c r="AA96" s="23" t="s">
        <v>2729</v>
      </c>
      <c r="AN96" s="294"/>
    </row>
    <row r="97" spans="1:40" x14ac:dyDescent="0.25">
      <c r="A97" s="23">
        <f>'Initial Search'!C248</f>
        <v>2020</v>
      </c>
      <c r="B97" s="55" t="str">
        <f>'Initial Search'!D248</f>
        <v>Towards Multiple Model Synchronization with Comprehensive Systems</v>
      </c>
      <c r="C97" s="22">
        <f>ROW('Initial Search'!248:248)</f>
        <v>248</v>
      </c>
      <c r="D97" s="22">
        <f>ROW('Feature Study'!161:161)</f>
        <v>161</v>
      </c>
      <c r="E97" s="23" t="str">
        <f>'Initial Search'!M248</f>
        <v>Accepted</v>
      </c>
      <c r="F97" s="23" t="str">
        <f>'Initial Search'!N248</f>
        <v>Approved</v>
      </c>
      <c r="G97" s="389" t="s">
        <v>3296</v>
      </c>
      <c r="H97" s="23" t="str">
        <f>'Initial Search'!O248</f>
        <v>Stünkel et al.</v>
      </c>
      <c r="I97" s="23" t="s">
        <v>561</v>
      </c>
      <c r="J97" s="23"/>
      <c r="K97" s="23" t="s">
        <v>561</v>
      </c>
      <c r="L97" s="23"/>
      <c r="M97" s="23" t="s">
        <v>2547</v>
      </c>
      <c r="N97" s="23" t="s">
        <v>2698</v>
      </c>
      <c r="O97" s="55"/>
      <c r="P97" s="55"/>
      <c r="Q97" s="55"/>
      <c r="R97" s="55"/>
      <c r="S97" s="55"/>
      <c r="T97" s="55"/>
      <c r="U97" s="55"/>
      <c r="V97" s="55"/>
      <c r="W97" s="55"/>
      <c r="X97" s="55"/>
      <c r="Y97" s="55"/>
      <c r="Z97" s="55"/>
      <c r="AA97" s="23" t="s">
        <v>561</v>
      </c>
      <c r="AN97" s="294"/>
    </row>
    <row r="98" spans="1:40" x14ac:dyDescent="0.25">
      <c r="A98" s="23">
        <f>'Initial Search'!C340</f>
        <v>2021</v>
      </c>
      <c r="B98" s="55" t="str">
        <f>'Initial Search'!D340</f>
        <v>Comprehensive Systems: A formal foundation for Multi-Model Consistency Management</v>
      </c>
      <c r="C98" s="22">
        <f>ROW('Initial Search'!340:340)</f>
        <v>340</v>
      </c>
      <c r="D98" s="22">
        <f>ROW('Feature Study'!172:172)</f>
        <v>172</v>
      </c>
      <c r="E98" s="23" t="str">
        <f>'Initial Search'!M340</f>
        <v>Accepted</v>
      </c>
      <c r="F98" s="23" t="str">
        <f>'Initial Search'!N340</f>
        <v>Approved</v>
      </c>
      <c r="G98" s="390"/>
      <c r="H98" s="23" t="str">
        <f>'Initial Search'!O340</f>
        <v>Stünkel et al.</v>
      </c>
      <c r="I98" s="23" t="s">
        <v>561</v>
      </c>
      <c r="J98" s="23"/>
      <c r="K98" s="23" t="s">
        <v>561</v>
      </c>
      <c r="L98" s="23"/>
      <c r="M98" s="23" t="s">
        <v>2547</v>
      </c>
      <c r="N98" s="23" t="s">
        <v>2698</v>
      </c>
      <c r="O98" s="55"/>
      <c r="P98" s="55"/>
      <c r="Q98" s="55"/>
      <c r="R98" s="55"/>
      <c r="S98" s="55"/>
      <c r="T98" s="55"/>
      <c r="U98" s="55"/>
      <c r="V98" s="55"/>
      <c r="W98" s="55"/>
      <c r="X98" s="55"/>
      <c r="Y98" s="55"/>
      <c r="Z98" s="55"/>
      <c r="AA98" s="23" t="s">
        <v>561</v>
      </c>
      <c r="AN98" s="294"/>
    </row>
    <row r="99" spans="1:40" x14ac:dyDescent="0.25">
      <c r="A99" s="23">
        <f>'Initial Search'!C268</f>
        <v>2017</v>
      </c>
      <c r="B99" s="55" t="str">
        <f>'Initial Search'!D268</f>
        <v>Discovering Software Architectures with Search-Based Merge of UML Model Variants</v>
      </c>
      <c r="C99" s="22">
        <f>ROW('Initial Search'!268:268)</f>
        <v>268</v>
      </c>
      <c r="D99" s="22">
        <f>ROW('Feature Study'!137:137)</f>
        <v>137</v>
      </c>
      <c r="E99" s="23" t="str">
        <f>'Initial Search'!M268</f>
        <v>Accepted</v>
      </c>
      <c r="F99" s="23" t="str">
        <f>'Initial Search'!N268</f>
        <v>Approved</v>
      </c>
      <c r="G99" s="23" t="s">
        <v>3307</v>
      </c>
      <c r="H99" s="23" t="str">
        <f>'Initial Search'!O268</f>
        <v>Assunção et al.</v>
      </c>
      <c r="I99" s="23"/>
      <c r="J99" s="23" t="s">
        <v>2721</v>
      </c>
      <c r="K99" s="23"/>
      <c r="L99" s="23"/>
      <c r="M99" s="23"/>
      <c r="N99" s="23" t="s">
        <v>2696</v>
      </c>
      <c r="O99" s="55"/>
      <c r="P99" s="55"/>
      <c r="Q99" s="55"/>
      <c r="R99" s="55"/>
      <c r="S99" s="55"/>
      <c r="T99" s="55"/>
      <c r="U99" s="55"/>
      <c r="V99" s="55"/>
      <c r="W99" s="55"/>
      <c r="X99" s="55"/>
      <c r="Y99" s="55"/>
      <c r="Z99" s="55"/>
      <c r="AA99" s="23" t="s">
        <v>2721</v>
      </c>
      <c r="AN99" s="294"/>
    </row>
    <row r="100" spans="1:40" x14ac:dyDescent="0.25">
      <c r="A100" s="23">
        <f>'Initial Search'!C331</f>
        <v>2009</v>
      </c>
      <c r="B100" s="55" t="str">
        <f>'Initial Search'!D331</f>
        <v>Composing Models for Detecting Inconsistencies: A Requirements Engineering Perspective</v>
      </c>
      <c r="C100" s="22">
        <f>ROW('Initial Search'!331:331)</f>
        <v>331</v>
      </c>
      <c r="D100" s="22">
        <f>ROW('Feature Study'!162:162)</f>
        <v>162</v>
      </c>
      <c r="E100" s="23" t="str">
        <f>'Initial Search'!M331</f>
        <v>Accepted</v>
      </c>
      <c r="F100" s="23" t="str">
        <f>'Initial Search'!N331</f>
        <v>Approved</v>
      </c>
      <c r="G100" s="23" t="s">
        <v>3315</v>
      </c>
      <c r="H100" s="23" t="str">
        <f>'Initial Search'!O331</f>
        <v>Perrouin et al.</v>
      </c>
      <c r="I100" s="23"/>
      <c r="J100" s="23"/>
      <c r="K100" s="23" t="s">
        <v>3660</v>
      </c>
      <c r="L100" s="23" t="s">
        <v>3660</v>
      </c>
      <c r="M100" s="23"/>
      <c r="N100" s="23" t="s">
        <v>2696</v>
      </c>
      <c r="O100" s="55"/>
      <c r="P100" s="55"/>
      <c r="Q100" s="55"/>
      <c r="R100" s="55"/>
      <c r="S100" s="55"/>
      <c r="T100" s="55"/>
      <c r="U100" s="55"/>
      <c r="V100" s="55"/>
      <c r="W100" s="55"/>
      <c r="X100" s="55"/>
      <c r="Y100" s="55"/>
      <c r="Z100" s="55"/>
      <c r="AA100" s="23" t="s">
        <v>3660</v>
      </c>
      <c r="AN100" s="294"/>
    </row>
    <row r="101" spans="1:40" x14ac:dyDescent="0.25">
      <c r="A101" s="23">
        <f>'Initial Search'!C322</f>
        <v>2005</v>
      </c>
      <c r="B101" s="55" t="str">
        <f>'Initial Search'!D322</f>
        <v>Formal Support for Merging and Negotiation</v>
      </c>
      <c r="C101" s="22">
        <f>ROW('Initial Search'!322:322)</f>
        <v>322</v>
      </c>
      <c r="D101" s="22">
        <f>ROW('Feature Study'!165:165)</f>
        <v>165</v>
      </c>
      <c r="E101" s="23" t="str">
        <f>'Initial Search'!M322</f>
        <v>Accepted</v>
      </c>
      <c r="F101" s="23" t="str">
        <f>'Initial Search'!N322</f>
        <v>Approved</v>
      </c>
      <c r="G101" s="23" t="s">
        <v>3325</v>
      </c>
      <c r="H101" s="23" t="str">
        <f>'Initial Search'!O322</f>
        <v>Negotiation framework</v>
      </c>
      <c r="I101" s="23"/>
      <c r="J101" s="23"/>
      <c r="K101" s="23" t="s">
        <v>3661</v>
      </c>
      <c r="L101" s="23" t="s">
        <v>3662</v>
      </c>
      <c r="M101" s="23" t="s">
        <v>2704</v>
      </c>
      <c r="N101" s="23" t="s">
        <v>2696</v>
      </c>
      <c r="O101" s="55"/>
      <c r="P101" s="55"/>
      <c r="Q101" s="55"/>
      <c r="R101" s="55"/>
      <c r="S101" s="55"/>
      <c r="T101" s="55"/>
      <c r="U101" s="55"/>
      <c r="V101" s="55"/>
      <c r="W101" s="55"/>
      <c r="X101" s="55"/>
      <c r="Y101" s="55"/>
      <c r="Z101" s="55"/>
      <c r="AA101" s="23" t="s">
        <v>3661</v>
      </c>
      <c r="AN101" s="294"/>
    </row>
    <row r="102" spans="1:40" s="264" customFormat="1" x14ac:dyDescent="0.25">
      <c r="A102" s="247">
        <f>'Initial Search'!C320</f>
        <v>2016</v>
      </c>
      <c r="B102" s="355" t="str">
        <f>'Initial Search'!D320</f>
        <v>Efficient detection of inconsistencies in a multi-developer engineering environment</v>
      </c>
      <c r="C102" s="356">
        <f>ROW('Initial Search'!320:320)</f>
        <v>320</v>
      </c>
      <c r="D102" s="356">
        <f>ROW('Feature Study'!163:163)</f>
        <v>163</v>
      </c>
      <c r="E102" s="247" t="str">
        <f>'Initial Search'!M320</f>
        <v>Accepted</v>
      </c>
      <c r="F102" s="247" t="str">
        <f>'Initial Search'!N320</f>
        <v>Approved</v>
      </c>
      <c r="G102" s="247" t="s">
        <v>3335</v>
      </c>
      <c r="H102" s="247" t="str">
        <f>'Initial Search'!O320</f>
        <v>Demuth et al.</v>
      </c>
      <c r="I102" s="247" t="s">
        <v>561</v>
      </c>
      <c r="J102" s="247"/>
      <c r="K102" s="247" t="s">
        <v>3663</v>
      </c>
      <c r="L102" s="247"/>
      <c r="M102" s="247" t="s">
        <v>2704</v>
      </c>
      <c r="N102" s="247" t="s">
        <v>2696</v>
      </c>
      <c r="O102" s="55"/>
      <c r="P102" s="55"/>
      <c r="Q102" s="55"/>
      <c r="R102" s="55"/>
      <c r="S102" s="55"/>
      <c r="T102" s="55"/>
      <c r="U102" s="55"/>
      <c r="V102" s="55"/>
      <c r="W102" s="55"/>
      <c r="X102" s="55"/>
      <c r="Y102" s="55"/>
      <c r="Z102" s="55"/>
      <c r="AA102" s="247" t="s">
        <v>3664</v>
      </c>
      <c r="AN102" s="166"/>
    </row>
    <row r="103" spans="1:40" x14ac:dyDescent="0.25">
      <c r="A103" s="23">
        <f>'Initial Search'!C321</f>
        <v>2011</v>
      </c>
      <c r="B103" s="55" t="str">
        <f>'Initial Search'!D321</f>
        <v>An agent-based framework for distributed collaborative model evolution</v>
      </c>
      <c r="C103" s="22">
        <f>ROW('Initial Search'!321:321)</f>
        <v>321</v>
      </c>
      <c r="D103" s="22">
        <f>ROW('Feature Study'!164:164)</f>
        <v>164</v>
      </c>
      <c r="E103" s="23" t="str">
        <f>'Initial Search'!M321</f>
        <v>Accepted</v>
      </c>
      <c r="F103" s="23" t="str">
        <f>'Initial Search'!N321</f>
        <v>Approved</v>
      </c>
      <c r="G103" s="23" t="s">
        <v>3344</v>
      </c>
      <c r="H103" s="23" t="str">
        <f>'Initial Search'!O321</f>
        <v>BDI Architecture</v>
      </c>
      <c r="I103" s="23"/>
      <c r="J103" s="23"/>
      <c r="K103" s="23" t="s">
        <v>3665</v>
      </c>
      <c r="L103" s="23" t="s">
        <v>3665</v>
      </c>
      <c r="M103" s="23"/>
      <c r="N103" s="23" t="s">
        <v>2698</v>
      </c>
      <c r="O103" s="55"/>
      <c r="P103" s="55"/>
      <c r="Q103" s="55"/>
      <c r="R103" s="55"/>
      <c r="S103" s="55"/>
      <c r="T103" s="55"/>
      <c r="U103" s="55"/>
      <c r="V103" s="55"/>
      <c r="W103" s="55"/>
      <c r="X103" s="55"/>
      <c r="Y103" s="55"/>
      <c r="Z103" s="55"/>
      <c r="AA103" s="23" t="s">
        <v>3665</v>
      </c>
      <c r="AN103" s="294"/>
    </row>
    <row r="104" spans="1:40" x14ac:dyDescent="0.25">
      <c r="A104" s="23">
        <f>'Initial Search'!C326</f>
        <v>2005</v>
      </c>
      <c r="B104" s="55" t="str">
        <f>'Initial Search'!D326</f>
        <v>An Algebraic Framework for Merging Incomplete and Inconsistent Views</v>
      </c>
      <c r="C104" s="22">
        <f>ROW('Initial Search'!326:326)</f>
        <v>326</v>
      </c>
      <c r="D104" s="22">
        <f>ROW('Feature Study'!166:166)</f>
        <v>166</v>
      </c>
      <c r="E104" s="23" t="str">
        <f>'Initial Search'!M326</f>
        <v>Accepted</v>
      </c>
      <c r="F104" s="23" t="str">
        <f>'Initial Search'!N326</f>
        <v>Approved</v>
      </c>
      <c r="G104" s="389" t="s">
        <v>3350</v>
      </c>
      <c r="H104" s="23" t="str">
        <f>'Initial Search'!O326</f>
        <v>iVuBlender</v>
      </c>
      <c r="I104" s="23" t="s">
        <v>2697</v>
      </c>
      <c r="K104" s="23" t="s">
        <v>3666</v>
      </c>
      <c r="L104" s="23"/>
      <c r="M104" s="23" t="s">
        <v>2547</v>
      </c>
      <c r="N104" s="23" t="s">
        <v>2698</v>
      </c>
      <c r="O104" s="55"/>
      <c r="P104" s="55"/>
      <c r="Q104" s="55"/>
      <c r="R104" s="55"/>
      <c r="S104" s="55"/>
      <c r="T104" s="55"/>
      <c r="U104" s="55"/>
      <c r="V104" s="55"/>
      <c r="W104" s="55"/>
      <c r="X104" s="55"/>
      <c r="Y104" s="55"/>
      <c r="Z104" s="55"/>
      <c r="AA104" s="23" t="s">
        <v>3666</v>
      </c>
      <c r="AN104" s="294"/>
    </row>
    <row r="105" spans="1:40" x14ac:dyDescent="0.25">
      <c r="A105" s="23">
        <f>'Initial Search'!C329</f>
        <v>2006</v>
      </c>
      <c r="B105" s="55" t="str">
        <f>'Initial Search'!D329</f>
        <v>View merging in the presence of incompleteness and inconsistency</v>
      </c>
      <c r="C105" s="22">
        <f>ROW('Initial Search'!329:329)</f>
        <v>329</v>
      </c>
      <c r="D105" s="22">
        <f>ROW('Feature Study'!167:167)</f>
        <v>167</v>
      </c>
      <c r="E105" s="23" t="str">
        <f>'Initial Search'!M329</f>
        <v>Accepted</v>
      </c>
      <c r="F105" s="23" t="str">
        <f>'Initial Search'!N329</f>
        <v>Approved</v>
      </c>
      <c r="G105" s="390"/>
      <c r="H105" s="23" t="str">
        <f>'Initial Search'!O329</f>
        <v>iVuBlender</v>
      </c>
      <c r="I105" s="23" t="s">
        <v>2697</v>
      </c>
      <c r="J105" s="23"/>
      <c r="K105" s="23" t="s">
        <v>2710</v>
      </c>
      <c r="L105" s="23"/>
      <c r="M105" s="23" t="s">
        <v>1671</v>
      </c>
      <c r="N105" s="23" t="s">
        <v>2696</v>
      </c>
      <c r="O105" s="55"/>
      <c r="P105" s="55"/>
      <c r="Q105" s="55"/>
      <c r="R105" s="55"/>
      <c r="S105" s="55"/>
      <c r="T105" s="55"/>
      <c r="U105" s="55"/>
      <c r="V105" s="55"/>
      <c r="W105" s="55"/>
      <c r="X105" s="55"/>
      <c r="Y105" s="55"/>
      <c r="Z105" s="55"/>
      <c r="AA105" s="23" t="s">
        <v>2710</v>
      </c>
      <c r="AN105" s="294"/>
    </row>
    <row r="106" spans="1:40" x14ac:dyDescent="0.25">
      <c r="A106" s="23">
        <f>'Initial Search'!C335</f>
        <v>2020</v>
      </c>
      <c r="B106" s="55" t="str">
        <f>'Initial Search'!D335</f>
        <v>A Collaborative Versioning Framework for Model-Based Version Control Systems</v>
      </c>
      <c r="C106" s="22">
        <f>ROW('Initial Search'!335:335)</f>
        <v>335</v>
      </c>
      <c r="D106" s="22">
        <f>ROW('Feature Study'!168:168)</f>
        <v>168</v>
      </c>
      <c r="E106" s="23" t="str">
        <f>'Initial Search'!M335</f>
        <v>Accepted</v>
      </c>
      <c r="F106" s="23" t="str">
        <f>'Initial Search'!N335</f>
        <v>Approved</v>
      </c>
      <c r="G106" s="23" t="s">
        <v>3362</v>
      </c>
      <c r="H106" s="23" t="str">
        <f>'Initial Search'!O335</f>
        <v>ModVCS</v>
      </c>
      <c r="I106" s="23"/>
      <c r="J106" s="23"/>
      <c r="K106" s="23" t="s">
        <v>3660</v>
      </c>
      <c r="L106" s="23"/>
      <c r="M106" s="23" t="s">
        <v>2704</v>
      </c>
      <c r="N106" s="23" t="s">
        <v>2696</v>
      </c>
      <c r="O106" s="55"/>
      <c r="P106" s="55"/>
      <c r="Q106" s="55"/>
      <c r="R106" s="55"/>
      <c r="S106" s="55"/>
      <c r="T106" s="55"/>
      <c r="U106" s="55"/>
      <c r="V106" s="55"/>
      <c r="W106" s="55"/>
      <c r="X106" s="55"/>
      <c r="Y106" s="55"/>
      <c r="Z106" s="55"/>
      <c r="AA106" s="23" t="s">
        <v>3660</v>
      </c>
      <c r="AN106" s="294"/>
    </row>
    <row r="107" spans="1:40" x14ac:dyDescent="0.25">
      <c r="A107" s="23">
        <f>'Initial Search'!C295</f>
        <v>2008</v>
      </c>
      <c r="B107" s="55" t="str">
        <f>'Initial Search'!D295</f>
        <v>Global consistency checking of distributed models with TReMer+</v>
      </c>
      <c r="C107" s="22">
        <f>ROW('Initial Search'!295:295)</f>
        <v>295</v>
      </c>
      <c r="D107" s="22">
        <f>ROW('Feature Study'!169:169)</f>
        <v>169</v>
      </c>
      <c r="E107" s="23" t="str">
        <f>'Initial Search'!M295</f>
        <v>Accepted</v>
      </c>
      <c r="F107" s="23" t="str">
        <f>'Initial Search'!N295</f>
        <v>Approved</v>
      </c>
      <c r="G107" s="389" t="s">
        <v>3371</v>
      </c>
      <c r="H107" s="23" t="str">
        <f>'Initial Search'!O295</f>
        <v>TReMer+</v>
      </c>
      <c r="I107" s="23" t="s">
        <v>2711</v>
      </c>
      <c r="J107" s="23"/>
      <c r="K107" s="23" t="s">
        <v>2704</v>
      </c>
      <c r="L107" s="23"/>
      <c r="M107" s="23" t="s">
        <v>2704</v>
      </c>
      <c r="N107" s="23" t="s">
        <v>2696</v>
      </c>
      <c r="O107" s="55"/>
      <c r="P107" s="55"/>
      <c r="Q107" s="55"/>
      <c r="R107" s="55"/>
      <c r="S107" s="55"/>
      <c r="T107" s="55"/>
      <c r="U107" s="55"/>
      <c r="V107" s="55"/>
      <c r="W107" s="55"/>
      <c r="X107" s="55"/>
      <c r="Y107" s="55"/>
      <c r="Z107" s="55"/>
      <c r="AA107" s="23" t="s">
        <v>3674</v>
      </c>
      <c r="AN107" s="294"/>
    </row>
    <row r="108" spans="1:40" x14ac:dyDescent="0.25">
      <c r="A108" s="23">
        <f>'Initial Search'!C339</f>
        <v>2007</v>
      </c>
      <c r="B108" s="55" t="str">
        <f>'Initial Search'!D339</f>
        <v>Consistency Checking of Conceptual Models via Model Merging</v>
      </c>
      <c r="C108" s="22">
        <f>ROW('Initial Search'!339:339)</f>
        <v>339</v>
      </c>
      <c r="D108" s="22">
        <f>ROW('Feature Study'!171:171)</f>
        <v>171</v>
      </c>
      <c r="E108" s="23" t="str">
        <f>'Initial Search'!M339</f>
        <v>Accepted</v>
      </c>
      <c r="F108" s="23" t="str">
        <f>'Initial Search'!N339</f>
        <v>Approved</v>
      </c>
      <c r="G108" s="390"/>
      <c r="H108" s="23" t="str">
        <f>'Initial Search'!O339</f>
        <v>TReMer+</v>
      </c>
      <c r="I108" s="23" t="s">
        <v>2711</v>
      </c>
      <c r="J108" s="23"/>
      <c r="K108" s="23" t="s">
        <v>2721</v>
      </c>
      <c r="L108" s="23"/>
      <c r="M108" s="23" t="s">
        <v>2704</v>
      </c>
      <c r="N108" s="23" t="s">
        <v>2696</v>
      </c>
      <c r="O108" s="55"/>
      <c r="P108" s="55"/>
      <c r="Q108" s="55"/>
      <c r="R108" s="55"/>
      <c r="S108" s="55"/>
      <c r="T108" s="55"/>
      <c r="U108" s="55"/>
      <c r="V108" s="55"/>
      <c r="W108" s="55"/>
      <c r="X108" s="55"/>
      <c r="Y108" s="55"/>
      <c r="Z108" s="55"/>
      <c r="AA108" s="23" t="s">
        <v>3793</v>
      </c>
      <c r="AN108" s="294"/>
    </row>
    <row r="109" spans="1:40" x14ac:dyDescent="0.25">
      <c r="A109" s="23">
        <f>'Initial Search'!C337</f>
        <v>2017</v>
      </c>
      <c r="B109" s="55" t="str">
        <f>'Initial Search'!D337</f>
        <v>Efficient Consistency Checking of Interrelated Models</v>
      </c>
      <c r="C109" s="22">
        <f>ROW('Initial Search'!337:337)</f>
        <v>337</v>
      </c>
      <c r="D109" s="22">
        <f>ROW('Feature Study'!170:170)</f>
        <v>170</v>
      </c>
      <c r="E109" s="23" t="str">
        <f>'Initial Search'!M337</f>
        <v>Accepted</v>
      </c>
      <c r="F109" s="23" t="str">
        <f>'Initial Search'!N337</f>
        <v>Approved</v>
      </c>
      <c r="G109" s="389" t="s">
        <v>3499</v>
      </c>
      <c r="H109" s="23" t="str">
        <f>'Initial Search'!O337</f>
        <v>LMM</v>
      </c>
      <c r="I109" s="23"/>
      <c r="J109" s="23" t="s">
        <v>3667</v>
      </c>
      <c r="K109" s="23"/>
      <c r="L109" s="23"/>
      <c r="M109" s="23"/>
      <c r="N109" s="23" t="s">
        <v>2698</v>
      </c>
      <c r="O109" s="55"/>
      <c r="P109" s="55"/>
      <c r="Q109" s="55"/>
      <c r="R109" s="55"/>
      <c r="S109" s="55"/>
      <c r="T109" s="55"/>
      <c r="U109" s="55"/>
      <c r="V109" s="55"/>
      <c r="W109" s="55"/>
      <c r="X109" s="55"/>
      <c r="Y109" s="55"/>
      <c r="Z109" s="55"/>
      <c r="AA109" s="23" t="s">
        <v>3667</v>
      </c>
      <c r="AN109" s="294"/>
    </row>
    <row r="110" spans="1:40" x14ac:dyDescent="0.25">
      <c r="A110" s="23">
        <f>'Initial Search'!C349</f>
        <v>2016</v>
      </c>
      <c r="B110" s="55" t="str">
        <f>'Initial Search'!D349</f>
        <v>Advanced Local Checking of Global Consistency in Heterogeneous Multimodeling</v>
      </c>
      <c r="C110" s="22">
        <f>ROW('Initial Search'!349:349)</f>
        <v>349</v>
      </c>
      <c r="D110" s="22">
        <f>ROW('Feature Study'!179:179)</f>
        <v>179</v>
      </c>
      <c r="E110" s="23" t="str">
        <f>'Initial Search'!M349</f>
        <v>Accepted</v>
      </c>
      <c r="F110" s="23" t="str">
        <f>'Initial Search'!N349</f>
        <v>Approved</v>
      </c>
      <c r="G110" s="390"/>
      <c r="H110" s="23" t="str">
        <f>'Initial Search'!O349</f>
        <v>LMM</v>
      </c>
      <c r="I110" s="23" t="s">
        <v>561</v>
      </c>
      <c r="J110" s="23" t="s">
        <v>3667</v>
      </c>
      <c r="K110" s="23"/>
      <c r="L110" s="23"/>
      <c r="M110" s="23"/>
      <c r="N110" s="23" t="s">
        <v>2698</v>
      </c>
      <c r="O110" s="55"/>
      <c r="P110" s="55"/>
      <c r="Q110" s="55"/>
      <c r="R110" s="55"/>
      <c r="S110" s="55"/>
      <c r="T110" s="55"/>
      <c r="U110" s="55"/>
      <c r="V110" s="55"/>
      <c r="W110" s="55"/>
      <c r="X110" s="55"/>
      <c r="Y110" s="55"/>
      <c r="Z110" s="55"/>
      <c r="AA110" s="23" t="s">
        <v>3667</v>
      </c>
      <c r="AN110" s="294"/>
    </row>
    <row r="111" spans="1:40" hidden="1" x14ac:dyDescent="0.25">
      <c r="A111" s="23">
        <f>'Initial Search'!C341</f>
        <v>2010</v>
      </c>
      <c r="B111" s="55" t="str">
        <f>'Initial Search'!D341</f>
        <v>Reasoning about Consistency in Model Merging</v>
      </c>
      <c r="C111" s="22">
        <f>ROW('Initial Search'!341:341)</f>
        <v>341</v>
      </c>
      <c r="D111" s="22">
        <f>ROW('Feature Study'!176:176)</f>
        <v>176</v>
      </c>
      <c r="E111" s="23" t="str">
        <f>'Initial Search'!M341</f>
        <v>Accepted</v>
      </c>
      <c r="F111" s="190" t="str">
        <f>'Initial Search'!N341</f>
        <v>Disapproved</v>
      </c>
      <c r="G111" s="23"/>
      <c r="H111" s="23" t="str">
        <f>'Initial Search'!O341</f>
        <v>Sabetzadeh et al.</v>
      </c>
      <c r="I111" s="23"/>
      <c r="J111" s="23"/>
      <c r="K111" s="23"/>
      <c r="L111" s="23"/>
      <c r="M111" s="23"/>
      <c r="N111" s="23"/>
      <c r="O111" s="55"/>
      <c r="P111" s="55"/>
      <c r="Q111" s="55"/>
      <c r="R111" s="55"/>
      <c r="S111" s="55"/>
      <c r="T111" s="55"/>
      <c r="U111" s="55"/>
      <c r="V111" s="55"/>
      <c r="W111" s="55"/>
      <c r="X111" s="55"/>
      <c r="Y111" s="55"/>
      <c r="Z111" s="55"/>
      <c r="AA111" s="23"/>
      <c r="AN111" s="294"/>
    </row>
    <row r="112" spans="1:40" x14ac:dyDescent="0.25">
      <c r="A112" s="23">
        <f>'Initial Search'!C344</f>
        <v>2003</v>
      </c>
      <c r="B112" s="55" t="str">
        <f>'Initial Search'!D344</f>
        <v>Analysis of inconsistency in graph-based viewpoints: a category-theoretical approach</v>
      </c>
      <c r="C112" s="22">
        <f>ROW('Initial Search'!344:344)</f>
        <v>344</v>
      </c>
      <c r="D112" s="22">
        <f>ROW('Feature Study'!177:177)</f>
        <v>177</v>
      </c>
      <c r="E112" s="23" t="str">
        <f>'Initial Search'!M344</f>
        <v>Accepted</v>
      </c>
      <c r="F112" s="23" t="str">
        <f>'Initial Search'!N344</f>
        <v>Approved</v>
      </c>
      <c r="G112" s="23" t="s">
        <v>3543</v>
      </c>
      <c r="H112" s="23" t="str">
        <f>'Initial Search'!O344</f>
        <v>Fuzzy-Viewpoint</v>
      </c>
      <c r="I112" s="23" t="s">
        <v>561</v>
      </c>
      <c r="J112" s="23"/>
      <c r="K112" s="23" t="s">
        <v>3668</v>
      </c>
      <c r="L112" s="23"/>
      <c r="M112" s="23" t="s">
        <v>561</v>
      </c>
      <c r="N112" s="23" t="s">
        <v>2698</v>
      </c>
      <c r="O112" s="55"/>
      <c r="P112" s="55"/>
      <c r="Q112" s="55"/>
      <c r="R112" s="55"/>
      <c r="S112" s="55"/>
      <c r="T112" s="55"/>
      <c r="U112" s="55"/>
      <c r="V112" s="55"/>
      <c r="W112" s="55"/>
      <c r="X112" s="55"/>
      <c r="Y112" s="55"/>
      <c r="Z112" s="55"/>
      <c r="AA112" s="23" t="s">
        <v>3668</v>
      </c>
      <c r="AN112" s="294"/>
    </row>
    <row r="113" spans="1:40" x14ac:dyDescent="0.25">
      <c r="A113" s="23">
        <f>'Initial Search'!C346</f>
        <v>2001</v>
      </c>
      <c r="B113" s="55" t="str">
        <f>'Initial Search'!D346</f>
        <v>A framework for multi-valued reasoning over inconsistent viewpoints</v>
      </c>
      <c r="C113" s="22">
        <f>ROW('Initial Search'!346:346)</f>
        <v>346</v>
      </c>
      <c r="D113" s="22">
        <f>ROW('Feature Study'!178:178)</f>
        <v>178</v>
      </c>
      <c r="E113" s="23" t="str">
        <f>'Initial Search'!M346</f>
        <v>Accepted</v>
      </c>
      <c r="F113" s="23" t="str">
        <f>'Initial Search'!N346</f>
        <v>Approved</v>
      </c>
      <c r="G113" s="23" t="s">
        <v>3568</v>
      </c>
      <c r="H113" s="23" t="str">
        <f>'Initial Search'!O346</f>
        <v>Xbel</v>
      </c>
      <c r="I113" s="23" t="s">
        <v>2547</v>
      </c>
      <c r="J113" s="23"/>
      <c r="K113" s="23" t="s">
        <v>3669</v>
      </c>
      <c r="L113" s="23"/>
      <c r="M113" s="23" t="s">
        <v>2714</v>
      </c>
      <c r="N113" s="23" t="s">
        <v>2696</v>
      </c>
      <c r="O113" s="55"/>
      <c r="P113" s="55"/>
      <c r="Q113" s="55"/>
      <c r="R113" s="55"/>
      <c r="S113" s="55"/>
      <c r="T113" s="55"/>
      <c r="U113" s="55"/>
      <c r="V113" s="55"/>
      <c r="W113" s="55"/>
      <c r="X113" s="55"/>
      <c r="Y113" s="55"/>
      <c r="Z113" s="55"/>
      <c r="AA113" s="23" t="s">
        <v>3669</v>
      </c>
      <c r="AN113" s="294"/>
    </row>
    <row r="114" spans="1:40" x14ac:dyDescent="0.25">
      <c r="A114" s="23">
        <f>'Initial Search'!C368</f>
        <v>2020</v>
      </c>
      <c r="B114" s="55" t="str">
        <f>'Initial Search'!D368</f>
        <v>A Precedence-Driven Approach for Concurrent Model Synchronization Scenarios using Triple Graph Grammars</v>
      </c>
      <c r="C114" s="22">
        <f>ROW('Initial Search'!368:368)</f>
        <v>368</v>
      </c>
      <c r="D114" s="22">
        <f>ROW('Feature Study'!182:182)</f>
        <v>182</v>
      </c>
      <c r="E114" s="23" t="str">
        <f>'Initial Search'!M368</f>
        <v>Accepted</v>
      </c>
      <c r="F114" s="23" t="str">
        <f>'Initial Search'!N368</f>
        <v>Approved</v>
      </c>
      <c r="G114" s="23" t="s">
        <v>3612</v>
      </c>
      <c r="H114" s="23" t="str">
        <f>'Initial Search'!O368</f>
        <v>eMoflon</v>
      </c>
      <c r="I114" s="23" t="s">
        <v>2711</v>
      </c>
      <c r="J114" s="23"/>
      <c r="K114" s="23" t="s">
        <v>3670</v>
      </c>
      <c r="L114" s="23" t="s">
        <v>3670</v>
      </c>
      <c r="M114" s="23"/>
      <c r="N114" s="23" t="s">
        <v>2696</v>
      </c>
      <c r="O114" s="55"/>
      <c r="P114" s="55"/>
      <c r="Q114" s="55"/>
      <c r="R114" s="55"/>
      <c r="S114" s="55"/>
      <c r="T114" s="55"/>
      <c r="U114" s="55"/>
      <c r="V114" s="55"/>
      <c r="W114" s="55"/>
      <c r="X114" s="55"/>
      <c r="Y114" s="55"/>
      <c r="Z114" s="55"/>
      <c r="AA114" s="23" t="s">
        <v>3670</v>
      </c>
      <c r="AN114" s="294"/>
    </row>
    <row r="115" spans="1:40" x14ac:dyDescent="0.25">
      <c r="A115" s="179"/>
      <c r="B115" s="55"/>
      <c r="C115" s="22"/>
      <c r="D115" s="22"/>
      <c r="E115" s="23"/>
      <c r="F115" s="23"/>
      <c r="G115" s="23"/>
      <c r="H115" s="23"/>
      <c r="I115" s="23"/>
      <c r="J115" s="23"/>
      <c r="K115" s="23"/>
      <c r="L115" s="23"/>
      <c r="M115" s="23"/>
      <c r="N115" s="23"/>
      <c r="O115" s="55"/>
      <c r="P115" s="55"/>
      <c r="Q115" s="55"/>
      <c r="R115" s="55"/>
      <c r="S115" s="55"/>
      <c r="T115" s="55"/>
      <c r="U115" s="55"/>
      <c r="V115" s="55"/>
      <c r="W115" s="55"/>
      <c r="X115" s="55"/>
      <c r="Y115" s="55"/>
      <c r="Z115" s="55"/>
      <c r="AA115" s="23"/>
      <c r="AN115" s="294"/>
    </row>
    <row r="116" spans="1:40" x14ac:dyDescent="0.25">
      <c r="A116" s="296"/>
      <c r="B116" s="56"/>
      <c r="C116" s="24"/>
      <c r="D116" s="24"/>
      <c r="E116" s="24"/>
      <c r="F116" s="24"/>
      <c r="G116" s="24"/>
      <c r="H116" s="24"/>
      <c r="I116" s="24"/>
      <c r="J116" s="24"/>
      <c r="K116" s="24"/>
      <c r="L116" s="24"/>
      <c r="M116" s="24"/>
      <c r="N116" s="24"/>
      <c r="O116" s="24">
        <f t="shared" ref="O116:U116" si="2">COUNTIF(O3:O115,"Yes") + 0.5 * COUNTIF(O3:O115,"partially")</f>
        <v>72.5</v>
      </c>
      <c r="P116" s="24">
        <f t="shared" si="2"/>
        <v>55.5</v>
      </c>
      <c r="Q116" s="24">
        <f t="shared" si="2"/>
        <v>72</v>
      </c>
      <c r="R116" s="24">
        <f t="shared" si="2"/>
        <v>63</v>
      </c>
      <c r="S116" s="24">
        <f t="shared" si="2"/>
        <v>14.5</v>
      </c>
      <c r="T116" s="24">
        <f t="shared" si="2"/>
        <v>56</v>
      </c>
      <c r="U116" s="24">
        <f t="shared" si="2"/>
        <v>54</v>
      </c>
      <c r="V116" s="24"/>
      <c r="W116" s="24"/>
      <c r="X116" s="24"/>
      <c r="Y116" s="57">
        <f>SUM(Y3:Y115)</f>
        <v>387.5</v>
      </c>
      <c r="Z116" s="58"/>
      <c r="AA116" s="73"/>
    </row>
    <row r="117" spans="1:40" x14ac:dyDescent="0.25">
      <c r="A117" s="297"/>
      <c r="B117" s="59"/>
      <c r="C117" s="25"/>
      <c r="D117" s="25"/>
      <c r="E117" s="25"/>
      <c r="F117" s="25"/>
      <c r="G117" s="25"/>
      <c r="H117" s="25"/>
      <c r="I117" s="25"/>
      <c r="J117" s="25"/>
      <c r="K117" s="25"/>
      <c r="L117" s="25"/>
      <c r="M117" s="25"/>
      <c r="N117" s="25"/>
      <c r="O117" s="120">
        <f>O116/Y116</f>
        <v>0.18709677419354839</v>
      </c>
      <c r="P117" s="120">
        <f>P116/Y116</f>
        <v>0.1432258064516129</v>
      </c>
      <c r="Q117" s="120">
        <f>Q116/Y116</f>
        <v>0.18580645161290324</v>
      </c>
      <c r="R117" s="120">
        <f>R116/Y116</f>
        <v>0.16258064516129031</v>
      </c>
      <c r="S117" s="120">
        <f>S116/Y116</f>
        <v>3.741935483870968E-2</v>
      </c>
      <c r="T117" s="120">
        <f>T116/Y116</f>
        <v>0.14451612903225808</v>
      </c>
      <c r="U117" s="120">
        <f>U116/Y116</f>
        <v>0.13935483870967741</v>
      </c>
      <c r="V117" s="60"/>
      <c r="W117" s="60"/>
      <c r="X117" s="120"/>
      <c r="Y117" s="61">
        <f>Y116/Y116*100</f>
        <v>100</v>
      </c>
      <c r="Z117" s="62"/>
      <c r="AA117" s="73"/>
    </row>
    <row r="118" spans="1:40" x14ac:dyDescent="0.25">
      <c r="B118" s="7"/>
      <c r="C118" s="13"/>
      <c r="D118" s="13"/>
      <c r="E118" s="13"/>
      <c r="F118" s="13"/>
      <c r="G118" s="13"/>
      <c r="H118" s="13"/>
      <c r="I118" s="13"/>
      <c r="J118" s="13"/>
      <c r="K118" s="13"/>
      <c r="L118" s="13"/>
      <c r="M118" s="13"/>
      <c r="N118" s="13"/>
      <c r="O118" s="7"/>
      <c r="P118" s="7"/>
      <c r="Q118" s="7"/>
      <c r="R118" s="7"/>
      <c r="S118" s="7"/>
      <c r="T118" s="7"/>
      <c r="U118" s="7"/>
      <c r="V118" s="7"/>
      <c r="W118" s="7"/>
      <c r="X118" s="7"/>
      <c r="Y118" s="7"/>
      <c r="Z118" s="7"/>
      <c r="AA118" s="73"/>
    </row>
    <row r="119" spans="1:40" x14ac:dyDescent="0.25">
      <c r="AA119" s="73"/>
    </row>
    <row r="120" spans="1:40" x14ac:dyDescent="0.25">
      <c r="AA120" s="73"/>
    </row>
    <row r="121" spans="1:40" x14ac:dyDescent="0.25">
      <c r="AA121" s="73"/>
    </row>
    <row r="122" spans="1:40" x14ac:dyDescent="0.25">
      <c r="AA122" s="73"/>
    </row>
    <row r="123" spans="1:40" x14ac:dyDescent="0.25">
      <c r="AA123" s="73"/>
    </row>
    <row r="124" spans="1:40" x14ac:dyDescent="0.25">
      <c r="AA124" s="73"/>
    </row>
    <row r="125" spans="1:40" x14ac:dyDescent="0.25">
      <c r="AA125" s="73"/>
    </row>
    <row r="126" spans="1:40" x14ac:dyDescent="0.25">
      <c r="AA126" s="73"/>
    </row>
    <row r="127" spans="1:40" x14ac:dyDescent="0.25">
      <c r="AA127" s="73"/>
    </row>
    <row r="128" spans="1:40" x14ac:dyDescent="0.25">
      <c r="AA128" s="73"/>
    </row>
    <row r="129" spans="27:36" x14ac:dyDescent="0.25">
      <c r="AA129" s="73"/>
    </row>
    <row r="130" spans="27:36" x14ac:dyDescent="0.25">
      <c r="AA130" s="73"/>
    </row>
    <row r="131" spans="27:36" x14ac:dyDescent="0.25">
      <c r="AA131" s="73"/>
    </row>
    <row r="132" spans="27:36" x14ac:dyDescent="0.25">
      <c r="AA132" s="73"/>
    </row>
    <row r="133" spans="27:36" x14ac:dyDescent="0.25">
      <c r="AA133" s="73"/>
    </row>
    <row r="134" spans="27:36" x14ac:dyDescent="0.25">
      <c r="AA134" s="73"/>
    </row>
    <row r="135" spans="27:36" x14ac:dyDescent="0.25">
      <c r="AA135" s="73"/>
      <c r="AC135" s="7"/>
      <c r="AD135" s="7"/>
      <c r="AE135" s="7"/>
      <c r="AF135" s="7"/>
      <c r="AG135" s="7"/>
      <c r="AH135" s="7"/>
      <c r="AI135" s="7"/>
      <c r="AJ135" s="7"/>
    </row>
    <row r="136" spans="27:36" x14ac:dyDescent="0.25">
      <c r="AA136" s="73"/>
      <c r="AC136" s="7"/>
      <c r="AD136" s="7"/>
      <c r="AE136" s="7"/>
      <c r="AF136" s="7"/>
      <c r="AG136" s="7"/>
      <c r="AH136" s="7"/>
      <c r="AI136" s="7"/>
      <c r="AJ136" s="7"/>
    </row>
    <row r="137" spans="27:36" x14ac:dyDescent="0.25">
      <c r="AA137" s="74"/>
      <c r="AB137" s="7"/>
      <c r="AC137" s="7"/>
      <c r="AD137" s="7"/>
      <c r="AE137" s="7"/>
      <c r="AF137" s="7"/>
      <c r="AG137" s="7"/>
      <c r="AH137" s="7"/>
      <c r="AI137" s="7"/>
      <c r="AJ137" s="7"/>
    </row>
    <row r="138" spans="27:36" x14ac:dyDescent="0.25">
      <c r="AA138" s="75"/>
      <c r="AB138" s="7"/>
    </row>
    <row r="139" spans="27:36" x14ac:dyDescent="0.25">
      <c r="AA139" s="7"/>
      <c r="AB139" s="7"/>
    </row>
  </sheetData>
  <autoFilter ref="A1:AA114" xr:uid="{7CBF8E5C-8A4D-4178-B244-818A30352BB7}">
    <filterColumn colId="5">
      <filters blank="1">
        <filter val="Approved"/>
      </filters>
    </filterColumn>
    <filterColumn colId="8" showButton="0"/>
    <filterColumn colId="9" showButton="0"/>
    <filterColumn colId="10" showButton="0"/>
    <filterColumn colId="11" showButton="0"/>
  </autoFilter>
  <mergeCells count="36">
    <mergeCell ref="G90:G95"/>
    <mergeCell ref="G97:G98"/>
    <mergeCell ref="G104:G105"/>
    <mergeCell ref="G107:G108"/>
    <mergeCell ref="G109:G110"/>
    <mergeCell ref="G69:G71"/>
    <mergeCell ref="I1:M1"/>
    <mergeCell ref="G45:G47"/>
    <mergeCell ref="G48:G51"/>
    <mergeCell ref="G26:G27"/>
    <mergeCell ref="G31:G32"/>
    <mergeCell ref="G36:G37"/>
    <mergeCell ref="G39:G43"/>
    <mergeCell ref="G7:G9"/>
    <mergeCell ref="G10:G12"/>
    <mergeCell ref="G13:G14"/>
    <mergeCell ref="G16:G17"/>
    <mergeCell ref="G18:G20"/>
    <mergeCell ref="G22:G23"/>
    <mergeCell ref="G3:G5"/>
    <mergeCell ref="G1:G2"/>
    <mergeCell ref="A1:A2"/>
    <mergeCell ref="AA1:AA2"/>
    <mergeCell ref="G59:G60"/>
    <mergeCell ref="G55:G57"/>
    <mergeCell ref="G62:G64"/>
    <mergeCell ref="Y1:Y2"/>
    <mergeCell ref="Z1:Z2"/>
    <mergeCell ref="B1:B2"/>
    <mergeCell ref="C1:C2"/>
    <mergeCell ref="D1:D2"/>
    <mergeCell ref="E1:E2"/>
    <mergeCell ref="F1:F2"/>
    <mergeCell ref="N1:N2"/>
    <mergeCell ref="H1:H2"/>
    <mergeCell ref="G53:G54"/>
  </mergeCells>
  <hyperlinks>
    <hyperlink ref="C7" location="'Initial Search'!A6" display="'Initial Search'!A6" xr:uid="{33E708A1-E623-434E-AA12-EBF6E2496B4E}"/>
    <hyperlink ref="C6" location="'Initial Search'!A4" display="'Initial Search'!A4" xr:uid="{B00E6161-28E4-4A85-B30C-4C0C429B6C33}"/>
    <hyperlink ref="C4" location="'Initial Search'!A3" display="'Initial Search'!A3" xr:uid="{88CD2BFC-E538-45A4-9232-08F0FF00036F}"/>
    <hyperlink ref="C3" location="'Initial Search'!A90" display="'Initial Search'!A90" xr:uid="{DB7C332E-3D42-4236-AED3-F3184288BEE1}"/>
    <hyperlink ref="C8" location="'Initial Search'!A113" display="'Initial Search'!A113" xr:uid="{53AD2A24-4FDA-46F3-808E-6F8AA2801739}"/>
    <hyperlink ref="C9" location="'Initial Search'!A148" display="'Initial Search'!A148" xr:uid="{744445D1-4849-4649-9E84-312C37947D3F}"/>
    <hyperlink ref="C10" location="'Initial Search'!A8" display="'Initial Search'!A8" xr:uid="{D2957FD9-7742-4B08-B746-A3864CEB5997}"/>
    <hyperlink ref="C5" location="'Initial Search'!A171" display="'Initial Search'!A171" xr:uid="{FE2C7679-A53A-4E3E-A425-84A20844E5AA}"/>
    <hyperlink ref="C11:C13" location="'Initial Search'!A8" display="'Initial Search'!A8" xr:uid="{D6E2DE03-6CF4-446D-A881-19B7A3C42EDB}"/>
    <hyperlink ref="C11" location="'Initial Search'!A14" display="'Initial Search'!A14" xr:uid="{2B149662-B81F-4021-ADA8-DB159C070CC6}"/>
    <hyperlink ref="C12" location="'Initial Search'!A86" display="'Initial Search'!A86" xr:uid="{C7E6F9BC-74B2-4FAF-B84F-B28605F60D3C}"/>
    <hyperlink ref="C13" location="'Initial Search'!A10" display="'Initial Search'!A10" xr:uid="{CCCAE8ED-0AAC-4B01-B463-B4015975E8F0}"/>
    <hyperlink ref="C14:C15" location="'Initial Search'!A8" display="'Initial Search'!A8" xr:uid="{D61B5004-B7FB-4A68-9191-AEEB0479F490}"/>
    <hyperlink ref="C14" location="'Initial Search'!A172" display="'Initial Search'!A172" xr:uid="{E86C3CE5-5B52-40C7-9D49-6588CBC180AB}"/>
    <hyperlink ref="C15" location="'Initial Search'!A11" display="'Initial Search'!A11" xr:uid="{C9BE1D3D-82FE-49E9-AB65-3E5E37B0CC96}"/>
    <hyperlink ref="C16:C17" location="'Initial Search'!A91" display="'Initial Search'!A91" xr:uid="{FBC958F3-DF6F-4D5C-A071-6EA956BCBF09}"/>
    <hyperlink ref="C16" location="'Initial Search'!A104" display="'Initial Search'!A104" xr:uid="{53D6E217-5FA3-42DA-940E-23336E326B66}"/>
    <hyperlink ref="C17" location="'Initial Search'!A234" display="'Initial Search'!A234" xr:uid="{E3D6BDC6-F140-43BB-A902-99E8539ABBEE}"/>
    <hyperlink ref="C18:C20" location="'Initial Search'!A15" display="'Initial Search'!A15" xr:uid="{9E619346-B70D-463D-938C-E265B94F1906}"/>
    <hyperlink ref="C18" location="'Initial Search'!A223" display="'Initial Search'!A223" xr:uid="{B7FB8CA5-E23E-47D7-8BD5-CBBA817D6DF4}"/>
    <hyperlink ref="C19" location="'Initial Search'!A238" display="'Initial Search'!A238" xr:uid="{086986E7-AC95-4DCD-B3DD-BA22BE282B0E}"/>
    <hyperlink ref="C20" location="'Initial Search'!A255" display="'Initial Search'!A255" xr:uid="{41629942-9F97-44C6-A067-1964530F56CC}"/>
    <hyperlink ref="C21" location="'Initial Search'!A17" display="'Initial Search'!A17" xr:uid="{676F69C1-768B-455D-B127-486AA6D48C98}"/>
    <hyperlink ref="C22:C23" location="'Initial Search'!A17" display="'Initial Search'!A17" xr:uid="{7C7CB4CB-BB1C-467A-A9FB-3A098E53AC9C}"/>
    <hyperlink ref="C22" location="'Initial Search'!A30" display="'Initial Search'!A30" xr:uid="{169B685F-D735-491B-9209-F4DD13B3FD57}"/>
    <hyperlink ref="C23" location="'Initial Search'!A107" display="'Initial Search'!A107" xr:uid="{F0141AC3-54DF-40D1-A9CE-35715D156AA1}"/>
    <hyperlink ref="C24" location="'Initial Search'!A18" display="'Initial Search'!A18" xr:uid="{6B963889-4680-4572-969C-3A5B109235B7}"/>
    <hyperlink ref="C25" location="'Initial Search'!A19" display="'Initial Search'!A19" xr:uid="{5A7052A7-3E73-4C47-8905-23F58D646F09}"/>
    <hyperlink ref="C26:C29" location="'Initial Search'!A18" display="'Initial Search'!A18" xr:uid="{2D7B4C1E-4A96-496E-B6B0-AAA6AA0C3F57}"/>
    <hyperlink ref="C30" location="'Initial Search'!A220" display="'Initial Search'!A220" xr:uid="{AF491E03-CF0A-4746-93BB-E4B3762F4C4E}"/>
    <hyperlink ref="C26" location="'Initial Search'!A130" display="'Initial Search'!A130" xr:uid="{7B0FF249-EA65-4021-9A8F-24A1214F3A97}"/>
    <hyperlink ref="C27" location="'Initial Search'!A261" display="'Initial Search'!A261" xr:uid="{247D9937-1E20-490A-9A00-FDAAE03F460A}"/>
    <hyperlink ref="C28" location="'Initial Search'!A20" display="'Initial Search'!A20" xr:uid="{80DD2A57-927A-4540-8D08-8145A4F595A9}"/>
    <hyperlink ref="C29" location="'Initial Search'!A205" display="'Initial Search'!A205" xr:uid="{36DEC96E-CA66-4C45-8DA8-C9684C836DCA}"/>
    <hyperlink ref="C31" location="'Initial Search'!A39" display="'Initial Search'!A39" xr:uid="{44B2B99F-1FC8-4DA0-8AF7-CC8D7A53357F}"/>
    <hyperlink ref="C31:C32" location="'Initial Search'!A209" display="'Initial Search'!A209" xr:uid="{8AC3852F-ED64-4D47-855C-561EEAD7E3D4}"/>
    <hyperlink ref="C32" location="'Initial Search'!A40" display="'Initial Search'!A40" xr:uid="{902C9EFD-91F3-4081-9E6C-10661F65E445}"/>
    <hyperlink ref="C33" location="'Initial Search'!A63" display="'Initial Search'!A63" xr:uid="{03514425-3CC6-412D-8452-6BB6980AC334}"/>
    <hyperlink ref="C34" location="'Initial Search'!A177" display="'Initial Search'!A177" xr:uid="{F71122EC-54D9-4FE8-B896-14CF36B72BFD}"/>
    <hyperlink ref="C35" location="'Initial Search'!A75" display="'Initial Search'!A75" xr:uid="{677F63C3-39DB-4BF8-BC18-BA781917A595}"/>
    <hyperlink ref="C36" location="'Initial Search'!A102" display="'Initial Search'!A102" xr:uid="{4D0B930C-A9F7-4EA8-8B31-19B021CB5828}"/>
    <hyperlink ref="C38" location="'Initial Search'!A106" display="'Initial Search'!A106" xr:uid="{1411F2A7-A8AC-435E-A25F-D861B6F5EFBD}"/>
    <hyperlink ref="C41" location="'Initial Search'!A218" display="'Initial Search'!A218" xr:uid="{7641B8F5-A228-4596-AB22-0788DC4274A7}"/>
    <hyperlink ref="C40" location="'Initial Search'!A160" display="'Initial Search'!A160" xr:uid="{4448AA99-BCEA-4318-BD6F-7A750ED6C738}"/>
    <hyperlink ref="C39" location="'Initial Search'!A150" display="'Initial Search'!A150" xr:uid="{66AC8A0B-A12A-4D44-B502-8AE7FA855808}"/>
    <hyperlink ref="C37" location="'Initial Search'!A170" display="'Initial Search'!A170" xr:uid="{A47090B7-25A1-4468-BCBE-796202BC4504}"/>
    <hyperlink ref="C74" location="'Initial Search'!A284" display="'Initial Search'!A284" xr:uid="{A274F76E-709F-4292-B065-3B889D86D6FE}"/>
    <hyperlink ref="C42" location="'Initial Search'!A256" display="'Initial Search'!A256" xr:uid="{8BF8D00D-2CF9-4796-A8E8-9B1EE3A5CCCC}"/>
    <hyperlink ref="C44" location="'Initial Search'!A218" display="'Initial Search'!A218" xr:uid="{AA669F98-BF43-48DB-9269-A9CB0982FAA0}"/>
    <hyperlink ref="C45" location="'Initial Search'!A225" display="'Initial Search'!A225" xr:uid="{805164B3-F7FB-433A-A7F5-D09E00C9B325}"/>
    <hyperlink ref="C47" location="'Initial Search'!A246" display="'Initial Search'!A246" xr:uid="{58E449E7-C9CA-40D6-9587-FFB868D80710}"/>
    <hyperlink ref="C48" location="'Initial Search'!A115" display="'Initial Search'!A115" xr:uid="{9E973D5E-CA84-4370-85BA-DB9C33E7A411}"/>
    <hyperlink ref="C49" location="'Initial Search'!A182" display="'Initial Search'!A182" xr:uid="{215AD928-0ACE-47F7-9BFB-38CCCDFC8A0D}"/>
    <hyperlink ref="C50" location="'Initial Search'!A221" display="'Initial Search'!A221" xr:uid="{7942303B-47CA-433C-8F16-99E20FE13474}"/>
    <hyperlink ref="C51" location="'Initial Search'!A108" display="'Initial Search'!A108" xr:uid="{6CAE132D-E4BA-41E8-A551-A0B59468CF7F}"/>
    <hyperlink ref="C52" location="'Initial Search'!A229" display="'Initial Search'!A229" xr:uid="{8B90BF91-264B-4FF7-AA03-BF27DE5F125D}"/>
    <hyperlink ref="C53" location="'Initial Search'!A111" display="'Initial Search'!A111" xr:uid="{7983B42C-5CA2-4D62-A66A-D87ABAF8A2E9}"/>
    <hyperlink ref="C55" location="'Initial Search'!A238" display="'Initial Search'!A238" xr:uid="{44081BB0-401E-4319-8947-B6AFCAEE6E6A}"/>
    <hyperlink ref="C58" location="'Initial Search'!A131" display="'Initial Search'!A131" xr:uid="{7DFBBF55-5F42-43D9-B524-620C0D56ABB8}"/>
    <hyperlink ref="C59" location="'Initial Search'!A154" display="'Initial Search'!A154" xr:uid="{0B5D171E-582B-46CA-A331-5A8D7A56E10F}"/>
    <hyperlink ref="C61" location="'Initial Search'!A183" display="'Initial Search'!A183" xr:uid="{699AE7CE-CBC2-4085-BCCE-85608CCAA385}"/>
    <hyperlink ref="C62" location="'Initial Search'!A184" display="'Initial Search'!A184" xr:uid="{053C16E5-0D9F-4C9A-89DC-2B86C75F1726}"/>
    <hyperlink ref="C65" location="'Initial Search'!A199" display="'Initial Search'!A199" xr:uid="{B656C194-1390-4175-AF2D-28918199A769}"/>
    <hyperlink ref="C66" location="'Initial Search'!A232" display="'Initial Search'!A232" xr:uid="{94FD4670-EA67-4805-B1A2-39B5F79AAFCE}"/>
    <hyperlink ref="C67" location="'Initial Search'!A243" display="'Initial Search'!A243" xr:uid="{10908CB5-77D6-4AB0-AA2A-DD29CBA4539C}"/>
    <hyperlink ref="C68" location="'Initial Search'!A251" display="'Initial Search'!A251" xr:uid="{5D485048-D933-4906-AE4E-1EB55A0875E9}"/>
    <hyperlink ref="C70" location="'Initial Search'!A252" display="'Initial Search'!A252" xr:uid="{765909FA-A18C-4712-92E5-5598B694F899}"/>
    <hyperlink ref="C72" location="'Initial Search'!A277" display="'Initial Search'!A277" xr:uid="{E6BFD27E-57AD-4EA1-9D2F-0AE160E364AB}"/>
    <hyperlink ref="C73" location="'Initial Search'!A280" display="'Initial Search'!A280" xr:uid="{0DF66B8F-ECC8-4989-892C-69B55E56BE2A}"/>
    <hyperlink ref="C46" location="'Initial Search'!A241" display="'Initial Search'!A241" xr:uid="{4F1E195D-AD6B-4278-9C29-F68707EEF4EC}"/>
    <hyperlink ref="C63" location="'Initial Search'!A283" display="'Initial Search'!A283" xr:uid="{12E7E197-CA3D-4998-AC49-3CF75DB173C6}"/>
    <hyperlink ref="C75" location="'Initial Search'!A164" display="'Initial Search'!A164" xr:uid="{C8D419C3-5129-4F8D-BCDD-6BA4A03166E7}"/>
    <hyperlink ref="C56" location="'Initial Search'!A290" display="'Initial Search'!A290" xr:uid="{48605A36-B721-4CE3-811C-030A198B2331}"/>
    <hyperlink ref="C78" location="'Initial Search'!A291" display="'Initial Search'!A291" xr:uid="{309435BF-58AA-48E2-84BA-727D563AAFAA}"/>
    <hyperlink ref="C64" location="'Initial Search'!A286" display="'Initial Search'!A286" xr:uid="{C6D0F59F-AFD4-483F-A1FA-D795E590A1AA}"/>
    <hyperlink ref="C69" location="'Initial Search'!A202" display="'Initial Search'!A202" xr:uid="{E7ED4114-5B5D-4F44-8ABB-3F31806540BC}"/>
    <hyperlink ref="C76" location="'Initial Search'!A98" display="'Initial Search'!A98" xr:uid="{5F5CDC5F-C818-4BB5-91B6-9638211B500A}"/>
    <hyperlink ref="C77" location="'Initial Search'!A204" display="'Initial Search'!A204" xr:uid="{22E581F4-717B-40C7-ABCC-D9F4FF9982AF}"/>
    <hyperlink ref="D77" location="'Feature Study'!A74" display="'Feature Study'!A74" xr:uid="{7C945EF9-A37D-4147-997F-A74F285F81B5}"/>
    <hyperlink ref="D3" location="'Feature Study'!A6" display="'Feature Study'!A6" xr:uid="{48C3199E-312F-41E0-8961-FC5E7909BE25}"/>
    <hyperlink ref="D4:D11" location="'Feature Study'!A6" display="'Feature Study'!A6" xr:uid="{499A16B4-AB31-4460-85D3-D453EC2B2B93}"/>
    <hyperlink ref="D6" location="'Feature Study'!A10" display="'Feature Study'!A10" xr:uid="{DFBE45D2-C355-4725-AE75-C7A5E754035E}"/>
    <hyperlink ref="D4" location="'Feature Study'!A7" display="'Feature Study'!A7" xr:uid="{22C3CCB9-2F30-428D-8AE3-60DB65EB5694}"/>
    <hyperlink ref="D5" location="'Feature Study'!A8" display="'Feature Study'!A8" xr:uid="{1882D3B6-9A0E-48F1-8F06-4B2BA5D7762D}"/>
    <hyperlink ref="D7" location="'Feature Study'!A11" display="'Feature Study'!A11" xr:uid="{F10A9A95-11CC-43CC-9DD0-F6F99E522486}"/>
    <hyperlink ref="D8" location="'Feature Study'!A13" display="'Feature Study'!A13" xr:uid="{AF636A66-75A1-42A7-9A56-E397C3A56AF9}"/>
    <hyperlink ref="D9" location="'Feature Study'!A14" display="'Feature Study'!A14" xr:uid="{2E0479B7-32F1-451B-980D-49CFC529A94C}"/>
    <hyperlink ref="D10" location="'Feature Study'!A17" display="'Feature Study'!A17" xr:uid="{25827CE1-367E-41C3-96B3-BC9C1BCA46E9}"/>
    <hyperlink ref="D11" location="'Feature Study'!A18" display="'Feature Study'!A18" xr:uid="{DB1E167F-8E05-4B70-86A9-CFA9F0BF9BD7}"/>
    <hyperlink ref="D12" location="'Feature Study'!A19" display="'Feature Study'!A19" xr:uid="{3B8A0C68-C01F-41C7-8A06-E62DF8517CE1}"/>
    <hyperlink ref="D56" location="'Feature Study'!A96" display="'Feature Study'!A96" xr:uid="{8585F213-1C2A-4DDD-A389-CF5DF17E926E}"/>
    <hyperlink ref="D55" location="'Feature Study'!A95" display="'Feature Study'!A95" xr:uid="{121EB9D3-D96C-45F2-BC16-D92FA90FFDA2}"/>
    <hyperlink ref="C80" location="'Initial Search'!A300" display="'Initial Search'!A300" xr:uid="{1BB9D37E-92BD-4770-A0D2-2396219EB708}"/>
    <hyperlink ref="D78" location="'Feature Study'!A143" display="'Feature Study'!A143" xr:uid="{21BBE709-C889-4295-B6C1-46E9814F69D7}"/>
    <hyperlink ref="C43" location="'Initial Search'!A293" display="'Initial Search'!A293" xr:uid="{CBA809BF-86A5-4E33-9A89-62AE6D559A13}"/>
    <hyperlink ref="D43" location="'Feature Study'!A146" display="'Feature Study'!A146" xr:uid="{2A5A743C-CADC-47E7-88A6-3E3FDE34202B}"/>
    <hyperlink ref="D39" location="'Feature Study'!A66" display="'Feature Study'!A66" xr:uid="{9719C0FE-802E-4C10-BF72-7F1A2AA7CC2E}"/>
    <hyperlink ref="D40:D42" location="'Feature Study'!A66" display="'Feature Study'!A66" xr:uid="{82A0C1DD-340D-40AD-A056-0299E615F382}"/>
    <hyperlink ref="D40" location="'Feature Study'!A67" display="'Feature Study'!A67" xr:uid="{B01E2FDD-1B31-4B7B-BC18-B74C36DF18CA}"/>
    <hyperlink ref="D41" location="'Feature Study'!A68" display="'Feature Study'!A68" xr:uid="{53C2FEAE-9F62-4D78-903F-15F19F8D9405}"/>
    <hyperlink ref="D42" location="'Feature Study'!A70" display="'Feature Study'!A70" xr:uid="{0CBD7715-89FF-4E66-B416-CB68EDE0D7FF}"/>
    <hyperlink ref="C57" location="'Initial Search'!A298" display="'Initial Search'!A298" xr:uid="{B9A337C1-E99C-47ED-8E11-09471B358D5E}"/>
    <hyperlink ref="D57" location="'Feature Study'!A150" display="'Feature Study'!A150" xr:uid="{2145814D-BB6A-4C2A-9AA9-49E35043E5F0}"/>
    <hyperlink ref="C71" location="'Initial Search'!A296" display="'Initial Search'!A296" xr:uid="{308DA310-C722-4236-81D9-592E34AE28F5}"/>
    <hyperlink ref="D69" location="'Feature Study'!A129" display="'Feature Study'!A129" xr:uid="{BFC67A4A-4705-435D-A04C-BB3425CF2C6A}"/>
    <hyperlink ref="D70" location="'Feature Study'!A130" display="'Feature Study'!A130" xr:uid="{2D61B1C7-FA87-46EE-9D91-585C07A709E3}"/>
    <hyperlink ref="D71" location="'Feature Study'!A147" display="'Feature Study'!A147" xr:uid="{E2A903FC-2FDA-4067-AB46-36F949CEA1A4}"/>
    <hyperlink ref="C79" location="'Initial Search'!A299" display="'Initial Search'!A299" xr:uid="{BB0C793C-49F9-493A-A7A8-8D5D56F972B3}"/>
    <hyperlink ref="D79" location="'Feature Study'!A149" display="'Feature Study'!A149" xr:uid="{004C5E42-9F41-41F7-AB37-D0C27487B7AC}"/>
    <hyperlink ref="C81" location="'Initial Search'!A301" display="'Initial Search'!A301" xr:uid="{824AC19F-9A10-4952-B23E-99B2B35B4517}"/>
    <hyperlink ref="D80:D81" location="'Feature Study'!A149" display="'Feature Study'!A149" xr:uid="{2715156A-CE37-491B-AECE-8F24A1FD703D}"/>
    <hyperlink ref="D80" location="'Feature Study'!A150" display="'Feature Study'!A150" xr:uid="{F4813CA4-B157-44C4-AF02-1B5044564932}"/>
    <hyperlink ref="D81" location="'Feature Study'!A151" display="'Feature Study'!A151" xr:uid="{097DA39A-0C9B-497C-898B-80D08CE60DCD}"/>
    <hyperlink ref="D13" location="'Feature Study'!A21" display="'Feature Study'!A21" xr:uid="{E21B3390-E6C6-4466-B346-447978BECF3A}"/>
    <hyperlink ref="D14" location="'Feature Study'!A22" display="'Feature Study'!A22" xr:uid="{D3FA192A-F3DE-40DE-A241-FC124C7C8032}"/>
    <hyperlink ref="D15:D17" location="'Feature Study'!A22" display="'Feature Study'!A22" xr:uid="{4C6FC6C9-80BE-4D47-B763-0B4AFF823E42}"/>
    <hyperlink ref="D15" location="'Feature Study'!A23" display="'Feature Study'!A23" xr:uid="{22DDBE56-1BFB-4170-8BF2-B0E109F079F2}"/>
    <hyperlink ref="D16" location="'Feature Study'!A26" display="'Feature Study'!A26" xr:uid="{62726702-C413-4421-A939-ED8E419C49C7}"/>
    <hyperlink ref="D17" location="'Feature Study'!A29" display="'Feature Study'!A29" xr:uid="{21EDF408-91D7-44DE-AEDB-994B5CBF9B84}"/>
    <hyperlink ref="D18:D20" location="'Feature Study'!A22" display="'Feature Study'!A22" xr:uid="{1F6DBE4B-4709-4C8D-A13C-59CB53A1D94A}"/>
    <hyperlink ref="D18" location="'Feature Study'!A32" display="'Feature Study'!A32" xr:uid="{5FC9362D-81F8-4195-BD45-A17AECE2BF88}"/>
    <hyperlink ref="D19" location="'Feature Study'!A33" display="'Feature Study'!A33" xr:uid="{BC65F518-6AF9-4BBD-841B-2E122108FDB0}"/>
    <hyperlink ref="D20" location="'Feature Study'!A35" display="'Feature Study'!A35" xr:uid="{D862EF76-2085-40D9-A5C2-358A66213E17}"/>
    <hyperlink ref="D21" location="'Feature Study'!A36" display="'Feature Study'!A36" xr:uid="{C4344ECF-EAD8-410B-B911-E6F58DA827B8}"/>
    <hyperlink ref="D22:D23" location="'Feature Study'!A36" display="'Feature Study'!A36" xr:uid="{C805DE93-DE14-4DDE-BA92-5983DC3043F2}"/>
    <hyperlink ref="D23" location="'Feature Study'!A39" display="'Feature Study'!A39" xr:uid="{09579373-8221-40F5-B397-66C0713AB19E}"/>
    <hyperlink ref="D22" location="'Feature Study'!A37" display="'Feature Study'!A37" xr:uid="{B849E8E8-337F-412D-841D-A5BC1850E200}"/>
    <hyperlink ref="D24:D26" location="'Feature Study'!A36" display="'Feature Study'!A36" xr:uid="{5BFCC3BE-7232-4021-A785-6C3D6CE4A28C}"/>
    <hyperlink ref="D24" location="'Feature Study'!A40" display="'Feature Study'!A40" xr:uid="{ECD2E052-2B18-473D-9B5D-CE1F7213CAD8}"/>
    <hyperlink ref="D25" location="'Feature Study'!A42" display="'Feature Study'!A42" xr:uid="{3D33C1EA-0AE7-4D62-8BAF-BE6C62669BE9}"/>
    <hyperlink ref="D26" location="'Feature Study'!A44" display="'Feature Study'!A44" xr:uid="{E8166AAB-19CF-4010-BE88-9B80A41971C2}"/>
    <hyperlink ref="D27:D30" location="'Feature Study'!A36" display="'Feature Study'!A36" xr:uid="{7B6E3D15-E3F4-4253-A151-5ADE5C7989CD}"/>
    <hyperlink ref="D27" location="'Feature Study'!A45" display="'Feature Study'!A45" xr:uid="{1C38BBE6-26E1-40F8-8E5F-68CE255344C4}"/>
    <hyperlink ref="D28" location="'Feature Study'!A46" display="'Feature Study'!A46" xr:uid="{EDC28128-C59C-4CA0-8AE4-6167DCD49267}"/>
    <hyperlink ref="D29" location="'Feature Study'!A47" display="'Feature Study'!A47" xr:uid="{1F959ED9-F5A4-4BC1-B819-8A51BB99BA11}"/>
    <hyperlink ref="D30" location="'Feature Study'!A50" display="'Feature Study'!A50" xr:uid="{5A98131F-4890-4164-B4D4-4E0B1DE7EA43}"/>
    <hyperlink ref="D31:D33" location="'Feature Study'!A36" display="'Feature Study'!A36" xr:uid="{2F09D0ED-787F-49D7-8228-030979058851}"/>
    <hyperlink ref="D31" location="'Feature Study'!A54" display="'Feature Study'!A54" xr:uid="{90EAF979-01BF-4B88-8408-65AD6E4BE0D0}"/>
    <hyperlink ref="D32" location="'Feature Study'!A55" display="'Feature Study'!A55" xr:uid="{04442E5A-71BA-481C-8E57-D81DA8CD97B5}"/>
    <hyperlink ref="D33" location="'Feature Study'!A57" display="'Feature Study'!A57" xr:uid="{983C3AA2-0AFD-4F03-A3BB-732743ABD05D}"/>
    <hyperlink ref="D34:D36" location="'Feature Study'!A36" display="'Feature Study'!A36" xr:uid="{76C05972-349E-4A49-B426-FF5E68B38144}"/>
    <hyperlink ref="D35" location="'Feature Study'!A60" display="'Feature Study'!A60" xr:uid="{CBABADD4-F001-4465-9BF2-26F2A6F7C075}"/>
    <hyperlink ref="D34" location="'Feature Study'!A58" display="'Feature Study'!A58" xr:uid="{F63B9CE3-8071-4DE5-885F-1300AE000776}"/>
    <hyperlink ref="D36" location="'Feature Study'!A63" display="'Feature Study'!A63" xr:uid="{7D8C05B1-4E06-4510-8598-3C8B65C5D724}"/>
    <hyperlink ref="D37:D38" location="'Feature Study'!A36" display="'Feature Study'!A36" xr:uid="{72E9001A-1522-4071-A853-F0CE43C7F9DC}"/>
    <hyperlink ref="D37" location="'Feature Study'!A64" display="'Feature Study'!A64" xr:uid="{0A53B40B-7500-4D74-B3FA-D7FCA22E46B4}"/>
    <hyperlink ref="D38" location="'Feature Study'!A65" display="'Feature Study'!A65" xr:uid="{4D7F5BDA-8E5B-47BD-AD46-72D05859C991}"/>
    <hyperlink ref="D44" location="'Feature Study'!A71" display="'Feature Study'!A71" xr:uid="{9AED6993-BD45-4931-A2DB-7D4714D70D3E}"/>
    <hyperlink ref="D45:D47" location="'Feature Study'!A71" display="'Feature Study'!A71" xr:uid="{9F0AFC5B-794D-405E-9C60-2D542C6C1ACD}"/>
    <hyperlink ref="D47" location="'Feature Study'!A80" display="'Feature Study'!A80" xr:uid="{3550FF43-1C66-405D-8F87-9F5260A4445A}"/>
    <hyperlink ref="D48:D50" location="'Feature Study'!A71" display="'Feature Study'!A71" xr:uid="{26CEE2ED-225F-4742-AEE6-621C591744C1}"/>
    <hyperlink ref="D51" location="'Feature Study'!A89" display="'Feature Study'!A89" xr:uid="{7282820A-FABA-4425-A217-DDF970496177}"/>
    <hyperlink ref="D48" location="'Feature Study'!A81" display="'Feature Study'!A81" xr:uid="{D5C6D8A6-83FC-4D8F-8D7E-62DAD1AC7AF0}"/>
    <hyperlink ref="D49" location="'Feature Study'!A82" display="'Feature Study'!A82" xr:uid="{88D610BC-D152-4DD2-A975-2F92893D4764}"/>
    <hyperlink ref="D50" location="'Feature Study'!A87" display="'Feature Study'!A87" xr:uid="{955BAC0C-EA0C-4DCA-A93B-677D68223B55}"/>
    <hyperlink ref="D76" location="'Feature Study'!A90" display="'Feature Study'!A90" xr:uid="{8B46AA1C-A9CB-40CD-AB80-73FF26157E35}"/>
    <hyperlink ref="D52:D53" location="'Feature Study'!A89" display="'Feature Study'!A89" xr:uid="{CC5CEC7A-EE03-4B4B-9308-503BF89A3E1B}"/>
    <hyperlink ref="D52" location="'Feature Study'!A91" display="'Feature Study'!A91" xr:uid="{5C0B865E-9655-475C-A288-85D3ACB6B86E}"/>
    <hyperlink ref="D53" location="'Feature Study'!A93" display="'Feature Study'!A93" xr:uid="{D24A788B-7C26-4247-8D97-790C40C069BD}"/>
    <hyperlink ref="D58" location="'Feature Study'!A101" display="'Feature Study'!A101" xr:uid="{8AA3397F-978F-45F2-AF2A-08D56361ABD7}"/>
    <hyperlink ref="D59" location="'Feature Study'!A106" display="'Feature Study'!A106" xr:uid="{E7A50BC4-A314-4AFE-A70D-C2A487CDEC96}"/>
    <hyperlink ref="D61" location="'Feature Study'!A109" display="'Feature Study'!A109" xr:uid="{71EFF7B4-D217-4A91-AB39-4BBCB265B9B1}"/>
    <hyperlink ref="D62" location="'Feature Study'!A110" display="'Feature Study'!A110" xr:uid="{C42CFE11-417C-43DB-B1A1-1DBBDF611A33}"/>
    <hyperlink ref="D63" location="'Feature Study'!A116" display="'Feature Study'!A116" xr:uid="{BC44314F-F8D3-40E7-8021-D5110C7DCC4C}"/>
    <hyperlink ref="D64:D66" location="'Feature Study'!A102" display="'Feature Study'!A102" xr:uid="{532480BE-B310-44E9-9A04-71EE960B1544}"/>
    <hyperlink ref="D64" location="'Feature Study'!A117" display="'Feature Study'!A117" xr:uid="{D98919C9-975A-441E-853C-2AE76784758D}"/>
    <hyperlink ref="D65" location="'Feature Study'!A118" display="'Feature Study'!A118" xr:uid="{77915A31-46CF-4D4B-95CC-2CD8FA3F2867}"/>
    <hyperlink ref="D67:D68" location="'Feature Study'!A102" display="'Feature Study'!A102" xr:uid="{CC8C7196-86B3-4343-A25E-39FC40193D5B}"/>
    <hyperlink ref="D66" location="'Feature Study'!A124" display="'Feature Study'!A124" xr:uid="{9CBB3606-1E91-4D24-A972-EAC491C2EA96}"/>
    <hyperlink ref="D67" location="'Feature Study'!A126" display="'Feature Study'!A126" xr:uid="{908BFB66-3229-4DC2-94E1-4403EE59CD94}"/>
    <hyperlink ref="D68" location="'Feature Study'!A128" display="'Feature Study'!A128" xr:uid="{918A6B27-EF8E-482F-BCF7-1DAFC54DB77A}"/>
    <hyperlink ref="D72" location="'Feature Study'!A139" display="'Feature Study'!A139" xr:uid="{BEE88FBC-14CB-42A9-9570-EADD3247C808}"/>
    <hyperlink ref="D73:D75" location="'Feature Study'!A147" display="'Feature Study'!A147" xr:uid="{F3ECDCFB-E79A-4842-9206-4B7E088F1C82}"/>
    <hyperlink ref="D73" location="'Feature Study'!A140" display="'Feature Study'!A140" xr:uid="{1F55A7B8-DAE4-4688-9900-814757AE1586}"/>
    <hyperlink ref="D74" location="'Feature Study'!A141" display="'Feature Study'!A141" xr:uid="{5EBABD18-28EB-4367-AEC6-487BAD151DF5}"/>
    <hyperlink ref="D75" location="'Feature Study'!A142" display="'Feature Study'!A142" xr:uid="{C92A62B6-CAFA-4AE1-91A7-4D0651B80903}"/>
    <hyperlink ref="D45" location="'Feature Study'!A72" display="'Feature Study'!A72" xr:uid="{0BD36767-9213-4AA7-9B77-8972869059E6}"/>
    <hyperlink ref="D46" location="'Feature Study'!A73" display="'Feature Study'!A73" xr:uid="{24498D53-5C4A-4441-8128-AC4503C0C7BA}"/>
    <hyperlink ref="D60" location="'Feature Study'!A153" display="'Feature Study'!A153" xr:uid="{E48A2F92-F9E3-4432-8EA0-38D6D1E5C668}"/>
    <hyperlink ref="C60" location="'Initial Search'!A303" display="'Initial Search'!A303" xr:uid="{7EF17EB2-544D-402E-83C6-307CC20B6576}"/>
    <hyperlink ref="C82" location="'Initial Search'!A302" display="'Initial Search'!A302" xr:uid="{B0C3AD6E-82FF-45A8-A53E-F47D360CDA10}"/>
    <hyperlink ref="D82" location="'Feature Study'!A152" display="'Feature Study'!A152" xr:uid="{9DD9DC5B-EE4F-487F-B5CB-35BC49FE59E1}"/>
    <hyperlink ref="C83:C85" location="'Initial Search'!A302" display="'Initial Search'!A302" xr:uid="{003A1B2F-604C-4DE1-964F-E238AD5CECCC}"/>
    <hyperlink ref="D83:D85" location="'Feature Study'!A152" display="'Feature Study'!A152" xr:uid="{BF21800A-D949-433F-B7E8-83C274EFC54D}"/>
    <hyperlink ref="C83" location="'Initial Search'!A271" display="'Initial Search'!A271" xr:uid="{04B0B837-A35B-4D15-B0E6-E67ACABE49B7}"/>
    <hyperlink ref="C84" location="'Initial Search'!A312" display="'Initial Search'!A312" xr:uid="{B6B6E463-9A83-45A6-AF3D-F2DB32772B63}"/>
    <hyperlink ref="C85" location="'Initial Search'!A313" display="'Initial Search'!A313" xr:uid="{D3E637C3-67B5-45C0-BA10-F5F6EBD31317}"/>
    <hyperlink ref="C54" location="'Initial Search'!A365" display="'Initial Search'!A365" xr:uid="{41B81613-C4FD-45FE-8AE5-E092C2E85DAF}"/>
    <hyperlink ref="D54" location="'Feature Study'!A181" display="'Feature Study'!A181" xr:uid="{5C7ACA50-0530-4435-BCB7-A7AA3FC0CE74}"/>
    <hyperlink ref="C86" location="'Initial Search'!A313" display="'Initial Search'!A313" xr:uid="{F8EC380B-731B-4494-9FA6-3F273E1035C7}"/>
    <hyperlink ref="C87" location="'Initial Search'!A313" display="'Initial Search'!A313" xr:uid="{C4DA98A6-686E-4383-BC3B-988A8836B34E}"/>
    <hyperlink ref="C88" location="'Initial Search'!A313" display="'Initial Search'!A313" xr:uid="{F7DF65A2-7720-4652-BA06-24B4125986B9}"/>
    <hyperlink ref="C89" location="'Initial Search'!A313" display="'Initial Search'!A313" xr:uid="{55490041-76E3-4A24-B023-62EAA51C83E2}"/>
    <hyperlink ref="C90" location="'Initial Search'!A313" display="'Initial Search'!A313" xr:uid="{1CA30A3D-444E-491C-A01C-481A87A19E96}"/>
    <hyperlink ref="C91" location="'Initial Search'!A313" display="'Initial Search'!A313" xr:uid="{2B37EFA8-EB8D-4C52-A770-AADFDB1E047B}"/>
    <hyperlink ref="C92" location="'Initial Search'!A313" display="'Initial Search'!A313" xr:uid="{9B88CD8F-69E3-4EE3-ACBC-0E69D5538396}"/>
    <hyperlink ref="C93" location="'Initial Search'!A313" display="'Initial Search'!A313" xr:uid="{7E635441-8126-4F1C-8671-8C0A96440A1F}"/>
    <hyperlink ref="C94" location="'Initial Search'!A313" display="'Initial Search'!A313" xr:uid="{4D80C88B-0A46-40FE-A47F-11917E71D2B9}"/>
    <hyperlink ref="C95" location="'Initial Search'!A313" display="'Initial Search'!A313" xr:uid="{B924AA16-DCAA-42C4-8E91-5D2E1868EF00}"/>
    <hyperlink ref="C96" location="'Initial Search'!A313" display="'Initial Search'!A313" xr:uid="{E28C83E4-C82E-4331-82EC-4B9E3ED129C5}"/>
    <hyperlink ref="C97" location="'Initial Search'!A313" display="'Initial Search'!A313" xr:uid="{5C9CB17F-C94D-4F9E-A311-BB5B61E41BA4}"/>
    <hyperlink ref="C98" location="'Initial Search'!A313" display="'Initial Search'!A313" xr:uid="{531D8A1A-84EE-4F65-953F-B64B185BAF82}"/>
    <hyperlink ref="C99" location="'Initial Search'!A313" display="'Initial Search'!A313" xr:uid="{783ECF3E-C4FF-4C2A-87E9-09D4746FB0DC}"/>
    <hyperlink ref="C100" location="'Initial Search'!A313" display="'Initial Search'!A313" xr:uid="{ED786D06-5977-4D4C-9718-B5EF3EBADD2E}"/>
    <hyperlink ref="C101" location="'Initial Search'!A313" display="'Initial Search'!A313" xr:uid="{81B5462C-A5BC-4896-9D3B-A0FEDAA9BF55}"/>
    <hyperlink ref="C102" location="'Initial Search'!A313" display="'Initial Search'!A313" xr:uid="{1D8B0CEB-28FB-4411-8CF5-159F990A272A}"/>
    <hyperlink ref="C103" location="'Initial Search'!A313" display="'Initial Search'!A313" xr:uid="{12E2A810-7681-4884-A606-72F75C622D93}"/>
    <hyperlink ref="C104" location="'Initial Search'!A313" display="'Initial Search'!A313" xr:uid="{D15E30C3-AD45-4AB8-9CF4-CA6044A219BF}"/>
    <hyperlink ref="C105" location="'Initial Search'!A313" display="'Initial Search'!A313" xr:uid="{BDCF3B8E-3021-499A-8826-C48735DAFDC0}"/>
    <hyperlink ref="C106" location="'Initial Search'!A313" display="'Initial Search'!A313" xr:uid="{0B19F9C5-1AB6-46B6-824A-8AC3D83FE027}"/>
    <hyperlink ref="C107" location="'Initial Search'!A313" display="'Initial Search'!A313" xr:uid="{D339DCC5-EC0F-4AEA-92A6-B70461E09C16}"/>
    <hyperlink ref="C108" location="'Initial Search'!A313" display="'Initial Search'!A313" xr:uid="{6304EB8F-0807-4772-95E0-264298D1596F}"/>
    <hyperlink ref="C109" location="'Initial Search'!A313" display="'Initial Search'!A313" xr:uid="{0CD13782-1322-40BA-B040-01AF43298828}"/>
    <hyperlink ref="C110" location="'Initial Search'!A313" display="'Initial Search'!A313" xr:uid="{2C8B5300-2114-416E-B22C-69C44CD220C0}"/>
    <hyperlink ref="C111" location="'Initial Search'!A313" display="'Initial Search'!A313" xr:uid="{B2439902-635B-40E8-987B-D71ACAAE830C}"/>
    <hyperlink ref="C112" location="'Initial Search'!A313" display="'Initial Search'!A313" xr:uid="{36BDA609-12EE-4D51-ADDB-E2329079BE31}"/>
    <hyperlink ref="C113" location="'Initial Search'!A313" display="'Initial Search'!A313" xr:uid="{B656BBA3-4598-4B10-BCD8-6457A15998BE}"/>
    <hyperlink ref="C114" location="'Initial Search'!A313" display="'Initial Search'!A313" xr:uid="{3B1D22CD-74C4-4708-8721-08A9F0093384}"/>
    <hyperlink ref="D86" location="'Feature Study'!A77" display="'Feature Study'!A77" xr:uid="{852FB9C4-4410-4426-807C-9A39F056CD95}"/>
    <hyperlink ref="D87" location="'Feature Study'!A133" display="'Feature Study'!A133" xr:uid="{F1886DB7-86B4-4925-8488-288074D21725}"/>
    <hyperlink ref="D88" location="'Feature Study'!A159" display="'Feature Study'!A159" xr:uid="{7EC5C87D-9FAA-428E-8E41-3E087AC3BAB5}"/>
    <hyperlink ref="D89" location="'Feature Study'!A102" display="'Feature Study'!A102" xr:uid="{422EC215-73EB-42A1-BC12-99AF19C7FAF2}"/>
    <hyperlink ref="D90" location="'Feature Study'!A83" display="'Feature Study'!A83" xr:uid="{641A688D-0852-4DBD-B278-B2CE94F5CB53}"/>
    <hyperlink ref="D91" location="'Feature Study'!A160" display="'Feature Study'!A160" xr:uid="{FFF85625-4032-4158-88E3-D44236AE769C}"/>
    <hyperlink ref="D92" location="'Feature Study'!A173" display="'Feature Study'!A173" xr:uid="{A65D4D24-7C49-44EA-B70D-5ECD5D0772B7}"/>
    <hyperlink ref="D93" location="'Feature Study'!A174" display="'Feature Study'!A174" xr:uid="{D15841F4-14DA-43E3-8C27-61A2BB754267}"/>
    <hyperlink ref="D94" location="'Feature Study'!A175" display="'Feature Study'!A175" xr:uid="{D7AE7F3D-CFE6-4C4C-899D-DA7BD34E1B7F}"/>
    <hyperlink ref="D95" location="'Feature Study'!A183" display="'Feature Study'!A183" xr:uid="{A1CAD733-EBEB-4305-9F39-788A9A65D8B2}"/>
    <hyperlink ref="D96" location="'Feature Study'!A105" display="'Feature Study'!A105" xr:uid="{7144C836-FA94-4B48-8FC9-EA91F7107E0E}"/>
    <hyperlink ref="D97" location="'Feature Study'!A161" display="'Feature Study'!A161" xr:uid="{91751673-B361-46CB-A145-24A02C529841}"/>
    <hyperlink ref="D98" location="'Feature Study'!A172" display="'Feature Study'!A172" xr:uid="{EB74385F-F496-430B-BBCB-F411579DA2D6}"/>
    <hyperlink ref="D99" location="'Feature Study'!A137" display="'Feature Study'!A137" xr:uid="{4758ACA8-D054-4980-BEB1-E33EC5CA7D5F}"/>
    <hyperlink ref="D100" location="'Feature Study'!A162" display="'Feature Study'!A162" xr:uid="{5B1335D4-7E73-4477-B842-701C8946C797}"/>
    <hyperlink ref="D101" location="'Feature Study'!A165" display="'Feature Study'!A165" xr:uid="{ADD500E8-914F-44FE-B7C9-C446788C3419}"/>
    <hyperlink ref="D102" location="'Feature Study'!A163" display="'Feature Study'!A163" xr:uid="{8984EE68-AAE9-4D7F-8B55-791DB025BCD4}"/>
    <hyperlink ref="D103" location="'Feature Study'!A164" display="'Feature Study'!A164" xr:uid="{13460F93-8868-4F79-8504-8C73CDA8F6B2}"/>
    <hyperlink ref="D104" location="'Feature Study'!A166" display="'Feature Study'!A166" xr:uid="{F5DE7357-0D2B-42F0-9579-09D970B789DE}"/>
    <hyperlink ref="D105" location="'Feature Study'!A167" display="'Feature Study'!A167" xr:uid="{B64655FA-7C20-4800-83A6-581F12E58D1A}"/>
    <hyperlink ref="D106" location="'Feature Study'!A168" display="'Feature Study'!A168" xr:uid="{74A868FE-0B6F-4ED1-B40C-6A406C7677C1}"/>
    <hyperlink ref="D107" location="'Feature Study'!A169" display="'Feature Study'!A169" xr:uid="{0031F853-6F46-411D-B391-DFEE80BD625F}"/>
    <hyperlink ref="D108" location="'Feature Study'!A171" display="'Feature Study'!A171" xr:uid="{2A5769D4-D675-4174-BF86-57BCCC93FA72}"/>
    <hyperlink ref="D109" location="'Feature Study'!A170" display="'Feature Study'!A170" xr:uid="{28A307AA-F725-40E4-ABBE-67FBEC709D24}"/>
    <hyperlink ref="D110" location="'Feature Study'!A179" display="'Feature Study'!A179" xr:uid="{B8F2361A-DC38-4E6B-AD5F-66D8C26C6BC5}"/>
    <hyperlink ref="D111" location="'Feature Study'!A176" display="'Feature Study'!A176" xr:uid="{688FB136-416D-4BDC-AF26-23F3534C94DF}"/>
    <hyperlink ref="D112" location="'Feature Study'!A177" display="'Feature Study'!A177" xr:uid="{9C63FF18-C43D-4A78-AA5C-F950E6D5EA8A}"/>
    <hyperlink ref="D113" location="'Feature Study'!A178" display="'Feature Study'!A178" xr:uid="{D4A97004-8AE9-452E-A65D-2057BDAD8ADC}"/>
    <hyperlink ref="D114" location="'Feature Study'!A182" display="'Feature Study'!A182" xr:uid="{449C0A13-B1F7-46C0-AF07-0BB0367495C5}"/>
  </hyperlinks>
  <pageMargins left="0.7" right="0.7" top="0.75" bottom="0.75" header="0.3" footer="0.3"/>
  <pageSetup orientation="portrait" r:id="rId1"/>
  <ignoredErrors>
    <ignoredError sqref="B112:C112 E112:F112"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53E3-274D-4B7C-9E88-9AE3B2D273EF}">
  <dimension ref="A1:E35"/>
  <sheetViews>
    <sheetView topLeftCell="A28" workbookViewId="0">
      <selection activeCell="E68" sqref="E68"/>
    </sheetView>
  </sheetViews>
  <sheetFormatPr defaultRowHeight="15" x14ac:dyDescent="0.25"/>
  <cols>
    <col min="1" max="1" width="13.140625" customWidth="1"/>
    <col min="2" max="2" width="14.85546875" customWidth="1"/>
    <col min="3" max="3" width="30.42578125" customWidth="1"/>
    <col min="4" max="4" width="37.28515625" customWidth="1"/>
    <col min="5" max="5" width="90.42578125" customWidth="1"/>
  </cols>
  <sheetData>
    <row r="1" spans="1:5" s="26" customFormat="1" ht="25.5" x14ac:dyDescent="0.25">
      <c r="A1" s="117" t="s">
        <v>2523</v>
      </c>
      <c r="B1" s="116" t="s">
        <v>2524</v>
      </c>
      <c r="C1" s="26" t="s">
        <v>3756</v>
      </c>
      <c r="D1" s="26" t="s">
        <v>3755</v>
      </c>
      <c r="E1" s="331" t="s">
        <v>2525</v>
      </c>
    </row>
    <row r="2" spans="1:5" x14ac:dyDescent="0.25">
      <c r="A2" s="104" t="s">
        <v>5</v>
      </c>
      <c r="B2" s="3">
        <f>'Studies Selection Process'!D2+'Studies Selection Process'!J2</f>
        <v>535</v>
      </c>
      <c r="C2" s="3">
        <f>COUNTIFS('Initial Search'!A:A,"IEEE",'Initial Search'!K:K,"Initial",'Initial Search'!L:L,"Remained")</f>
        <v>50</v>
      </c>
      <c r="D2" s="128">
        <f>COUNTIFS('Initial Search'!A:A,"IEEE",'Initial Search'!K:K,"Snowballing",'Initial Search'!L:L,"Remained")</f>
        <v>6</v>
      </c>
      <c r="E2" s="104">
        <f>'Studies Selection Process'!O2</f>
        <v>28</v>
      </c>
    </row>
    <row r="3" spans="1:5" x14ac:dyDescent="0.25">
      <c r="A3" s="104" t="s">
        <v>217</v>
      </c>
      <c r="B3" s="3">
        <f>'Studies Selection Process'!D3+'Studies Selection Process'!J3</f>
        <v>489</v>
      </c>
      <c r="C3" s="3">
        <f>COUNTIFS('Initial Search'!A:A,"ACM",'Initial Search'!K:K,"Initial",'Initial Search'!L:L,"Remained")</f>
        <v>39</v>
      </c>
      <c r="D3" s="128">
        <f>COUNTIFS('Initial Search'!A:A,"ACM",'Initial Search'!K:K,"Snowballing",'Initial Search'!L:L,"Remained")</f>
        <v>9</v>
      </c>
      <c r="E3" s="104">
        <f>'Studies Selection Process'!O3</f>
        <v>22</v>
      </c>
    </row>
    <row r="4" spans="1:5" x14ac:dyDescent="0.25">
      <c r="A4" s="104" t="s">
        <v>323</v>
      </c>
      <c r="B4" s="3">
        <f>'Studies Selection Process'!D4+'Studies Selection Process'!J4</f>
        <v>267</v>
      </c>
      <c r="C4" s="3">
        <f>COUNTIFS('Initial Search'!A:A,"Science Direct",'Initial Search'!K:K,"Initial",'Initial Search'!L:L,"Remained")</f>
        <v>18</v>
      </c>
      <c r="D4" s="128">
        <f>COUNTIFS('Initial Search'!A:A,"Science Direct",'Initial Search'!K:K,"Snowballing",'Initial Search'!L:L,"Remained")</f>
        <v>2</v>
      </c>
      <c r="E4" s="104">
        <f>'Studies Selection Process'!O4</f>
        <v>9</v>
      </c>
    </row>
    <row r="5" spans="1:5" x14ac:dyDescent="0.25">
      <c r="A5" s="104" t="s">
        <v>394</v>
      </c>
      <c r="B5" s="3">
        <f>'Studies Selection Process'!D5+'Studies Selection Process'!J5</f>
        <v>144</v>
      </c>
      <c r="C5" s="3">
        <f>COUNTIFS('Initial Search'!A:A,"Wiley",'Initial Search'!K:K,"Initial",'Initial Search'!L:L,"Remained")</f>
        <v>2</v>
      </c>
      <c r="D5" s="128">
        <f>COUNTIFS('Initial Search'!A:A,"Wiley",'Initial Search'!K:K,"Snowballing",'Initial Search'!L:L,"Remained")</f>
        <v>0</v>
      </c>
      <c r="E5" s="104">
        <f>'Studies Selection Process'!O5</f>
        <v>1</v>
      </c>
    </row>
    <row r="6" spans="1:5" x14ac:dyDescent="0.25">
      <c r="A6" s="104" t="s">
        <v>427</v>
      </c>
      <c r="B6" s="3">
        <f>'Studies Selection Process'!D6+'Studies Selection Process'!J6</f>
        <v>395</v>
      </c>
      <c r="C6" s="3">
        <f>COUNTIFS('Initial Search'!A:A,"Springer Link",'Initial Search'!K:K,"Initial",'Initial Search'!L:L,"Remained")</f>
        <v>62</v>
      </c>
      <c r="D6" s="128">
        <f xml:space="preserve"> COUNTIFS('Initial Search'!A:A,"Springer Link",'Initial Search'!K:K,"Snowballing",'Initial Search'!L:L,"Remained")</f>
        <v>4</v>
      </c>
      <c r="E6" s="104">
        <f>'Studies Selection Process'!O6</f>
        <v>36</v>
      </c>
    </row>
    <row r="7" spans="1:5" ht="15.75" thickBot="1" x14ac:dyDescent="0.3">
      <c r="A7" s="118" t="s">
        <v>1647</v>
      </c>
      <c r="B7" s="119">
        <f>'Studies Selection Process'!D7+'Studies Selection Process'!J7</f>
        <v>23</v>
      </c>
      <c r="C7" s="119">
        <f>COUNTIFS('Initial Search'!A:A,"Other",'Initial Search'!K:K,"Initial",'Initial Search'!L:L,"Remained")</f>
        <v>0</v>
      </c>
      <c r="D7" s="332">
        <f>COUNTIFS('Initial Search'!A:A,"Other",'Initial Search'!K:K,"Snowballing",'Initial Search'!L:L,"Remained")</f>
        <v>20</v>
      </c>
      <c r="E7" s="118">
        <f>'Studies Selection Process'!O7</f>
        <v>9</v>
      </c>
    </row>
    <row r="8" spans="1:5" ht="15.75" thickTop="1" x14ac:dyDescent="0.25"/>
    <row r="28" spans="1:5" ht="25.5" x14ac:dyDescent="0.25">
      <c r="A28" s="117" t="s">
        <v>2523</v>
      </c>
      <c r="B28" s="116" t="s">
        <v>2524</v>
      </c>
      <c r="C28" s="26" t="s">
        <v>2526</v>
      </c>
      <c r="D28" s="117" t="s">
        <v>2525</v>
      </c>
      <c r="E28" s="329" t="s">
        <v>3747</v>
      </c>
    </row>
    <row r="29" spans="1:5" x14ac:dyDescent="0.25">
      <c r="A29" s="104" t="s">
        <v>5</v>
      </c>
      <c r="B29" s="243">
        <f>'Studies Selection Process'!D2</f>
        <v>526</v>
      </c>
      <c r="C29" s="243">
        <f>COUNTIFS('Initial Search'!A:A,"IEEE",'Initial Search'!K:K,"Initial",'Initial Search'!L:L,"Remained")+COUNTIFS('Initial Search'!A:A,"IEEE",'Initial Search'!K:K,"Snowballing",'Initial Search'!L:L,"Remained")</f>
        <v>56</v>
      </c>
      <c r="D29" s="104">
        <f>'Studies Selection Process'!M2</f>
        <v>29</v>
      </c>
      <c r="E29" s="5" t="s">
        <v>3748</v>
      </c>
    </row>
    <row r="30" spans="1:5" x14ac:dyDescent="0.25">
      <c r="A30" s="104" t="s">
        <v>217</v>
      </c>
      <c r="B30" s="304">
        <f>'Studies Selection Process'!D3</f>
        <v>478</v>
      </c>
      <c r="C30" s="243">
        <f>COUNTIFS('Initial Search'!A:A,"ACM",'Initial Search'!K:K,"Initial",'Initial Search'!L:L,"Remained")+COUNTIFS('Initial Search'!A:A,"ACM",'Initial Search'!K:K,"Snowballing",'Initial Search'!L:L,"Remained")</f>
        <v>48</v>
      </c>
      <c r="D30" s="104">
        <f>'Studies Selection Process'!M3</f>
        <v>25</v>
      </c>
      <c r="E30" s="5" t="s">
        <v>3749</v>
      </c>
    </row>
    <row r="31" spans="1:5" x14ac:dyDescent="0.25">
      <c r="A31" s="104" t="s">
        <v>323</v>
      </c>
      <c r="B31" s="304">
        <f>'Studies Selection Process'!D4</f>
        <v>264</v>
      </c>
      <c r="C31" s="243">
        <f>COUNTIFS('Initial Search'!A:A,"Science Direct",'Initial Search'!K:K,"Initial",'Initial Search'!L:L,"Remained")+COUNTIFS('Initial Search'!A:A,"Science Direct",'Initial Search'!K:K,"Snowballing",'Initial Search'!L:L,"Remained")</f>
        <v>20</v>
      </c>
      <c r="D31" s="104">
        <f>'Studies Selection Process'!M4</f>
        <v>10</v>
      </c>
      <c r="E31" s="5" t="s">
        <v>3750</v>
      </c>
    </row>
    <row r="32" spans="1:5" x14ac:dyDescent="0.25">
      <c r="A32" s="104" t="s">
        <v>394</v>
      </c>
      <c r="B32" s="304">
        <f>'Studies Selection Process'!D5</f>
        <v>144</v>
      </c>
      <c r="C32" s="243">
        <f>COUNTIFS('Initial Search'!A:A,"Wiley",'Initial Search'!K:K,"Initial",'Initial Search'!L:L,"Remained")+COUNTIFS('Initial Search'!A:A,"Wiley",'Initial Search'!K:K,"Snowballing",'Initial Search'!L:L,"Remained")</f>
        <v>2</v>
      </c>
      <c r="D32" s="104">
        <f>'Studies Selection Process'!M5</f>
        <v>1</v>
      </c>
      <c r="E32" s="330" t="s">
        <v>3751</v>
      </c>
    </row>
    <row r="33" spans="1:5" x14ac:dyDescent="0.25">
      <c r="A33" s="104" t="s">
        <v>427</v>
      </c>
      <c r="B33" s="304">
        <f>'Studies Selection Process'!D6</f>
        <v>390</v>
      </c>
      <c r="C33" s="243">
        <f>COUNTIFS('Initial Search'!A:A,"Springer Link",'Initial Search'!K:K,"Initial",'Initial Search'!L:L,"Remained") + COUNTIFS('Initial Search'!A:A,"Springer Link",'Initial Search'!K:K,"Snowballing",'Initial Search'!L:L,"Remained")</f>
        <v>66</v>
      </c>
      <c r="D33" s="104">
        <f>'Studies Selection Process'!M6</f>
        <v>36</v>
      </c>
      <c r="E33" s="330" t="s">
        <v>3752</v>
      </c>
    </row>
    <row r="34" spans="1:5" ht="15.75" thickBot="1" x14ac:dyDescent="0.3">
      <c r="A34" s="118" t="s">
        <v>1647</v>
      </c>
      <c r="B34" s="119">
        <f>'Studies Selection Process'!D7</f>
        <v>0</v>
      </c>
      <c r="C34" s="119">
        <f>COUNTIFS('Initial Search'!A:A,"Other",'Initial Search'!K:K,"Snowballing",'Initial Search'!L:L,"Remained")</f>
        <v>20</v>
      </c>
      <c r="D34" s="118">
        <f>'Studies Selection Process'!M7</f>
        <v>11</v>
      </c>
      <c r="E34" s="5"/>
    </row>
    <row r="35" spans="1:5" ht="15.75" thickTop="1" x14ac:dyDescent="0.25"/>
  </sheetData>
  <pageMargins left="0.7" right="0.7" top="0.75" bottom="0.75" header="0.3" footer="0.3"/>
  <ignoredErrors>
    <ignoredError sqref="C30:C34" formula="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71E04-2216-4EBC-A840-5FDBAA412FEF}">
  <dimension ref="A1:C6"/>
  <sheetViews>
    <sheetView workbookViewId="0">
      <selection activeCell="J28" sqref="J28"/>
    </sheetView>
  </sheetViews>
  <sheetFormatPr defaultRowHeight="15" x14ac:dyDescent="0.25"/>
  <cols>
    <col min="1" max="1" width="17.85546875" customWidth="1"/>
    <col min="2" max="2" width="19.5703125" customWidth="1"/>
    <col min="3" max="3" width="12.85546875" customWidth="1"/>
  </cols>
  <sheetData>
    <row r="1" spans="1:3" ht="30" x14ac:dyDescent="0.25">
      <c r="A1" s="2" t="s">
        <v>2529</v>
      </c>
      <c r="B1" s="122" t="s">
        <v>2527</v>
      </c>
      <c r="C1" s="2" t="s">
        <v>2530</v>
      </c>
    </row>
    <row r="2" spans="1:3" x14ac:dyDescent="0.25">
      <c r="A2" t="s">
        <v>6</v>
      </c>
      <c r="B2" s="310">
        <f>COUNTIFS('Initial Search'!B:B,"Journal",'Initial Search'!M:M,"Accepted")</f>
        <v>26</v>
      </c>
      <c r="C2" s="123">
        <f>B2/B6</f>
        <v>0.23214285714285715</v>
      </c>
    </row>
    <row r="3" spans="1:3" x14ac:dyDescent="0.25">
      <c r="A3" t="s">
        <v>7</v>
      </c>
      <c r="B3" s="310">
        <f>COUNTIFS('Initial Search'!B:B,"Conference",'Initial Search'!M:M,"Accepted")</f>
        <v>70</v>
      </c>
      <c r="C3" s="123">
        <f>B3/B6</f>
        <v>0.625</v>
      </c>
    </row>
    <row r="4" spans="1:3" x14ac:dyDescent="0.25">
      <c r="A4" t="s">
        <v>23</v>
      </c>
      <c r="B4" s="310">
        <f>COUNTIFS('Initial Search'!B:B,"Workshop",'Initial Search'!M:M,"Accepted")</f>
        <v>16</v>
      </c>
      <c r="C4" s="123">
        <f>B4/B6</f>
        <v>0.14285714285714285</v>
      </c>
    </row>
    <row r="6" spans="1:3" x14ac:dyDescent="0.25">
      <c r="A6" t="s">
        <v>2528</v>
      </c>
      <c r="B6" s="1">
        <f>SUM(B2:B4)</f>
        <v>112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Studies Selection Process</vt:lpstr>
      <vt:lpstr>Initial Search</vt:lpstr>
      <vt:lpstr>Feature Classification</vt:lpstr>
      <vt:lpstr>Feature Study</vt:lpstr>
      <vt:lpstr>Quality Assessment </vt:lpstr>
      <vt:lpstr>Approach Classification</vt:lpstr>
      <vt:lpstr>Systematic Mapping</vt:lpstr>
      <vt:lpstr>Fig 3. Data Source</vt:lpstr>
      <vt:lpstr>Fig 4. Publication Type</vt:lpstr>
      <vt:lpstr>Fig 5. and Fig6. QA Questions</vt:lpstr>
      <vt:lpstr>Fig 7. Publication Year</vt:lpstr>
      <vt:lpstr>Fig 9. SM Analysis</vt:lpstr>
      <vt:lpstr>Fig 10. CMFacetsArticles</vt:lpstr>
      <vt:lpstr>Fig 11. CMFacetsApproaches</vt:lpstr>
      <vt:lpstr>Fig 12. Contribution Facet</vt:lpstr>
      <vt:lpstr>Fig 13. ContributionYear</vt:lpstr>
      <vt:lpstr>Fig 14. Research Facet</vt:lpstr>
      <vt:lpstr>Fig 15. ResearchYear</vt:lpstr>
      <vt:lpstr>Fig 16. Tool Articles</vt:lpstr>
      <vt:lpstr>Fig 17. ConflictTypesbyApproach</vt:lpstr>
      <vt:lpstr>Fig 18. SemanticConflictbyAppro</vt:lpstr>
      <vt:lpstr>Fig 19. MV Characteristics</vt:lpstr>
      <vt:lpstr>Fig 20. MVCharCM</vt:lpstr>
      <vt:lpstr>Fig 21. CSpec</vt:lpstr>
      <vt:lpstr>Fig 22. CPrev</vt:lpstr>
      <vt:lpstr>Fig 23. CDet</vt:lpstr>
      <vt:lpstr>Fig 24. CDbyCType (old)</vt:lpstr>
      <vt:lpstr>Fig 24. CDbyCType</vt:lpstr>
      <vt:lpstr>Fig 25 &amp; 26. CRes</vt:lpstr>
      <vt:lpstr>Fig 27. CAware</vt:lpstr>
      <vt:lpstr>Fig 28. Limitation</vt:lpstr>
      <vt:lpstr>Fig 29. Future Direction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2022-03-13T19:39:37Z</dcterms:modified>
</cp:coreProperties>
</file>