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4"/>
  </bookViews>
  <sheets>
    <sheet name="Case1" sheetId="11" r:id="rId1"/>
    <sheet name="Case2" sheetId="10" r:id="rId2"/>
    <sheet name="Case3" sheetId="9" r:id="rId3"/>
    <sheet name="Case4" sheetId="7" r:id="rId4"/>
    <sheet name="Case5" sheetId="8" r:id="rId5"/>
  </sheets>
  <calcPr calcId="145621"/>
</workbook>
</file>

<file path=xl/calcChain.xml><?xml version="1.0" encoding="utf-8"?>
<calcChain xmlns="http://schemas.openxmlformats.org/spreadsheetml/2006/main">
  <c r="E18" i="10" l="1"/>
  <c r="E18" i="7"/>
  <c r="E27" i="10"/>
  <c r="E29" i="11"/>
  <c r="E30" i="11" l="1"/>
  <c r="E31" i="11" s="1"/>
  <c r="E25" i="11"/>
  <c r="E16" i="11"/>
  <c r="E15" i="11"/>
  <c r="I14" i="11"/>
  <c r="B7" i="11"/>
  <c r="B6" i="11"/>
  <c r="E17" i="11" s="1"/>
  <c r="I5" i="11"/>
  <c r="B5" i="11"/>
  <c r="I4" i="11" s="1"/>
  <c r="I3" i="11"/>
  <c r="I6" i="11" s="1"/>
  <c r="I2" i="11"/>
  <c r="I1" i="11"/>
  <c r="E25" i="10"/>
  <c r="E28" i="10" s="1"/>
  <c r="E15" i="10"/>
  <c r="I14" i="10"/>
  <c r="B7" i="10"/>
  <c r="B6" i="10"/>
  <c r="E16" i="10" s="1"/>
  <c r="E5" i="10"/>
  <c r="B5" i="10"/>
  <c r="I4" i="10"/>
  <c r="I3" i="10"/>
  <c r="I2" i="10"/>
  <c r="I1" i="10"/>
  <c r="I7" i="10" s="1"/>
  <c r="I8" i="10" s="1"/>
  <c r="E31" i="8"/>
  <c r="E25" i="9"/>
  <c r="E27" i="9" s="1"/>
  <c r="E28" i="9" s="1"/>
  <c r="E16" i="9"/>
  <c r="E15" i="9"/>
  <c r="I14" i="9"/>
  <c r="B7" i="9"/>
  <c r="B6" i="9"/>
  <c r="E17" i="9" s="1"/>
  <c r="I5" i="9"/>
  <c r="E5" i="9"/>
  <c r="B5" i="9"/>
  <c r="I4" i="9"/>
  <c r="I3" i="9"/>
  <c r="I6" i="9" s="1"/>
  <c r="I2" i="9"/>
  <c r="I1" i="9"/>
  <c r="I7" i="9" s="1"/>
  <c r="I8" i="9" s="1"/>
  <c r="I9" i="9" s="1"/>
  <c r="E25" i="8"/>
  <c r="E29" i="8" s="1"/>
  <c r="E30" i="8" s="1"/>
  <c r="E15" i="8"/>
  <c r="I14" i="8"/>
  <c r="B7" i="8"/>
  <c r="B6" i="8"/>
  <c r="I5" i="8" s="1"/>
  <c r="B5" i="8"/>
  <c r="I4" i="8" s="1"/>
  <c r="I3" i="8"/>
  <c r="I2" i="8"/>
  <c r="I1" i="8"/>
  <c r="E28" i="7"/>
  <c r="E27" i="7"/>
  <c r="E25" i="7"/>
  <c r="E16" i="7"/>
  <c r="E15" i="7"/>
  <c r="I14" i="7"/>
  <c r="B7" i="7"/>
  <c r="B6" i="7"/>
  <c r="E17" i="7" s="1"/>
  <c r="I5" i="7"/>
  <c r="E5" i="7"/>
  <c r="B5" i="7"/>
  <c r="I4" i="7"/>
  <c r="I3" i="7"/>
  <c r="I6" i="7" s="1"/>
  <c r="I2" i="7"/>
  <c r="I1" i="7"/>
  <c r="I7" i="7" s="1"/>
  <c r="I8" i="7" s="1"/>
  <c r="I9" i="7" s="1"/>
  <c r="I7" i="11" l="1"/>
  <c r="I8" i="11" s="1"/>
  <c r="I9" i="11" s="1"/>
  <c r="E17" i="10"/>
  <c r="I5" i="10"/>
  <c r="I7" i="8"/>
  <c r="I8" i="8" s="1"/>
  <c r="I9" i="8" s="1"/>
  <c r="I6" i="8"/>
  <c r="E17" i="8"/>
  <c r="E16" i="8"/>
  <c r="E19" i="9"/>
  <c r="I15" i="9" s="1"/>
  <c r="I16" i="9" s="1"/>
  <c r="I17" i="9" s="1"/>
  <c r="I18" i="9" s="1"/>
  <c r="E19" i="7"/>
  <c r="I15" i="7" s="1"/>
  <c r="E19" i="11" l="1"/>
  <c r="I15" i="11" s="1"/>
  <c r="I16" i="11" s="1"/>
  <c r="I17" i="11" s="1"/>
  <c r="I18" i="11" s="1"/>
  <c r="I6" i="10"/>
  <c r="E19" i="10" s="1"/>
  <c r="I15" i="10" s="1"/>
  <c r="I9" i="10"/>
  <c r="E19" i="8"/>
  <c r="I15" i="8" s="1"/>
  <c r="I16" i="8" s="1"/>
  <c r="I17" i="8" s="1"/>
  <c r="I18" i="8" s="1"/>
  <c r="I19" i="8" s="1"/>
  <c r="M14" i="9"/>
  <c r="M15" i="9" s="1"/>
  <c r="I19" i="9"/>
  <c r="I16" i="7"/>
  <c r="I19" i="11" l="1"/>
  <c r="M14" i="11"/>
  <c r="M15" i="11" s="1"/>
  <c r="I16" i="10"/>
  <c r="I17" i="10" s="1"/>
  <c r="I18" i="10" s="1"/>
  <c r="M14" i="8"/>
  <c r="M15" i="8" s="1"/>
  <c r="I17" i="7"/>
  <c r="M14" i="10" l="1"/>
  <c r="M15" i="10" s="1"/>
  <c r="I19" i="10"/>
  <c r="I18" i="7"/>
  <c r="M14" i="7" l="1"/>
  <c r="M15" i="7" s="1"/>
  <c r="I19" i="7"/>
</calcChain>
</file>

<file path=xl/sharedStrings.xml><?xml version="1.0" encoding="utf-8"?>
<sst xmlns="http://schemas.openxmlformats.org/spreadsheetml/2006/main" count="316" uniqueCount="52">
  <si>
    <t>A_facade</t>
  </si>
  <si>
    <t>A_floor</t>
  </si>
  <si>
    <t>Vol</t>
  </si>
  <si>
    <t>U</t>
  </si>
  <si>
    <t>A_m</t>
  </si>
  <si>
    <t>C_m</t>
  </si>
  <si>
    <t>H_tr_w</t>
  </si>
  <si>
    <t>phi_int</t>
  </si>
  <si>
    <t>phi_sol</t>
  </si>
  <si>
    <t>v_flo</t>
  </si>
  <si>
    <t>H_ve</t>
  </si>
  <si>
    <t>theta_set_c</t>
  </si>
  <si>
    <t>theta_set_h</t>
  </si>
  <si>
    <t>theta_e</t>
  </si>
  <si>
    <t>theta_m_0</t>
  </si>
  <si>
    <t>theta_sup</t>
  </si>
  <si>
    <t>A_win</t>
  </si>
  <si>
    <t>H_op</t>
  </si>
  <si>
    <t>H_tr_is</t>
  </si>
  <si>
    <t>H_tr_ms</t>
  </si>
  <si>
    <t>H_tr_em</t>
  </si>
  <si>
    <t>H_tr_1</t>
  </si>
  <si>
    <t>H_tr_2</t>
  </si>
  <si>
    <t>H_tr_3</t>
  </si>
  <si>
    <t>phi_ia</t>
  </si>
  <si>
    <t>phi_m</t>
  </si>
  <si>
    <t>phi_st</t>
  </si>
  <si>
    <t xml:space="preserve">phi_nd </t>
  </si>
  <si>
    <t>phi_mtot</t>
  </si>
  <si>
    <t>theta_m_t</t>
  </si>
  <si>
    <t>theta_m_t_1</t>
  </si>
  <si>
    <t xml:space="preserve">theta_m </t>
  </si>
  <si>
    <t xml:space="preserve">theta_s </t>
  </si>
  <si>
    <t>theta_air</t>
  </si>
  <si>
    <t>theta_op</t>
  </si>
  <si>
    <t>theta_air_0</t>
  </si>
  <si>
    <t>step1</t>
  </si>
  <si>
    <t>step 2</t>
  </si>
  <si>
    <t>phi_nd_10</t>
  </si>
  <si>
    <t>step 1 results</t>
  </si>
  <si>
    <t xml:space="preserve">theta_air_10 </t>
  </si>
  <si>
    <t>phi_nd_un</t>
  </si>
  <si>
    <t>A_roof</t>
  </si>
  <si>
    <t>A_tot</t>
  </si>
  <si>
    <t>phi_h_max</t>
  </si>
  <si>
    <t>phi_c_max</t>
  </si>
  <si>
    <t>phi_nd_ac</t>
  </si>
  <si>
    <t>theta_air_ac</t>
  </si>
  <si>
    <t>Need Cooling calc.</t>
  </si>
  <si>
    <t>step 3</t>
  </si>
  <si>
    <t>step 4</t>
  </si>
  <si>
    <t>Recalculate via step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</si>
</sst>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0000"/>
    <numFmt numFmtId="166" formatCode="0.0000000000000000"/>
    <numFmt numFmtId="169" formatCode="0.0000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2" fillId="3" borderId="1" xfId="2"/>
    <xf numFmtId="0" fontId="1" fillId="2" borderId="1" xfId="1"/>
    <xf numFmtId="0" fontId="1" fillId="2" borderId="2" xfId="1" applyBorder="1"/>
    <xf numFmtId="165" fontId="0" fillId="0" borderId="0" xfId="0" applyNumberFormat="1"/>
    <xf numFmtId="166" fontId="0" fillId="0" borderId="0" xfId="0" applyNumberFormat="1"/>
    <xf numFmtId="164" fontId="2" fillId="3" borderId="1" xfId="2" applyNumberFormat="1"/>
    <xf numFmtId="169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I18" sqref="I18"/>
    </sheetView>
  </sheetViews>
  <sheetFormatPr defaultRowHeight="15" x14ac:dyDescent="0.25"/>
  <cols>
    <col min="4" max="4" width="11.5703125" bestFit="1" customWidth="1"/>
    <col min="5" max="5" width="22.7109375" bestFit="1" customWidth="1"/>
    <col min="8" max="8" width="12.140625" bestFit="1" customWidth="1"/>
    <col min="9" max="9" width="19.85546875" bestFit="1" customWidth="1"/>
    <col min="12" max="12" width="12.7109375" bestFit="1" customWidth="1"/>
    <col min="13" max="13" width="9.5703125" bestFit="1" customWidth="1"/>
  </cols>
  <sheetData>
    <row r="1" spans="1:13" x14ac:dyDescent="0.25">
      <c r="A1" t="s">
        <v>0</v>
      </c>
      <c r="B1" s="2">
        <v>4</v>
      </c>
      <c r="D1" t="s">
        <v>11</v>
      </c>
      <c r="E1" s="2">
        <v>20</v>
      </c>
      <c r="H1" t="s">
        <v>10</v>
      </c>
      <c r="I1" s="1">
        <f xml:space="preserve"> 1200*B11</f>
        <v>1200</v>
      </c>
    </row>
    <row r="2" spans="1:13" x14ac:dyDescent="0.25">
      <c r="A2" t="s">
        <v>1</v>
      </c>
      <c r="B2" s="2">
        <v>1</v>
      </c>
      <c r="D2" t="s">
        <v>12</v>
      </c>
      <c r="E2" s="2">
        <v>15</v>
      </c>
      <c r="H2" t="s">
        <v>6</v>
      </c>
      <c r="I2" s="1">
        <f>B8*B4</f>
        <v>0</v>
      </c>
    </row>
    <row r="3" spans="1:13" x14ac:dyDescent="0.25">
      <c r="A3" t="s">
        <v>2</v>
      </c>
      <c r="B3" s="2">
        <v>1</v>
      </c>
      <c r="D3" t="s">
        <v>13</v>
      </c>
      <c r="E3" s="2">
        <v>0</v>
      </c>
      <c r="H3" t="s">
        <v>17</v>
      </c>
      <c r="I3" s="1">
        <f>B1*B4+B2*B4+B12*B4</f>
        <v>6</v>
      </c>
    </row>
    <row r="4" spans="1:13" x14ac:dyDescent="0.25">
      <c r="A4" t="s">
        <v>3</v>
      </c>
      <c r="B4" s="2">
        <v>1</v>
      </c>
      <c r="D4" t="s">
        <v>14</v>
      </c>
      <c r="E4" s="2">
        <v>5</v>
      </c>
      <c r="H4" t="s">
        <v>18</v>
      </c>
      <c r="I4" s="1">
        <f>3.45*B5</f>
        <v>15.525</v>
      </c>
    </row>
    <row r="5" spans="1:13" x14ac:dyDescent="0.25">
      <c r="A5" t="s">
        <v>43</v>
      </c>
      <c r="B5" s="2">
        <f xml:space="preserve"> 4.5*B2</f>
        <v>4.5</v>
      </c>
      <c r="D5" t="s">
        <v>15</v>
      </c>
      <c r="E5" s="2">
        <v>0</v>
      </c>
      <c r="H5" t="s">
        <v>19</v>
      </c>
      <c r="I5" s="1">
        <f xml:space="preserve"> 9.1*B6</f>
        <v>22.75</v>
      </c>
    </row>
    <row r="6" spans="1:13" x14ac:dyDescent="0.25">
      <c r="A6" t="s">
        <v>4</v>
      </c>
      <c r="B6" s="2">
        <f xml:space="preserve"> 2.5*B2</f>
        <v>2.5</v>
      </c>
      <c r="H6" t="s">
        <v>20</v>
      </c>
      <c r="I6" s="1">
        <f>1/(1/I3 - 1/I5)</f>
        <v>8.1492537313432845</v>
      </c>
    </row>
    <row r="7" spans="1:13" x14ac:dyDescent="0.25">
      <c r="A7" t="s">
        <v>5</v>
      </c>
      <c r="B7" s="2">
        <f xml:space="preserve"> 165000*B2</f>
        <v>165000</v>
      </c>
      <c r="H7" t="s">
        <v>21</v>
      </c>
      <c r="I7" s="1">
        <f xml:space="preserve"> 1/(1/I1 + 1/I4)</f>
        <v>15.326710680570123</v>
      </c>
    </row>
    <row r="8" spans="1:13" x14ac:dyDescent="0.25">
      <c r="A8" t="s">
        <v>16</v>
      </c>
      <c r="B8" s="2">
        <v>0</v>
      </c>
      <c r="H8" t="s">
        <v>22</v>
      </c>
      <c r="I8" s="1">
        <f xml:space="preserve"> I7+I2</f>
        <v>15.326710680570123</v>
      </c>
    </row>
    <row r="9" spans="1:13" x14ac:dyDescent="0.25">
      <c r="A9" t="s">
        <v>7</v>
      </c>
      <c r="B9" s="2">
        <v>0</v>
      </c>
      <c r="H9" t="s">
        <v>23</v>
      </c>
      <c r="I9" s="1">
        <f xml:space="preserve"> 1/(1/I8 + 1/I5)</f>
        <v>9.1573736741103779</v>
      </c>
    </row>
    <row r="10" spans="1:13" x14ac:dyDescent="0.25">
      <c r="A10" t="s">
        <v>8</v>
      </c>
      <c r="B10" s="2">
        <v>1</v>
      </c>
    </row>
    <row r="11" spans="1:13" x14ac:dyDescent="0.25">
      <c r="A11" t="s">
        <v>9</v>
      </c>
      <c r="B11" s="2">
        <v>1</v>
      </c>
    </row>
    <row r="12" spans="1:13" x14ac:dyDescent="0.25">
      <c r="A12" t="s">
        <v>42</v>
      </c>
      <c r="B12" s="3">
        <v>1</v>
      </c>
      <c r="D12" t="s">
        <v>36</v>
      </c>
    </row>
    <row r="13" spans="1:13" x14ac:dyDescent="0.25">
      <c r="D13" t="s">
        <v>44</v>
      </c>
      <c r="E13">
        <v>10000</v>
      </c>
    </row>
    <row r="14" spans="1:13" x14ac:dyDescent="0.25">
      <c r="D14" t="s">
        <v>45</v>
      </c>
      <c r="E14">
        <v>-10000</v>
      </c>
      <c r="H14" t="s">
        <v>30</v>
      </c>
      <c r="I14">
        <f xml:space="preserve"> E4</f>
        <v>5</v>
      </c>
      <c r="L14" t="s">
        <v>35</v>
      </c>
      <c r="M14">
        <f xml:space="preserve"> I18</f>
        <v>8.3073869652296199</v>
      </c>
    </row>
    <row r="15" spans="1:13" x14ac:dyDescent="0.25">
      <c r="D15" t="s">
        <v>24</v>
      </c>
      <c r="E15" s="1">
        <f xml:space="preserve"> 0.5*B9</f>
        <v>0</v>
      </c>
      <c r="H15" t="s">
        <v>29</v>
      </c>
      <c r="I15" s="5">
        <f xml:space="preserve"> (I14*((B7/3600)-0.5*(I9+I6))+E19)/((B7/3600)+0.5*(I9+I6))</f>
        <v>4.8274698685755126</v>
      </c>
      <c r="L15" t="s">
        <v>47</v>
      </c>
      <c r="M15" t="str">
        <f xml:space="preserve"> IF(M14&lt;=E1+2,IF(M14&gt;=E2-2, M14, IF(E30&lt;&gt;1, E2, "Recalculate via step 4.")), IF(E30&lt;&gt; 2, E1, "Recalculate via step 4."))</f>
        <v>Recalculate via step 4.</v>
      </c>
    </row>
    <row r="16" spans="1:13" x14ac:dyDescent="0.25">
      <c r="D16" t="s">
        <v>25</v>
      </c>
      <c r="E16" s="1">
        <f xml:space="preserve"> (B6/B5)*(0.5*B9+B10)</f>
        <v>0.55555555555555558</v>
      </c>
      <c r="H16" t="s">
        <v>31</v>
      </c>
      <c r="I16">
        <f xml:space="preserve"> AVERAGE(I14:I15)</f>
        <v>4.9137349342877563</v>
      </c>
    </row>
    <row r="17" spans="4:9" x14ac:dyDescent="0.25">
      <c r="D17" t="s">
        <v>26</v>
      </c>
      <c r="E17" s="1">
        <f xml:space="preserve"> (1-(B6/B5)-(I2/9.1*B5))*(0.5*B9+B10)</f>
        <v>0.44444444444444442</v>
      </c>
      <c r="H17" t="s">
        <v>32</v>
      </c>
      <c r="I17">
        <f xml:space="preserve"> (I5*I16+E17+I2*E3+I7*(E5+(E15+E18)/I1))/(I5+I2+I7)</f>
        <v>6.3018705900635084</v>
      </c>
    </row>
    <row r="18" spans="4:9" x14ac:dyDescent="0.25">
      <c r="D18" t="s">
        <v>27</v>
      </c>
      <c r="E18">
        <v>10000</v>
      </c>
      <c r="H18" t="s">
        <v>33</v>
      </c>
      <c r="I18">
        <f xml:space="preserve"> (I4*I17+I1*E5+E15+E18)/(I4+I1)</f>
        <v>8.3073869652296199</v>
      </c>
    </row>
    <row r="19" spans="4:9" x14ac:dyDescent="0.25">
      <c r="D19" t="s">
        <v>28</v>
      </c>
      <c r="E19">
        <f xml:space="preserve"> E16+I6*E3+(I9/I8)*(E17+I2*E3+I7*(((E15+E18)/I1) +E5))</f>
        <v>77.132548653257118</v>
      </c>
      <c r="H19" t="s">
        <v>34</v>
      </c>
      <c r="I19">
        <f xml:space="preserve"> 0.3*I18+0.7*I17</f>
        <v>6.9035255026133413</v>
      </c>
    </row>
    <row r="24" spans="4:9" x14ac:dyDescent="0.25">
      <c r="D24" t="s">
        <v>37</v>
      </c>
    </row>
    <row r="25" spans="4:9" x14ac:dyDescent="0.25">
      <c r="D25" t="s">
        <v>38</v>
      </c>
      <c r="E25">
        <f xml:space="preserve"> 10*B2</f>
        <v>10</v>
      </c>
    </row>
    <row r="26" spans="4:9" x14ac:dyDescent="0.25">
      <c r="D26" t="s">
        <v>40</v>
      </c>
      <c r="E26">
        <v>4.0577676961848864E-2</v>
      </c>
    </row>
    <row r="28" spans="4:9" x14ac:dyDescent="0.25">
      <c r="D28" t="s">
        <v>49</v>
      </c>
    </row>
    <row r="29" spans="4:9" x14ac:dyDescent="0.25">
      <c r="D29" t="s">
        <v>41</v>
      </c>
      <c r="E29" s="7">
        <f>E25*(E2-I45)/(E26-I45)</f>
        <v>18087.667428380413</v>
      </c>
    </row>
    <row r="30" spans="4:9" x14ac:dyDescent="0.25">
      <c r="D30" t="s">
        <v>46</v>
      </c>
      <c r="E30">
        <f xml:space="preserve"> IF(E29&gt;=E14,IF(E29&lt;=E13, E29, 1),2)</f>
        <v>1</v>
      </c>
    </row>
    <row r="31" spans="4:9" x14ac:dyDescent="0.25">
      <c r="E31" t="str">
        <f>IF(E30=1, "Heating power insufficient.", IF(E30=2, "Cooling power insufficient.", " "))</f>
        <v>Heating power insufficient.</v>
      </c>
    </row>
    <row r="33" spans="4:13" x14ac:dyDescent="0.25">
      <c r="D33" t="s">
        <v>50</v>
      </c>
    </row>
    <row r="34" spans="4:13" x14ac:dyDescent="0.25">
      <c r="D34" t="s">
        <v>44</v>
      </c>
      <c r="E34">
        <v>10000</v>
      </c>
    </row>
    <row r="35" spans="4:13" x14ac:dyDescent="0.25">
      <c r="D35" t="s">
        <v>45</v>
      </c>
      <c r="E35">
        <v>-10000</v>
      </c>
      <c r="H35" t="s">
        <v>30</v>
      </c>
      <c r="I35">
        <v>5</v>
      </c>
      <c r="L35" t="s">
        <v>35</v>
      </c>
      <c r="M35" s="6">
        <v>8.3073869652296199</v>
      </c>
    </row>
    <row r="36" spans="4:13" x14ac:dyDescent="0.25">
      <c r="D36" t="s">
        <v>24</v>
      </c>
      <c r="E36">
        <v>0</v>
      </c>
      <c r="H36" t="s">
        <v>29</v>
      </c>
      <c r="I36">
        <v>4.8274698685755126</v>
      </c>
      <c r="L36" t="s">
        <v>47</v>
      </c>
      <c r="M36" s="1" t="s">
        <v>51</v>
      </c>
    </row>
    <row r="37" spans="4:13" x14ac:dyDescent="0.25">
      <c r="D37" t="s">
        <v>25</v>
      </c>
      <c r="E37">
        <v>0.55555555555555558</v>
      </c>
      <c r="H37" t="s">
        <v>31</v>
      </c>
      <c r="I37">
        <v>4.9137349342877563</v>
      </c>
    </row>
    <row r="38" spans="4:13" x14ac:dyDescent="0.25">
      <c r="D38" t="s">
        <v>26</v>
      </c>
      <c r="E38">
        <v>0.44444444444444442</v>
      </c>
      <c r="H38" t="s">
        <v>32</v>
      </c>
      <c r="I38">
        <v>6.3018705900635084</v>
      </c>
    </row>
    <row r="39" spans="4:13" x14ac:dyDescent="0.25">
      <c r="D39" t="s">
        <v>27</v>
      </c>
      <c r="E39">
        <v>10000</v>
      </c>
      <c r="H39" t="s">
        <v>33</v>
      </c>
      <c r="I39">
        <v>8.3073869652296199</v>
      </c>
    </row>
    <row r="40" spans="4:13" x14ac:dyDescent="0.25">
      <c r="D40" t="s">
        <v>28</v>
      </c>
      <c r="E40">
        <v>77.132548653257118</v>
      </c>
      <c r="H40" t="s">
        <v>34</v>
      </c>
      <c r="I40">
        <v>6.9035255026133413</v>
      </c>
    </row>
    <row r="44" spans="4:13" x14ac:dyDescent="0.25">
      <c r="D44" t="s">
        <v>39</v>
      </c>
    </row>
    <row r="45" spans="4:13" x14ac:dyDescent="0.25">
      <c r="D45" t="s">
        <v>30</v>
      </c>
      <c r="E45">
        <v>5</v>
      </c>
      <c r="H45" t="s">
        <v>35</v>
      </c>
      <c r="I45">
        <v>3.2302592589208444E-2</v>
      </c>
    </row>
    <row r="46" spans="4:13" x14ac:dyDescent="0.25">
      <c r="D46" t="s">
        <v>29</v>
      </c>
      <c r="E46" s="5">
        <v>3.4269166792087855</v>
      </c>
      <c r="H46" t="s">
        <v>47</v>
      </c>
      <c r="I46">
        <v>15</v>
      </c>
    </row>
    <row r="47" spans="4:13" x14ac:dyDescent="0.25">
      <c r="D47" t="s">
        <v>31</v>
      </c>
      <c r="E47">
        <v>4.2134583396043928</v>
      </c>
    </row>
    <row r="48" spans="4:13" x14ac:dyDescent="0.25">
      <c r="D48" t="s">
        <v>32</v>
      </c>
      <c r="E48">
        <v>2.5291213434459001</v>
      </c>
    </row>
    <row r="49" spans="4:5" x14ac:dyDescent="0.25">
      <c r="D49" t="s">
        <v>33</v>
      </c>
      <c r="E49">
        <v>3.2302592589208444E-2</v>
      </c>
    </row>
    <row r="50" spans="4:5" x14ac:dyDescent="0.25">
      <c r="D50" t="s">
        <v>34</v>
      </c>
      <c r="E50">
        <v>1.7800757181888924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" workbookViewId="0">
      <selection activeCell="I18" sqref="I18"/>
    </sheetView>
  </sheetViews>
  <sheetFormatPr defaultRowHeight="15" x14ac:dyDescent="0.25"/>
  <cols>
    <col min="4" max="4" width="11.5703125" bestFit="1" customWidth="1"/>
    <col min="5" max="5" width="22.7109375" bestFit="1" customWidth="1"/>
    <col min="8" max="8" width="12.140625" bestFit="1" customWidth="1"/>
    <col min="9" max="9" width="19.85546875" bestFit="1" customWidth="1"/>
    <col min="12" max="12" width="12.7109375" bestFit="1" customWidth="1"/>
  </cols>
  <sheetData>
    <row r="1" spans="1:13" x14ac:dyDescent="0.25">
      <c r="A1" t="s">
        <v>0</v>
      </c>
      <c r="B1" s="2">
        <v>4</v>
      </c>
      <c r="D1" t="s">
        <v>11</v>
      </c>
      <c r="E1" s="2">
        <v>20</v>
      </c>
      <c r="H1" t="s">
        <v>10</v>
      </c>
      <c r="I1" s="1">
        <f xml:space="preserve"> 1200*B11</f>
        <v>12</v>
      </c>
    </row>
    <row r="2" spans="1:13" x14ac:dyDescent="0.25">
      <c r="A2" t="s">
        <v>1</v>
      </c>
      <c r="B2" s="2">
        <v>1</v>
      </c>
      <c r="D2" t="s">
        <v>12</v>
      </c>
      <c r="E2" s="2">
        <v>15</v>
      </c>
      <c r="H2" t="s">
        <v>6</v>
      </c>
      <c r="I2" s="1">
        <f>B8*B4</f>
        <v>0</v>
      </c>
    </row>
    <row r="3" spans="1:13" x14ac:dyDescent="0.25">
      <c r="A3" t="s">
        <v>2</v>
      </c>
      <c r="B3" s="2">
        <v>1</v>
      </c>
      <c r="D3" t="s">
        <v>13</v>
      </c>
      <c r="E3" s="2">
        <v>13</v>
      </c>
      <c r="H3" t="s">
        <v>17</v>
      </c>
      <c r="I3" s="1">
        <f>B1*B4+B2*B4+B12*B4</f>
        <v>6</v>
      </c>
    </row>
    <row r="4" spans="1:13" x14ac:dyDescent="0.25">
      <c r="A4" t="s">
        <v>3</v>
      </c>
      <c r="B4" s="2">
        <v>1</v>
      </c>
      <c r="D4" t="s">
        <v>14</v>
      </c>
      <c r="E4" s="2">
        <v>11</v>
      </c>
      <c r="H4" t="s">
        <v>18</v>
      </c>
      <c r="I4" s="1">
        <f>3.45*B5</f>
        <v>15.525</v>
      </c>
    </row>
    <row r="5" spans="1:13" x14ac:dyDescent="0.25">
      <c r="A5" t="s">
        <v>43</v>
      </c>
      <c r="B5" s="2">
        <f xml:space="preserve"> 4.5*B2</f>
        <v>4.5</v>
      </c>
      <c r="D5" t="s">
        <v>15</v>
      </c>
      <c r="E5" s="2">
        <f>E3</f>
        <v>13</v>
      </c>
      <c r="H5" t="s">
        <v>19</v>
      </c>
      <c r="I5" s="1">
        <f xml:space="preserve"> 9.1*B6</f>
        <v>22.75</v>
      </c>
    </row>
    <row r="6" spans="1:13" x14ac:dyDescent="0.25">
      <c r="A6" t="s">
        <v>4</v>
      </c>
      <c r="B6" s="2">
        <f xml:space="preserve"> 2.5*B2</f>
        <v>2.5</v>
      </c>
      <c r="H6" t="s">
        <v>20</v>
      </c>
      <c r="I6" s="1">
        <f>1/(1/I3 - 1/I5)</f>
        <v>8.1492537313432845</v>
      </c>
    </row>
    <row r="7" spans="1:13" x14ac:dyDescent="0.25">
      <c r="A7" t="s">
        <v>5</v>
      </c>
      <c r="B7" s="2">
        <f xml:space="preserve"> 165000*B2</f>
        <v>165000</v>
      </c>
      <c r="H7" t="s">
        <v>21</v>
      </c>
      <c r="I7" s="1">
        <f xml:space="preserve"> 1/(1/I1 + 1/I4)</f>
        <v>6.7683923705722071</v>
      </c>
    </row>
    <row r="8" spans="1:13" x14ac:dyDescent="0.25">
      <c r="A8" t="s">
        <v>16</v>
      </c>
      <c r="B8" s="2">
        <v>0</v>
      </c>
      <c r="H8" t="s">
        <v>22</v>
      </c>
      <c r="I8" s="1">
        <f xml:space="preserve"> I7+I2</f>
        <v>6.7683923705722071</v>
      </c>
    </row>
    <row r="9" spans="1:13" x14ac:dyDescent="0.25">
      <c r="A9" t="s">
        <v>7</v>
      </c>
      <c r="B9" s="2">
        <v>0</v>
      </c>
      <c r="H9" t="s">
        <v>23</v>
      </c>
      <c r="I9" s="1">
        <f xml:space="preserve"> 1/(1/I8 + 1/I5)</f>
        <v>5.2164401264625111</v>
      </c>
    </row>
    <row r="10" spans="1:13" x14ac:dyDescent="0.25">
      <c r="A10" t="s">
        <v>8</v>
      </c>
      <c r="B10" s="2">
        <v>1</v>
      </c>
    </row>
    <row r="11" spans="1:13" x14ac:dyDescent="0.25">
      <c r="A11" t="s">
        <v>9</v>
      </c>
      <c r="B11" s="2">
        <v>0.01</v>
      </c>
    </row>
    <row r="12" spans="1:13" x14ac:dyDescent="0.25">
      <c r="A12" t="s">
        <v>42</v>
      </c>
      <c r="B12" s="3">
        <v>1</v>
      </c>
      <c r="D12" t="s">
        <v>36</v>
      </c>
    </row>
    <row r="13" spans="1:13" x14ac:dyDescent="0.25">
      <c r="D13" t="s">
        <v>44</v>
      </c>
      <c r="E13">
        <v>10000</v>
      </c>
    </row>
    <row r="14" spans="1:13" x14ac:dyDescent="0.25">
      <c r="D14" t="s">
        <v>45</v>
      </c>
      <c r="E14">
        <v>-10000</v>
      </c>
      <c r="H14" t="s">
        <v>30</v>
      </c>
      <c r="I14">
        <f xml:space="preserve"> E4</f>
        <v>11</v>
      </c>
      <c r="L14" t="s">
        <v>35</v>
      </c>
      <c r="M14">
        <f xml:space="preserve"> I18</f>
        <v>15.000000000000009</v>
      </c>
    </row>
    <row r="15" spans="1:13" x14ac:dyDescent="0.25">
      <c r="D15" t="s">
        <v>24</v>
      </c>
      <c r="E15" s="1">
        <f xml:space="preserve"> 0.5*B9</f>
        <v>0</v>
      </c>
      <c r="H15" t="s">
        <v>29</v>
      </c>
      <c r="I15" s="5">
        <f xml:space="preserve"> (I14*((B7/3600)-0.5*(I9+I6))+E19)/((B7/3600)+0.5*(I9+I6))</f>
        <v>11.990967768237105</v>
      </c>
      <c r="L15" t="s">
        <v>47</v>
      </c>
      <c r="M15">
        <f xml:space="preserve"> IF(M14&lt;=E1+2,IF(M14&gt;=E2-2, M14, IF(E28&lt;&gt;1, E2, "Recalculate via step 4.")), IF(E28&lt;&gt; 2, E1, "Recalculate via step 4."))</f>
        <v>15.000000000000009</v>
      </c>
    </row>
    <row r="16" spans="1:13" x14ac:dyDescent="0.25">
      <c r="D16" t="s">
        <v>25</v>
      </c>
      <c r="E16" s="1">
        <f xml:space="preserve"> (B6/B5)*(0.5*B9+B10)</f>
        <v>0.55555555555555558</v>
      </c>
      <c r="H16" t="s">
        <v>31</v>
      </c>
      <c r="I16">
        <f xml:space="preserve"> AVERAGE(I14:I15)</f>
        <v>11.495483884118553</v>
      </c>
    </row>
    <row r="17" spans="4:9" x14ac:dyDescent="0.25">
      <c r="D17" t="s">
        <v>26</v>
      </c>
      <c r="E17" s="1">
        <f xml:space="preserve"> (1-(B6/B5)-(I2/9.1*B5))*(0.5*B9+B10)</f>
        <v>0.44444444444444442</v>
      </c>
      <c r="H17" t="s">
        <v>32</v>
      </c>
      <c r="I17">
        <f xml:space="preserve"> (I5*I16+E17+I2*E3+I7*(E5+(E15+E18)/I1))/(I5+I2+I7)</f>
        <v>12.928587924445242</v>
      </c>
    </row>
    <row r="18" spans="4:9" x14ac:dyDescent="0.25">
      <c r="D18" t="s">
        <v>27</v>
      </c>
      <c r="E18" s="4">
        <f>E27</f>
        <v>56.158672472987845</v>
      </c>
      <c r="H18" t="s">
        <v>33</v>
      </c>
      <c r="I18">
        <f xml:space="preserve"> (I4*I17+I1*E5+E15+E18)/(I4+I1)</f>
        <v>15.000000000000009</v>
      </c>
    </row>
    <row r="19" spans="4:9" x14ac:dyDescent="0.25">
      <c r="D19" t="s">
        <v>28</v>
      </c>
      <c r="E19">
        <f xml:space="preserve"> E16+I6*E3+(I9/I8)*(E17+I2*E3+I7*(((E15+E18)/I1) +E5))</f>
        <v>199.06447438666959</v>
      </c>
      <c r="H19" t="s">
        <v>34</v>
      </c>
      <c r="I19">
        <f xml:space="preserve"> 0.3*I18+0.7*I17</f>
        <v>13.550011547111673</v>
      </c>
    </row>
    <row r="24" spans="4:9" x14ac:dyDescent="0.25">
      <c r="D24" t="s">
        <v>37</v>
      </c>
    </row>
    <row r="25" spans="4:9" x14ac:dyDescent="0.25">
      <c r="D25" t="s">
        <v>38</v>
      </c>
      <c r="E25">
        <f xml:space="preserve"> 10*B2</f>
        <v>10</v>
      </c>
    </row>
    <row r="26" spans="4:9" x14ac:dyDescent="0.25">
      <c r="D26" t="s">
        <v>40</v>
      </c>
      <c r="E26">
        <v>12.742509225360916</v>
      </c>
    </row>
    <row r="27" spans="4:9" x14ac:dyDescent="0.25">
      <c r="D27" t="s">
        <v>41</v>
      </c>
      <c r="E27" s="4">
        <f>E25*(E2-I37)/(E26-I37)</f>
        <v>56.158672472987845</v>
      </c>
    </row>
    <row r="28" spans="4:9" x14ac:dyDescent="0.25">
      <c r="D28" t="s">
        <v>46</v>
      </c>
      <c r="E28">
        <f xml:space="preserve"> IF(E27&gt;=E14,IF(E27&lt;=E13, E27, 1),2)</f>
        <v>56.158672472987845</v>
      </c>
    </row>
    <row r="36" spans="4:9" x14ac:dyDescent="0.25">
      <c r="D36" t="s">
        <v>39</v>
      </c>
    </row>
    <row r="37" spans="4:9" x14ac:dyDescent="0.25">
      <c r="D37" t="s">
        <v>30</v>
      </c>
      <c r="E37">
        <v>11</v>
      </c>
      <c r="H37" t="s">
        <v>35</v>
      </c>
      <c r="I37">
        <v>12.253437366554714</v>
      </c>
    </row>
    <row r="38" spans="4:9" x14ac:dyDescent="0.25">
      <c r="D38" t="s">
        <v>29</v>
      </c>
      <c r="E38" s="5">
        <v>11.52611364919205</v>
      </c>
      <c r="H38" t="s">
        <v>47</v>
      </c>
      <c r="I38">
        <v>15</v>
      </c>
    </row>
    <row r="39" spans="4:9" x14ac:dyDescent="0.25">
      <c r="D39" t="s">
        <v>31</v>
      </c>
      <c r="E39">
        <v>11.263056824596024</v>
      </c>
    </row>
    <row r="40" spans="4:9" x14ac:dyDescent="0.25">
      <c r="D40" t="s">
        <v>32</v>
      </c>
      <c r="E40">
        <v>11.676384123311976</v>
      </c>
    </row>
    <row r="41" spans="4:9" x14ac:dyDescent="0.25">
      <c r="D41" t="s">
        <v>33</v>
      </c>
      <c r="E41">
        <v>12.253437366554714</v>
      </c>
    </row>
    <row r="42" spans="4:9" x14ac:dyDescent="0.25">
      <c r="D42" t="s">
        <v>34</v>
      </c>
      <c r="E42">
        <v>11.849500096284798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18" sqref="I18"/>
    </sheetView>
  </sheetViews>
  <sheetFormatPr defaultRowHeight="15" x14ac:dyDescent="0.25"/>
  <cols>
    <col min="4" max="4" width="11.5703125" bestFit="1" customWidth="1"/>
    <col min="5" max="5" width="22.7109375" bestFit="1" customWidth="1"/>
    <col min="8" max="8" width="12.140625" bestFit="1" customWidth="1"/>
    <col min="9" max="9" width="19.85546875" bestFit="1" customWidth="1"/>
    <col min="12" max="12" width="12.7109375" bestFit="1" customWidth="1"/>
  </cols>
  <sheetData>
    <row r="1" spans="1:13" x14ac:dyDescent="0.25">
      <c r="A1" t="s">
        <v>0</v>
      </c>
      <c r="B1" s="2">
        <v>4</v>
      </c>
      <c r="D1" t="s">
        <v>11</v>
      </c>
      <c r="E1" s="2">
        <v>20</v>
      </c>
      <c r="H1" t="s">
        <v>10</v>
      </c>
      <c r="I1" s="1">
        <f xml:space="preserve"> 1200*B11</f>
        <v>12</v>
      </c>
    </row>
    <row r="2" spans="1:13" x14ac:dyDescent="0.25">
      <c r="A2" t="s">
        <v>1</v>
      </c>
      <c r="B2" s="2">
        <v>1</v>
      </c>
      <c r="D2" t="s">
        <v>12</v>
      </c>
      <c r="E2" s="2">
        <v>15</v>
      </c>
      <c r="H2" t="s">
        <v>6</v>
      </c>
      <c r="I2" s="1">
        <f>B8*B4</f>
        <v>0</v>
      </c>
    </row>
    <row r="3" spans="1:13" x14ac:dyDescent="0.25">
      <c r="A3" t="s">
        <v>2</v>
      </c>
      <c r="B3" s="2">
        <v>1</v>
      </c>
      <c r="D3" t="s">
        <v>13</v>
      </c>
      <c r="E3" s="2">
        <v>25</v>
      </c>
      <c r="H3" t="s">
        <v>17</v>
      </c>
      <c r="I3" s="1">
        <f>B1*B4+B2*B4+B12*B4</f>
        <v>6</v>
      </c>
    </row>
    <row r="4" spans="1:13" x14ac:dyDescent="0.25">
      <c r="A4" t="s">
        <v>3</v>
      </c>
      <c r="B4" s="2">
        <v>1</v>
      </c>
      <c r="D4" t="s">
        <v>14</v>
      </c>
      <c r="E4" s="2">
        <v>17</v>
      </c>
      <c r="H4" t="s">
        <v>18</v>
      </c>
      <c r="I4" s="1">
        <f>3.45*B5</f>
        <v>15.525</v>
      </c>
    </row>
    <row r="5" spans="1:13" x14ac:dyDescent="0.25">
      <c r="A5" t="s">
        <v>43</v>
      </c>
      <c r="B5" s="2">
        <f xml:space="preserve"> 4.5*B2</f>
        <v>4.5</v>
      </c>
      <c r="D5" t="s">
        <v>15</v>
      </c>
      <c r="E5" s="2">
        <f>E3</f>
        <v>25</v>
      </c>
      <c r="H5" t="s">
        <v>19</v>
      </c>
      <c r="I5" s="1">
        <f xml:space="preserve"> 9.1*B6</f>
        <v>22.75</v>
      </c>
    </row>
    <row r="6" spans="1:13" x14ac:dyDescent="0.25">
      <c r="A6" t="s">
        <v>4</v>
      </c>
      <c r="B6" s="2">
        <f xml:space="preserve"> 2.5*B2</f>
        <v>2.5</v>
      </c>
      <c r="H6" t="s">
        <v>20</v>
      </c>
      <c r="I6" s="1">
        <f>1/(1/I3 - 1/I5)</f>
        <v>8.1492537313432845</v>
      </c>
    </row>
    <row r="7" spans="1:13" x14ac:dyDescent="0.25">
      <c r="A7" t="s">
        <v>5</v>
      </c>
      <c r="B7" s="2">
        <f xml:space="preserve"> 165000*B2</f>
        <v>165000</v>
      </c>
      <c r="H7" t="s">
        <v>21</v>
      </c>
      <c r="I7" s="1">
        <f xml:space="preserve"> 1/(1/I1 + 1/I4)</f>
        <v>6.7683923705722071</v>
      </c>
    </row>
    <row r="8" spans="1:13" x14ac:dyDescent="0.25">
      <c r="A8" t="s">
        <v>16</v>
      </c>
      <c r="B8" s="2">
        <v>0</v>
      </c>
      <c r="H8" t="s">
        <v>22</v>
      </c>
      <c r="I8" s="1">
        <f xml:space="preserve"> I7+I2</f>
        <v>6.7683923705722071</v>
      </c>
    </row>
    <row r="9" spans="1:13" x14ac:dyDescent="0.25">
      <c r="A9" t="s">
        <v>7</v>
      </c>
      <c r="B9" s="2">
        <v>0</v>
      </c>
      <c r="H9" t="s">
        <v>23</v>
      </c>
      <c r="I9" s="1">
        <f xml:space="preserve"> 1/(1/I8 + 1/I5)</f>
        <v>5.2164401264625111</v>
      </c>
    </row>
    <row r="10" spans="1:13" x14ac:dyDescent="0.25">
      <c r="A10" t="s">
        <v>8</v>
      </c>
      <c r="B10" s="2">
        <v>1</v>
      </c>
    </row>
    <row r="11" spans="1:13" x14ac:dyDescent="0.25">
      <c r="A11" t="s">
        <v>9</v>
      </c>
      <c r="B11" s="2">
        <v>0.01</v>
      </c>
    </row>
    <row r="12" spans="1:13" x14ac:dyDescent="0.25">
      <c r="A12" t="s">
        <v>42</v>
      </c>
      <c r="B12" s="3">
        <v>1</v>
      </c>
      <c r="D12" t="s">
        <v>36</v>
      </c>
    </row>
    <row r="13" spans="1:13" x14ac:dyDescent="0.25">
      <c r="D13" t="s">
        <v>44</v>
      </c>
      <c r="E13">
        <v>10000</v>
      </c>
    </row>
    <row r="14" spans="1:13" x14ac:dyDescent="0.25">
      <c r="D14" t="s">
        <v>45</v>
      </c>
      <c r="E14">
        <v>-10000</v>
      </c>
      <c r="H14" t="s">
        <v>30</v>
      </c>
      <c r="I14">
        <f xml:space="preserve"> E4</f>
        <v>17</v>
      </c>
      <c r="L14" t="s">
        <v>35</v>
      </c>
      <c r="M14">
        <f xml:space="preserve"> I18</f>
        <v>21.977121401306796</v>
      </c>
    </row>
    <row r="15" spans="1:13" x14ac:dyDescent="0.25">
      <c r="D15" t="s">
        <v>24</v>
      </c>
      <c r="E15" s="1">
        <f xml:space="preserve"> 0.5*B9</f>
        <v>0</v>
      </c>
      <c r="H15" t="s">
        <v>29</v>
      </c>
      <c r="I15" s="5">
        <f xml:space="preserve"> (I14*((B7/3600)-0.5*(I9+I6))+E19)/((B7/3600)+0.5*(I9+I6))</f>
        <v>19.05315089269282</v>
      </c>
      <c r="L15" t="s">
        <v>47</v>
      </c>
      <c r="M15">
        <f xml:space="preserve"> IF(M14&lt;=E1+2,IF(M14&gt;=E2-2, M14, IF(E28&lt;&gt;1, E2, "Recalculate via step 4.")), IF(E28&lt;&gt; 2, E1, "Recalculate via step 4."))</f>
        <v>21.977121401306796</v>
      </c>
    </row>
    <row r="16" spans="1:13" x14ac:dyDescent="0.25">
      <c r="D16" t="s">
        <v>25</v>
      </c>
      <c r="E16" s="1">
        <f xml:space="preserve"> (B6/B5)*(0.5*B9+B10)</f>
        <v>0.55555555555555558</v>
      </c>
      <c r="H16" t="s">
        <v>31</v>
      </c>
      <c r="I16">
        <f xml:space="preserve"> AVERAGE(I14:I15)</f>
        <v>18.02657544634641</v>
      </c>
    </row>
    <row r="17" spans="4:9" x14ac:dyDescent="0.25">
      <c r="D17" t="s">
        <v>26</v>
      </c>
      <c r="E17" s="1">
        <f xml:space="preserve"> (1-(B6/B5)-(I2/9.1*B5))*(0.5*B9+B10)</f>
        <v>0.44444444444444442</v>
      </c>
      <c r="H17" t="s">
        <v>32</v>
      </c>
      <c r="I17">
        <f xml:space="preserve"> (I5*I16+E17+I2*E3+I7*(E5+(E15+E18)/I1))/(I5+I2+I7)</f>
        <v>19.640596880577746</v>
      </c>
    </row>
    <row r="18" spans="4:9" x14ac:dyDescent="0.25">
      <c r="D18" t="s">
        <v>27</v>
      </c>
      <c r="E18" s="4">
        <v>0</v>
      </c>
      <c r="H18" t="s">
        <v>33</v>
      </c>
      <c r="I18">
        <f xml:space="preserve"> (I4*I17+I1*E5+E15+E18)/(I4+I1)</f>
        <v>21.977121401306796</v>
      </c>
    </row>
    <row r="19" spans="4:9" x14ac:dyDescent="0.25">
      <c r="D19" t="s">
        <v>28</v>
      </c>
      <c r="E19">
        <f xml:space="preserve"> E16+I6*E3+(I9/I8)*(E17+I2*E3+I7*(((E15+E18)/I1) +E5))</f>
        <v>335.04043796892586</v>
      </c>
      <c r="H19" t="s">
        <v>34</v>
      </c>
      <c r="I19">
        <f xml:space="preserve"> 0.3*I18+0.7*I17</f>
        <v>20.341554236796462</v>
      </c>
    </row>
    <row r="24" spans="4:9" x14ac:dyDescent="0.25">
      <c r="D24" t="s">
        <v>37</v>
      </c>
    </row>
    <row r="25" spans="4:9" x14ac:dyDescent="0.25">
      <c r="D25" t="s">
        <v>38</v>
      </c>
      <c r="E25">
        <f xml:space="preserve"> 10*B2</f>
        <v>10</v>
      </c>
    </row>
    <row r="26" spans="4:9" x14ac:dyDescent="0.25">
      <c r="D26" t="s">
        <v>40</v>
      </c>
      <c r="E26">
        <v>22.466193260112998</v>
      </c>
    </row>
    <row r="27" spans="4:9" x14ac:dyDescent="0.25">
      <c r="D27" t="s">
        <v>41</v>
      </c>
      <c r="E27" s="4">
        <f>E25*(E1-I37)/(E26-I37)</f>
        <v>-40.425989876678692</v>
      </c>
    </row>
    <row r="28" spans="4:9" x14ac:dyDescent="0.25">
      <c r="D28" t="s">
        <v>46</v>
      </c>
      <c r="E28">
        <f xml:space="preserve"> IF(E27&gt;=E14,IF(E27&lt;=E13, E27, 1),2)</f>
        <v>-40.425989876678692</v>
      </c>
    </row>
    <row r="36" spans="4:9" x14ac:dyDescent="0.25">
      <c r="D36" t="s">
        <v>39</v>
      </c>
    </row>
    <row r="37" spans="4:9" x14ac:dyDescent="0.25">
      <c r="D37" t="s">
        <v>30</v>
      </c>
      <c r="E37">
        <v>17</v>
      </c>
      <c r="H37" t="s">
        <v>35</v>
      </c>
      <c r="I37">
        <v>21.977121401306796</v>
      </c>
    </row>
    <row r="38" spans="4:9" x14ac:dyDescent="0.25">
      <c r="D38" t="s">
        <v>29</v>
      </c>
      <c r="E38" s="5">
        <v>19.05315089269282</v>
      </c>
      <c r="H38" t="s">
        <v>47</v>
      </c>
      <c r="I38">
        <v>21.977121401306796</v>
      </c>
    </row>
    <row r="39" spans="4:9" x14ac:dyDescent="0.25">
      <c r="D39" t="s">
        <v>31</v>
      </c>
      <c r="E39">
        <v>18.02657544634641</v>
      </c>
    </row>
    <row r="40" spans="4:9" x14ac:dyDescent="0.25">
      <c r="D40" t="s">
        <v>32</v>
      </c>
      <c r="E40">
        <v>19.640596880577746</v>
      </c>
    </row>
    <row r="41" spans="4:9" x14ac:dyDescent="0.25">
      <c r="D41" t="s">
        <v>33</v>
      </c>
      <c r="E41">
        <v>21.977121401306796</v>
      </c>
    </row>
    <row r="42" spans="4:9" x14ac:dyDescent="0.25">
      <c r="D42" t="s">
        <v>34</v>
      </c>
      <c r="E42">
        <v>20.341554236796462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15" sqref="I15"/>
    </sheetView>
  </sheetViews>
  <sheetFormatPr defaultRowHeight="15" x14ac:dyDescent="0.25"/>
  <cols>
    <col min="4" max="4" width="11.5703125" bestFit="1" customWidth="1"/>
    <col min="5" max="5" width="22.7109375" bestFit="1" customWidth="1"/>
    <col min="8" max="8" width="12.140625" bestFit="1" customWidth="1"/>
    <col min="9" max="9" width="19.85546875" bestFit="1" customWidth="1"/>
    <col min="12" max="12" width="12.7109375" bestFit="1" customWidth="1"/>
  </cols>
  <sheetData>
    <row r="1" spans="1:13" x14ac:dyDescent="0.25">
      <c r="A1" t="s">
        <v>0</v>
      </c>
      <c r="B1" s="2">
        <v>4</v>
      </c>
      <c r="D1" t="s">
        <v>11</v>
      </c>
      <c r="E1" s="2">
        <v>20</v>
      </c>
      <c r="H1" t="s">
        <v>10</v>
      </c>
      <c r="I1" s="1">
        <f xml:space="preserve"> 1200*B11</f>
        <v>1200</v>
      </c>
    </row>
    <row r="2" spans="1:13" x14ac:dyDescent="0.25">
      <c r="A2" t="s">
        <v>1</v>
      </c>
      <c r="B2" s="2">
        <v>1</v>
      </c>
      <c r="D2" t="s">
        <v>12</v>
      </c>
      <c r="E2" s="2">
        <v>15</v>
      </c>
      <c r="H2" t="s">
        <v>6</v>
      </c>
      <c r="I2" s="1">
        <f>B8*B4</f>
        <v>0</v>
      </c>
    </row>
    <row r="3" spans="1:13" x14ac:dyDescent="0.25">
      <c r="A3" t="s">
        <v>2</v>
      </c>
      <c r="B3" s="2">
        <v>1</v>
      </c>
      <c r="D3" t="s">
        <v>13</v>
      </c>
      <c r="E3" s="2">
        <v>25</v>
      </c>
      <c r="H3" t="s">
        <v>17</v>
      </c>
      <c r="I3" s="1">
        <f>B1*B4+B2*B4+B12*B4</f>
        <v>6</v>
      </c>
    </row>
    <row r="4" spans="1:13" x14ac:dyDescent="0.25">
      <c r="A4" t="s">
        <v>3</v>
      </c>
      <c r="B4" s="2">
        <v>1</v>
      </c>
      <c r="D4" t="s">
        <v>14</v>
      </c>
      <c r="E4" s="2">
        <v>17</v>
      </c>
      <c r="H4" t="s">
        <v>18</v>
      </c>
      <c r="I4" s="1">
        <f>3.45*B5</f>
        <v>15.525</v>
      </c>
    </row>
    <row r="5" spans="1:13" x14ac:dyDescent="0.25">
      <c r="A5" t="s">
        <v>43</v>
      </c>
      <c r="B5" s="2">
        <f xml:space="preserve"> 4.5*B2</f>
        <v>4.5</v>
      </c>
      <c r="D5" t="s">
        <v>15</v>
      </c>
      <c r="E5" s="2">
        <f>E3</f>
        <v>25</v>
      </c>
      <c r="H5" t="s">
        <v>19</v>
      </c>
      <c r="I5" s="1">
        <f xml:space="preserve"> 9.1*B6</f>
        <v>22.75</v>
      </c>
    </row>
    <row r="6" spans="1:13" x14ac:dyDescent="0.25">
      <c r="A6" t="s">
        <v>4</v>
      </c>
      <c r="B6" s="2">
        <f xml:space="preserve"> 2.5*B2</f>
        <v>2.5</v>
      </c>
      <c r="H6" t="s">
        <v>20</v>
      </c>
      <c r="I6" s="1">
        <f>1/(1/I3 - 1/I5)</f>
        <v>8.1492537313432845</v>
      </c>
    </row>
    <row r="7" spans="1:13" x14ac:dyDescent="0.25">
      <c r="A7" t="s">
        <v>5</v>
      </c>
      <c r="B7" s="2">
        <f xml:space="preserve"> 165000*B2</f>
        <v>165000</v>
      </c>
      <c r="H7" t="s">
        <v>21</v>
      </c>
      <c r="I7" s="1">
        <f xml:space="preserve"> 1/(1/I1 + 1/I4)</f>
        <v>15.326710680570123</v>
      </c>
    </row>
    <row r="8" spans="1:13" x14ac:dyDescent="0.25">
      <c r="A8" t="s">
        <v>16</v>
      </c>
      <c r="B8" s="2">
        <v>0</v>
      </c>
      <c r="H8" t="s">
        <v>22</v>
      </c>
      <c r="I8" s="1">
        <f xml:space="preserve"> I7+I2</f>
        <v>15.326710680570123</v>
      </c>
    </row>
    <row r="9" spans="1:13" x14ac:dyDescent="0.25">
      <c r="A9" t="s">
        <v>7</v>
      </c>
      <c r="B9" s="2">
        <v>0</v>
      </c>
      <c r="H9" t="s">
        <v>23</v>
      </c>
      <c r="I9" s="1">
        <f xml:space="preserve"> 1/(1/I8 + 1/I5)</f>
        <v>9.1573736741103779</v>
      </c>
    </row>
    <row r="10" spans="1:13" x14ac:dyDescent="0.25">
      <c r="A10" t="s">
        <v>8</v>
      </c>
      <c r="B10" s="2">
        <v>1</v>
      </c>
    </row>
    <row r="11" spans="1:13" x14ac:dyDescent="0.25">
      <c r="A11" t="s">
        <v>9</v>
      </c>
      <c r="B11" s="2">
        <v>1</v>
      </c>
    </row>
    <row r="12" spans="1:13" x14ac:dyDescent="0.25">
      <c r="A12" t="s">
        <v>42</v>
      </c>
      <c r="B12" s="3">
        <v>1</v>
      </c>
      <c r="D12" t="s">
        <v>36</v>
      </c>
    </row>
    <row r="13" spans="1:13" x14ac:dyDescent="0.25">
      <c r="D13" t="s">
        <v>44</v>
      </c>
      <c r="E13">
        <v>10000</v>
      </c>
    </row>
    <row r="14" spans="1:13" x14ac:dyDescent="0.25">
      <c r="D14" t="s">
        <v>45</v>
      </c>
      <c r="E14">
        <v>-10000</v>
      </c>
      <c r="H14" t="s">
        <v>30</v>
      </c>
      <c r="I14">
        <f xml:space="preserve"> E4</f>
        <v>17</v>
      </c>
      <c r="L14" t="s">
        <v>35</v>
      </c>
      <c r="M14">
        <f xml:space="preserve"> I18</f>
        <v>20.000000000000693</v>
      </c>
    </row>
    <row r="15" spans="1:13" x14ac:dyDescent="0.25">
      <c r="D15" t="s">
        <v>24</v>
      </c>
      <c r="E15" s="1">
        <f xml:space="preserve"> 0.5*B9</f>
        <v>0</v>
      </c>
      <c r="H15" t="s">
        <v>29</v>
      </c>
      <c r="I15" s="5">
        <f xml:space="preserve"> (I14*((B7/3600)-0.5*(I9+I6))+E19)/((B7/3600)+0.5*(I9+I6))</f>
        <v>18.718524252084816</v>
      </c>
      <c r="L15" t="s">
        <v>47</v>
      </c>
      <c r="M15">
        <f xml:space="preserve"> IF(M14&lt;=E1+2,IF(M14&gt;=E2-2, M14, IF(E28&lt;&gt;1, E2, "Recalculate via step 4.")), IF(E28&lt;&gt; 2, E1, "Recalculate via step 4."))</f>
        <v>20.000000000000693</v>
      </c>
    </row>
    <row r="16" spans="1:13" x14ac:dyDescent="0.25">
      <c r="D16" t="s">
        <v>25</v>
      </c>
      <c r="E16" s="1">
        <f xml:space="preserve"> (B6/B5)*(0.5*B9+B10)</f>
        <v>0.55555555555555558</v>
      </c>
      <c r="H16" t="s">
        <v>31</v>
      </c>
      <c r="I16">
        <f xml:space="preserve"> AVERAGE(I14:I15)</f>
        <v>17.85926212604241</v>
      </c>
    </row>
    <row r="17" spans="4:9" x14ac:dyDescent="0.25">
      <c r="D17" t="s">
        <v>26</v>
      </c>
      <c r="E17" s="1">
        <f xml:space="preserve"> (1-(B6/B5)-(I2/9.1*B5))*(0.5*B9+B10)</f>
        <v>0.44444444444444442</v>
      </c>
      <c r="H17" t="s">
        <v>32</v>
      </c>
      <c r="I17">
        <f xml:space="preserve"> (I5*I16+E17+I2*E3+I7*(E5+(E15+E18)/I1))/(I5+I2+I7)</f>
        <v>18.739194194955459</v>
      </c>
    </row>
    <row r="18" spans="4:9" x14ac:dyDescent="0.25">
      <c r="D18" t="s">
        <v>27</v>
      </c>
      <c r="E18" s="4">
        <f>E27</f>
        <v>-5980.4259898758373</v>
      </c>
      <c r="H18" t="s">
        <v>33</v>
      </c>
      <c r="I18">
        <f xml:space="preserve"> (I4*I17+I1*E5+E15+E18)/(I4+I1)</f>
        <v>20.000000000000693</v>
      </c>
    </row>
    <row r="19" spans="4:9" x14ac:dyDescent="0.25">
      <c r="D19" t="s">
        <v>28</v>
      </c>
      <c r="E19">
        <f xml:space="preserve"> E16+I6*E3+(I9/I8)*(E17+I2*E3+I7*(((E15+E18)/I1) +E5))</f>
        <v>387.84929023896677</v>
      </c>
      <c r="H19" t="s">
        <v>34</v>
      </c>
      <c r="I19">
        <f xml:space="preserve"> 0.3*I18+0.7*I17</f>
        <v>19.117435936469029</v>
      </c>
    </row>
    <row r="24" spans="4:9" x14ac:dyDescent="0.25">
      <c r="D24" t="s">
        <v>37</v>
      </c>
    </row>
    <row r="25" spans="4:9" x14ac:dyDescent="0.25">
      <c r="D25" t="s">
        <v>38</v>
      </c>
      <c r="E25">
        <f xml:space="preserve"> 10*B2</f>
        <v>10</v>
      </c>
    </row>
    <row r="26" spans="4:9" x14ac:dyDescent="0.25">
      <c r="D26" t="s">
        <v>40</v>
      </c>
      <c r="E26">
        <v>24.957128049428746</v>
      </c>
    </row>
    <row r="27" spans="4:9" x14ac:dyDescent="0.25">
      <c r="D27" t="s">
        <v>41</v>
      </c>
      <c r="E27" s="4">
        <f>E25*(E1-I37)/(E26-I37)</f>
        <v>-5980.4259898758373</v>
      </c>
    </row>
    <row r="28" spans="4:9" x14ac:dyDescent="0.25">
      <c r="D28" t="s">
        <v>46</v>
      </c>
      <c r="E28">
        <f xml:space="preserve"> IF(E27&gt;=E14,IF(E27&lt;=E13, E27, 1),2)</f>
        <v>-5980.4259898758373</v>
      </c>
    </row>
    <row r="36" spans="4:9" x14ac:dyDescent="0.25">
      <c r="D36" t="s">
        <v>39</v>
      </c>
    </row>
    <row r="37" spans="4:9" x14ac:dyDescent="0.25">
      <c r="D37" t="s">
        <v>30</v>
      </c>
      <c r="E37">
        <v>17</v>
      </c>
      <c r="H37" t="s">
        <v>35</v>
      </c>
      <c r="I37">
        <v>24.948852965056105</v>
      </c>
    </row>
    <row r="38" spans="4:9" x14ac:dyDescent="0.25">
      <c r="D38" t="s">
        <v>29</v>
      </c>
      <c r="E38" s="5">
        <v>19.556114721474042</v>
      </c>
      <c r="H38" t="s">
        <v>47</v>
      </c>
      <c r="I38" t="s">
        <v>48</v>
      </c>
    </row>
    <row r="39" spans="4:9" x14ac:dyDescent="0.25">
      <c r="D39" t="s">
        <v>31</v>
      </c>
      <c r="E39">
        <v>18.278057360737023</v>
      </c>
    </row>
    <row r="40" spans="4:9" x14ac:dyDescent="0.25">
      <c r="D40" t="s">
        <v>32</v>
      </c>
      <c r="E40">
        <v>20.995458959731096</v>
      </c>
    </row>
    <row r="41" spans="4:9" x14ac:dyDescent="0.25">
      <c r="D41" t="s">
        <v>33</v>
      </c>
      <c r="E41">
        <v>24.948852965056105</v>
      </c>
    </row>
    <row r="42" spans="4:9" x14ac:dyDescent="0.25">
      <c r="D42" t="s">
        <v>34</v>
      </c>
      <c r="E42">
        <v>22.181477161328598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I18" sqref="I18"/>
    </sheetView>
  </sheetViews>
  <sheetFormatPr defaultRowHeight="15" x14ac:dyDescent="0.25"/>
  <cols>
    <col min="4" max="4" width="11.5703125" bestFit="1" customWidth="1"/>
    <col min="5" max="5" width="22.7109375" bestFit="1" customWidth="1"/>
    <col min="8" max="8" width="12.140625" bestFit="1" customWidth="1"/>
    <col min="9" max="9" width="19.85546875" bestFit="1" customWidth="1"/>
    <col min="12" max="12" width="12.7109375" bestFit="1" customWidth="1"/>
  </cols>
  <sheetData>
    <row r="1" spans="1:13" x14ac:dyDescent="0.25">
      <c r="A1" t="s">
        <v>0</v>
      </c>
      <c r="B1" s="2">
        <v>4</v>
      </c>
      <c r="D1" t="s">
        <v>11</v>
      </c>
      <c r="E1" s="2">
        <v>20</v>
      </c>
      <c r="H1" t="s">
        <v>10</v>
      </c>
      <c r="I1" s="1">
        <f xml:space="preserve"> 1200*B11</f>
        <v>1200</v>
      </c>
    </row>
    <row r="2" spans="1:13" x14ac:dyDescent="0.25">
      <c r="A2" t="s">
        <v>1</v>
      </c>
      <c r="B2" s="2">
        <v>1</v>
      </c>
      <c r="D2" t="s">
        <v>12</v>
      </c>
      <c r="E2" s="2">
        <v>15</v>
      </c>
      <c r="H2" t="s">
        <v>6</v>
      </c>
      <c r="I2" s="1">
        <f>B8*B4</f>
        <v>0</v>
      </c>
    </row>
    <row r="3" spans="1:13" x14ac:dyDescent="0.25">
      <c r="A3" t="s">
        <v>2</v>
      </c>
      <c r="B3" s="2">
        <v>1</v>
      </c>
      <c r="D3" t="s">
        <v>13</v>
      </c>
      <c r="E3" s="2">
        <v>30</v>
      </c>
      <c r="H3" t="s">
        <v>17</v>
      </c>
      <c r="I3" s="1">
        <f>B1*B4+B2*B4+B12*B4</f>
        <v>6</v>
      </c>
    </row>
    <row r="4" spans="1:13" x14ac:dyDescent="0.25">
      <c r="A4" t="s">
        <v>3</v>
      </c>
      <c r="B4" s="2">
        <v>1</v>
      </c>
      <c r="D4" t="s">
        <v>14</v>
      </c>
      <c r="E4" s="2">
        <v>27</v>
      </c>
      <c r="H4" t="s">
        <v>18</v>
      </c>
      <c r="I4" s="1">
        <f>3.45*B5</f>
        <v>15.525</v>
      </c>
    </row>
    <row r="5" spans="1:13" x14ac:dyDescent="0.25">
      <c r="A5" t="s">
        <v>43</v>
      </c>
      <c r="B5" s="2">
        <f xml:space="preserve"> 4.5*B2</f>
        <v>4.5</v>
      </c>
      <c r="D5" t="s">
        <v>15</v>
      </c>
      <c r="E5" s="2">
        <v>30</v>
      </c>
      <c r="H5" t="s">
        <v>19</v>
      </c>
      <c r="I5" s="1">
        <f xml:space="preserve"> 9.1*B6</f>
        <v>22.75</v>
      </c>
    </row>
    <row r="6" spans="1:13" x14ac:dyDescent="0.25">
      <c r="A6" t="s">
        <v>4</v>
      </c>
      <c r="B6" s="2">
        <f xml:space="preserve"> 2.5*B2</f>
        <v>2.5</v>
      </c>
      <c r="H6" t="s">
        <v>20</v>
      </c>
      <c r="I6" s="1">
        <f>1/(1/I3 - 1/I5)</f>
        <v>8.1492537313432845</v>
      </c>
    </row>
    <row r="7" spans="1:13" x14ac:dyDescent="0.25">
      <c r="A7" t="s">
        <v>5</v>
      </c>
      <c r="B7" s="2">
        <f xml:space="preserve"> 165000*B2</f>
        <v>165000</v>
      </c>
      <c r="H7" t="s">
        <v>21</v>
      </c>
      <c r="I7" s="1">
        <f xml:space="preserve"> 1/(1/I1 + 1/I4)</f>
        <v>15.326710680570123</v>
      </c>
    </row>
    <row r="8" spans="1:13" x14ac:dyDescent="0.25">
      <c r="A8" t="s">
        <v>16</v>
      </c>
      <c r="B8" s="2">
        <v>0</v>
      </c>
      <c r="H8" t="s">
        <v>22</v>
      </c>
      <c r="I8" s="1">
        <f xml:space="preserve"> I7+I2</f>
        <v>15.326710680570123</v>
      </c>
    </row>
    <row r="9" spans="1:13" x14ac:dyDescent="0.25">
      <c r="A9" t="s">
        <v>7</v>
      </c>
      <c r="B9" s="2">
        <v>0</v>
      </c>
      <c r="H9" t="s">
        <v>23</v>
      </c>
      <c r="I9" s="1">
        <f xml:space="preserve"> 1/(1/I8 + 1/I5)</f>
        <v>9.1573736741103779</v>
      </c>
    </row>
    <row r="10" spans="1:13" x14ac:dyDescent="0.25">
      <c r="A10" t="s">
        <v>8</v>
      </c>
      <c r="B10" s="2">
        <v>1</v>
      </c>
    </row>
    <row r="11" spans="1:13" x14ac:dyDescent="0.25">
      <c r="A11" t="s">
        <v>9</v>
      </c>
      <c r="B11" s="2">
        <v>1</v>
      </c>
    </row>
    <row r="12" spans="1:13" x14ac:dyDescent="0.25">
      <c r="A12" t="s">
        <v>42</v>
      </c>
      <c r="B12" s="3">
        <v>1</v>
      </c>
      <c r="D12" t="s">
        <v>36</v>
      </c>
    </row>
    <row r="13" spans="1:13" x14ac:dyDescent="0.25">
      <c r="D13" t="s">
        <v>44</v>
      </c>
      <c r="E13">
        <v>10000</v>
      </c>
    </row>
    <row r="14" spans="1:13" x14ac:dyDescent="0.25">
      <c r="D14" t="s">
        <v>45</v>
      </c>
      <c r="E14">
        <v>-10000</v>
      </c>
      <c r="H14" t="s">
        <v>30</v>
      </c>
      <c r="I14">
        <f xml:space="preserve"> E4</f>
        <v>27</v>
      </c>
      <c r="L14" t="s">
        <v>35</v>
      </c>
      <c r="M14">
        <f xml:space="preserve"> I18</f>
        <v>21.705864603005345</v>
      </c>
    </row>
    <row r="15" spans="1:13" x14ac:dyDescent="0.25">
      <c r="D15" t="s">
        <v>24</v>
      </c>
      <c r="E15" s="1">
        <f xml:space="preserve"> 0.5*B9</f>
        <v>0</v>
      </c>
      <c r="H15" t="s">
        <v>29</v>
      </c>
      <c r="I15" s="5">
        <f xml:space="preserve"> (I14*((B7/3600)-0.5*(I9+I6))+E19)/((B7/3600)+0.5*(I9+I6))</f>
        <v>26.567408438928371</v>
      </c>
      <c r="L15" t="s">
        <v>47</v>
      </c>
      <c r="M15">
        <f xml:space="preserve"> IF(M14&lt;=E1+2,IF(M14&gt;=E2-2, M14, IF(E30&lt;&gt;1, E2, "Recalculate via step 4.")), IF(E30&lt;&gt; 2, E1, "Recalculate via step 4."))</f>
        <v>21.705864603005345</v>
      </c>
    </row>
    <row r="16" spans="1:13" x14ac:dyDescent="0.25">
      <c r="D16" t="s">
        <v>25</v>
      </c>
      <c r="E16" s="1">
        <f xml:space="preserve"> (B6/B5)*(0.5*B9+B10)</f>
        <v>0.55555555555555558</v>
      </c>
      <c r="H16" t="s">
        <v>31</v>
      </c>
      <c r="I16">
        <f xml:space="preserve"> AVERAGE(I14:I15)</f>
        <v>26.783704219464184</v>
      </c>
    </row>
    <row r="17" spans="4:9" x14ac:dyDescent="0.25">
      <c r="D17" t="s">
        <v>26</v>
      </c>
      <c r="E17" s="1">
        <f xml:space="preserve"> (1-(B6/B5)-(I2/9.1*B5))*(0.5*B9+B10)</f>
        <v>0.44444444444444442</v>
      </c>
      <c r="H17" t="s">
        <v>32</v>
      </c>
      <c r="I17">
        <f xml:space="preserve"> (I5*I16+E17+I2*E3+I7*(E5+(E15+E18)/I1))/(I5+I2+I7)</f>
        <v>24.735656783773027</v>
      </c>
    </row>
    <row r="18" spans="4:9" x14ac:dyDescent="0.25">
      <c r="D18" t="s">
        <v>27</v>
      </c>
      <c r="E18">
        <v>-10000</v>
      </c>
      <c r="H18" t="s">
        <v>33</v>
      </c>
      <c r="I18">
        <f xml:space="preserve"> (I4*I17+I1*E5+E15+E18)/(I4+I1)</f>
        <v>21.705864603005345</v>
      </c>
    </row>
    <row r="19" spans="4:9" x14ac:dyDescent="0.25">
      <c r="D19" t="s">
        <v>28</v>
      </c>
      <c r="E19">
        <f xml:space="preserve"> E16+I6*E3+(I9/I8)*(E17+I2*E3+I7*(((E15+E18)/I1) +E5))</f>
        <v>443.70847624836063</v>
      </c>
      <c r="H19" t="s">
        <v>34</v>
      </c>
      <c r="I19">
        <f xml:space="preserve"> 0.3*I18+0.7*I17</f>
        <v>23.826719129542724</v>
      </c>
    </row>
    <row r="24" spans="4:9" x14ac:dyDescent="0.25">
      <c r="D24" t="s">
        <v>37</v>
      </c>
    </row>
    <row r="25" spans="4:9" x14ac:dyDescent="0.25">
      <c r="D25" t="s">
        <v>38</v>
      </c>
      <c r="E25">
        <f xml:space="preserve"> 10*B2</f>
        <v>10</v>
      </c>
    </row>
    <row r="26" spans="4:9" x14ac:dyDescent="0.25">
      <c r="D26" t="s">
        <v>40</v>
      </c>
      <c r="E26">
        <v>29.989224060018401</v>
      </c>
    </row>
    <row r="28" spans="4:9" x14ac:dyDescent="0.25">
      <c r="D28" t="s">
        <v>49</v>
      </c>
    </row>
    <row r="29" spans="4:9" x14ac:dyDescent="0.25">
      <c r="D29" t="s">
        <v>41</v>
      </c>
      <c r="E29" s="4">
        <f>E25*(E1-I45)/(E26-I45)</f>
        <v>-12061.446779496269</v>
      </c>
    </row>
    <row r="30" spans="4:9" x14ac:dyDescent="0.25">
      <c r="D30" t="s">
        <v>46</v>
      </c>
      <c r="E30">
        <f xml:space="preserve"> IF(E29&gt;=E14,IF(E29&lt;=E13, E29, 1),2)</f>
        <v>2</v>
      </c>
    </row>
    <row r="31" spans="4:9" x14ac:dyDescent="0.25">
      <c r="E31" t="str">
        <f>IF(E30=1, "Heating power insufficient.", IF(E30=2, "Cooling power insufficient.", " "))</f>
        <v>Cooling power insufficient.</v>
      </c>
    </row>
    <row r="33" spans="4:13" x14ac:dyDescent="0.25">
      <c r="D33" t="s">
        <v>50</v>
      </c>
    </row>
    <row r="34" spans="4:13" x14ac:dyDescent="0.25">
      <c r="D34" t="s">
        <v>44</v>
      </c>
      <c r="E34">
        <v>10000</v>
      </c>
    </row>
    <row r="35" spans="4:13" x14ac:dyDescent="0.25">
      <c r="D35" t="s">
        <v>45</v>
      </c>
      <c r="E35">
        <v>-10000</v>
      </c>
      <c r="H35" t="s">
        <v>30</v>
      </c>
      <c r="I35">
        <v>27</v>
      </c>
      <c r="L35" t="s">
        <v>35</v>
      </c>
      <c r="M35" s="1">
        <v>21.705864603005345</v>
      </c>
    </row>
    <row r="36" spans="4:13" x14ac:dyDescent="0.25">
      <c r="D36" t="s">
        <v>24</v>
      </c>
      <c r="E36">
        <v>0</v>
      </c>
      <c r="H36" t="s">
        <v>29</v>
      </c>
      <c r="I36">
        <v>26.567408438928371</v>
      </c>
      <c r="L36" t="s">
        <v>47</v>
      </c>
      <c r="M36" s="1">
        <v>21.705864603005345</v>
      </c>
    </row>
    <row r="37" spans="4:13" x14ac:dyDescent="0.25">
      <c r="D37" t="s">
        <v>25</v>
      </c>
      <c r="E37">
        <v>0.55555555555555558</v>
      </c>
      <c r="H37" t="s">
        <v>31</v>
      </c>
      <c r="I37">
        <v>26.783704219464184</v>
      </c>
    </row>
    <row r="38" spans="4:13" x14ac:dyDescent="0.25">
      <c r="D38" t="s">
        <v>26</v>
      </c>
      <c r="E38">
        <v>0.44444444444444442</v>
      </c>
      <c r="H38" t="s">
        <v>32</v>
      </c>
      <c r="I38">
        <v>24.735656783773027</v>
      </c>
    </row>
    <row r="39" spans="4:13" x14ac:dyDescent="0.25">
      <c r="D39" t="s">
        <v>27</v>
      </c>
      <c r="E39">
        <v>-10000</v>
      </c>
      <c r="H39" t="s">
        <v>33</v>
      </c>
      <c r="I39">
        <v>21.705864603005345</v>
      </c>
    </row>
    <row r="40" spans="4:13" x14ac:dyDescent="0.25">
      <c r="D40" t="s">
        <v>28</v>
      </c>
      <c r="E40">
        <v>443.70847624836063</v>
      </c>
      <c r="H40" t="s">
        <v>34</v>
      </c>
      <c r="I40">
        <v>23.826719129542724</v>
      </c>
    </row>
    <row r="44" spans="4:13" x14ac:dyDescent="0.25">
      <c r="D44" t="s">
        <v>39</v>
      </c>
    </row>
    <row r="45" spans="4:13" x14ac:dyDescent="0.25">
      <c r="D45" t="s">
        <v>30</v>
      </c>
      <c r="E45">
        <v>27</v>
      </c>
      <c r="H45" t="s">
        <v>35</v>
      </c>
      <c r="I45">
        <v>29.980948975645759</v>
      </c>
    </row>
    <row r="46" spans="4:13" x14ac:dyDescent="0.25">
      <c r="D46" t="s">
        <v>29</v>
      </c>
      <c r="E46" s="5">
        <v>27.9679616282951</v>
      </c>
      <c r="H46" t="s">
        <v>47</v>
      </c>
      <c r="I46">
        <v>20</v>
      </c>
    </row>
    <row r="47" spans="4:13" x14ac:dyDescent="0.25">
      <c r="D47" t="s">
        <v>31</v>
      </c>
      <c r="E47">
        <v>27.48398081414755</v>
      </c>
    </row>
    <row r="48" spans="4:13" x14ac:dyDescent="0.25">
      <c r="D48" t="s">
        <v>32</v>
      </c>
      <c r="E48">
        <v>28.508406030390638</v>
      </c>
    </row>
    <row r="49" spans="4:5" x14ac:dyDescent="0.25">
      <c r="D49" t="s">
        <v>33</v>
      </c>
      <c r="E49">
        <v>29.980948975645759</v>
      </c>
    </row>
    <row r="50" spans="4:5" x14ac:dyDescent="0.25">
      <c r="D50" t="s">
        <v>34</v>
      </c>
      <c r="E50">
        <v>28.950168913967175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Case1</vt:lpstr>
      <vt:lpstr>Case2</vt:lpstr>
      <vt:lpstr>Case3</vt:lpstr>
      <vt:lpstr>Case4</vt:lpstr>
      <vt:lpstr>Case5</vt:lpstr>
    </vt:vector>
  </TitlesOfParts>
  <Company>Fraunhofer ISE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Street</dc:creator>
  <cp:lastModifiedBy>Michael Street</cp:lastModifiedBy>
  <dcterms:created xsi:type="dcterms:W3CDTF">2014-06-25T09:39:55Z</dcterms:created>
  <dcterms:modified xsi:type="dcterms:W3CDTF">2014-06-30T16:01:11Z</dcterms:modified>
</cp:coreProperties>
</file>